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Fin-Swe (master)" sheetId="1" r:id="rId4"/>
    <sheet state="visible" name="Fin-Eng-Swe" sheetId="2" r:id="rId5"/>
    <sheet state="visible" name="Swe-Fin-Eng" sheetId="3" r:id="rId6"/>
    <sheet state="visible" name="Instructions" sheetId="4" r:id="rId7"/>
  </sheets>
  <definedNames/>
  <calcPr/>
</workbook>
</file>

<file path=xl/sharedStrings.xml><?xml version="1.0" encoding="utf-8"?>
<sst xmlns="http://schemas.openxmlformats.org/spreadsheetml/2006/main" count="3127" uniqueCount="2867">
  <si>
    <t>English</t>
  </si>
  <si>
    <t>Finnish (suomeksi)</t>
  </si>
  <si>
    <t>Swedish (på svenska)</t>
  </si>
  <si>
    <t>link</t>
  </si>
  <si>
    <t>explanation</t>
  </si>
  <si>
    <t>1-1, one-to-one</t>
  </si>
  <si>
    <t>injektio</t>
  </si>
  <si>
    <t>injektion</t>
  </si>
  <si>
    <t>https://fi.wikipedia.org/wiki/Injektio</t>
  </si>
  <si>
    <t>1-1 correspondence, bijection</t>
  </si>
  <si>
    <t>bijektio</t>
  </si>
  <si>
    <t>bijektion</t>
  </si>
  <si>
    <t>https://fi.wikipedia.org/wiki/Bijektio</t>
  </si>
  <si>
    <t>a posteriori ("aa posteri'oorii", lat.)</t>
  </si>
  <si>
    <t>jälkeenpäin</t>
  </si>
  <si>
    <t>efteråt</t>
  </si>
  <si>
    <t>a priori ("aa pri'oorii", lat.)</t>
  </si>
  <si>
    <t>ennalta</t>
  </si>
  <si>
    <t>på förhand</t>
  </si>
  <si>
    <t>Abelian group</t>
  </si>
  <si>
    <t>Abelin ryhmä ("aabelin")</t>
  </si>
  <si>
    <t>Abelsk grupp</t>
  </si>
  <si>
    <t>absolute continuity</t>
  </si>
  <si>
    <t>absoluuttinen jatkuvuus</t>
  </si>
  <si>
    <t>absolut kontinuitet</t>
  </si>
  <si>
    <t>absolute convergence</t>
  </si>
  <si>
    <t>itseinen suppeneminen</t>
  </si>
  <si>
    <t>absolut konvergens</t>
  </si>
  <si>
    <t>absolute value</t>
  </si>
  <si>
    <t>itseisarvo</t>
  </si>
  <si>
    <t>absolutbelopp</t>
  </si>
  <si>
    <t>absorbing</t>
  </si>
  <si>
    <t>absorboiva</t>
  </si>
  <si>
    <t>absorberande</t>
  </si>
  <si>
    <t>acceleration</t>
  </si>
  <si>
    <t>kiihtyvyys</t>
  </si>
  <si>
    <t>accumulation point</t>
  </si>
  <si>
    <t>kasautumispiste</t>
  </si>
  <si>
    <t>hopningspunkt</t>
  </si>
  <si>
    <t>ad hoc ("ad hok", lat.)</t>
  </si>
  <si>
    <t>tätä varten, vartavasten</t>
  </si>
  <si>
    <t>för ändamålet</t>
  </si>
  <si>
    <t>addition</t>
  </si>
  <si>
    <t>yhteenlasku</t>
  </si>
  <si>
    <t>additive</t>
  </si>
  <si>
    <t>additiivinen</t>
  </si>
  <si>
    <t>additiv</t>
  </si>
  <si>
    <t>adherent point</t>
  </si>
  <si>
    <t>kosketuspiste</t>
  </si>
  <si>
    <t>-</t>
  </si>
  <si>
    <t>adjoint</t>
  </si>
  <si>
    <t>adjungaatti, adjunkti</t>
  </si>
  <si>
    <t>adjungerad</t>
  </si>
  <si>
    <t>adjoint space, dual space, conjugate space</t>
  </si>
  <si>
    <t>duaali(avaruus)</t>
  </si>
  <si>
    <t>dualrum</t>
  </si>
  <si>
    <t>affine</t>
  </si>
  <si>
    <t>affiini, affiininen</t>
  </si>
  <si>
    <t>affin</t>
  </si>
  <si>
    <t>algebraic basis, Hamel basis, vector basis</t>
  </si>
  <si>
    <t>algebrallinen kanta, Hamel-kanta, vektorikanta</t>
  </si>
  <si>
    <t>algebraisk bas</t>
  </si>
  <si>
    <t>algebraic multiplicity</t>
  </si>
  <si>
    <t>algebrallinen kertaluku</t>
  </si>
  <si>
    <t>algebraisk mångfald</t>
  </si>
  <si>
    <t>algorithm</t>
  </si>
  <si>
    <t>algoritmi</t>
  </si>
  <si>
    <t>algoritm</t>
  </si>
  <si>
    <t>alpha</t>
  </si>
  <si>
    <t>alfa (lausutaankin alfa, ei alffa; vast. beeta)</t>
  </si>
  <si>
    <t>alfa</t>
  </si>
  <si>
    <t>alternating series</t>
  </si>
  <si>
    <t>vuorotteleva sarja</t>
  </si>
  <si>
    <t>alternerande serie</t>
  </si>
  <si>
    <t>amplitude</t>
  </si>
  <si>
    <t>amplitudi</t>
  </si>
  <si>
    <t>amplitud</t>
  </si>
  <si>
    <t>analytic, holomorphic</t>
  </si>
  <si>
    <t>analyyttinen, holomorfinen</t>
  </si>
  <si>
    <t>analytisk, holomorf</t>
  </si>
  <si>
    <t>angle</t>
  </si>
  <si>
    <t>kulma</t>
  </si>
  <si>
    <t>vinkel</t>
  </si>
  <si>
    <t>angular velocity</t>
  </si>
  <si>
    <t>kulmanopeus</t>
  </si>
  <si>
    <t>vinkelhastighet</t>
  </si>
  <si>
    <t>annulus</t>
  </si>
  <si>
    <t>rengas</t>
  </si>
  <si>
    <t>ring</t>
  </si>
  <si>
    <t>anticommutative</t>
  </si>
  <si>
    <t>antikommutatiivinen</t>
  </si>
  <si>
    <t>antikommutativ</t>
  </si>
  <si>
    <t>antiderivative</t>
  </si>
  <si>
    <t>integraalifunktio, antiderivaatta, primitiivifunktio, kantafunktio</t>
  </si>
  <si>
    <t>integralfunktion, primitivfunktion</t>
  </si>
  <si>
    <t>appendix</t>
  </si>
  <si>
    <t>liite</t>
  </si>
  <si>
    <t>bilaga, bihang</t>
  </si>
  <si>
    <t>application</t>
  </si>
  <si>
    <t>sovellus</t>
  </si>
  <si>
    <t>tillämpning</t>
  </si>
  <si>
    <t>approximate</t>
  </si>
  <si>
    <t>approksimoida</t>
  </si>
  <si>
    <t>approximera</t>
  </si>
  <si>
    <t>approximation</t>
  </si>
  <si>
    <t>approksimaatio</t>
  </si>
  <si>
    <t>arc</t>
  </si>
  <si>
    <t>kaari</t>
  </si>
  <si>
    <t>båge</t>
  </si>
  <si>
    <t>arc length</t>
  </si>
  <si>
    <t>kaarenpituus</t>
  </si>
  <si>
    <t>båglängd</t>
  </si>
  <si>
    <t>arccos, arcus cosine</t>
  </si>
  <si>
    <t>arccos, arkuskosini</t>
  </si>
  <si>
    <t>arcus cosinus</t>
  </si>
  <si>
    <t>arccot, arcus cotangent</t>
  </si>
  <si>
    <t>arccot, arkuskotangentti</t>
  </si>
  <si>
    <t>arcus cotangent</t>
  </si>
  <si>
    <t>arcosh, area hyperbolic cosine</t>
  </si>
  <si>
    <t>arcosh, area hyperbelikosini</t>
  </si>
  <si>
    <t>areacosinus (hyperbolicus)</t>
  </si>
  <si>
    <t>arcoth, area hyperbolic cotangent</t>
  </si>
  <si>
    <t>arcoth, area hyperbelikotangentti</t>
  </si>
  <si>
    <t>areacotangent (hyperbolicus)</t>
  </si>
  <si>
    <t>arcsin, arcus sine</t>
  </si>
  <si>
    <t>arcsin, arkussini</t>
  </si>
  <si>
    <t>arcussinus</t>
  </si>
  <si>
    <t>arctan, arcus tangent</t>
  </si>
  <si>
    <t>arctan, arkustangentti</t>
  </si>
  <si>
    <t>arcustangent</t>
  </si>
  <si>
    <t>area</t>
  </si>
  <si>
    <t>pinta-ala, ala</t>
  </si>
  <si>
    <t>yta, area</t>
  </si>
  <si>
    <t>argument</t>
  </si>
  <si>
    <t>vaihekulma, argumentti (kompleksiluvun)</t>
  </si>
  <si>
    <t>fasvinkel, argumentet</t>
  </si>
  <si>
    <t>arithmetic mean</t>
  </si>
  <si>
    <t>aritmeettinen keskiarvo</t>
  </si>
  <si>
    <t>aritmetiskt medelvärde</t>
  </si>
  <si>
    <t>arithmetic series</t>
  </si>
  <si>
    <t>aritmeettinen sarja</t>
  </si>
  <si>
    <t>aritmetisk serie</t>
  </si>
  <si>
    <t>arsinh, area hyperbolic sine</t>
  </si>
  <si>
    <t>arsinh, area hyperbelisini</t>
  </si>
  <si>
    <t>areasinus</t>
  </si>
  <si>
    <t>artanh, area hyperbolic tangent</t>
  </si>
  <si>
    <t>artanh, area hyperbelitangentti</t>
  </si>
  <si>
    <t>areatangent</t>
  </si>
  <si>
    <t>associated</t>
  </si>
  <si>
    <t>liittyvä; liitännäinen, liitännäis-</t>
  </si>
  <si>
    <t>associerad</t>
  </si>
  <si>
    <t>associative law, associativity</t>
  </si>
  <si>
    <t>liitännäisyys, assosiatiivisuus</t>
  </si>
  <si>
    <t>associativitet</t>
  </si>
  <si>
    <t>asymptote</t>
  </si>
  <si>
    <t>asymptootti</t>
  </si>
  <si>
    <t>asymptot</t>
  </si>
  <si>
    <t>attraction</t>
  </si>
  <si>
    <t>vetovoima, attraktio</t>
  </si>
  <si>
    <t>dragningskraft, attraktion</t>
  </si>
  <si>
    <t>attractor</t>
  </si>
  <si>
    <t>attraktori</t>
  </si>
  <si>
    <t>attraktor</t>
  </si>
  <si>
    <t>autonomous</t>
  </si>
  <si>
    <t>autonominen</t>
  </si>
  <si>
    <t>autonom</t>
  </si>
  <si>
    <t>average</t>
  </si>
  <si>
    <t>keskiarvo</t>
  </si>
  <si>
    <t>genomsnitt</t>
  </si>
  <si>
    <t>axiom</t>
  </si>
  <si>
    <t>aksiooma</t>
  </si>
  <si>
    <t>axis</t>
  </si>
  <si>
    <t>akseli (x-, kartion, paraabelin,...)</t>
  </si>
  <si>
    <t>axel</t>
  </si>
  <si>
    <t>balanced</t>
  </si>
  <si>
    <t>balansoitu</t>
  </si>
  <si>
    <t>balanserad</t>
  </si>
  <si>
    <t>ball</t>
  </si>
  <si>
    <t>kuula, pallo</t>
  </si>
  <si>
    <t>klot</t>
  </si>
  <si>
    <t>banachizable</t>
  </si>
  <si>
    <t>banachoituva</t>
  </si>
  <si>
    <t>band matrix</t>
  </si>
  <si>
    <t>nauhamatriisi</t>
  </si>
  <si>
    <t>bandmatris</t>
  </si>
  <si>
    <t>barycenter</t>
  </si>
  <si>
    <t>painopiste</t>
  </si>
  <si>
    <t>barycenter, tyngdpunkt</t>
  </si>
  <si>
    <t>barycentric</t>
  </si>
  <si>
    <t>barysentrinen, painopiste-</t>
  </si>
  <si>
    <t>barycentrisk, med avseende å tyngdpunkten</t>
  </si>
  <si>
    <t>base point</t>
  </si>
  <si>
    <t>kantapiste</t>
  </si>
  <si>
    <t>baspunkt</t>
  </si>
  <si>
    <t>base, basis</t>
  </si>
  <si>
    <t>kanta (topologian/kolmion/lukujärjestelmän)</t>
  </si>
  <si>
    <t>bas</t>
  </si>
  <si>
    <t>basis, base</t>
  </si>
  <si>
    <t>kanta (vektori-)</t>
  </si>
  <si>
    <t>bell-shaped curve</t>
  </si>
  <si>
    <t>kellokäyrä</t>
  </si>
  <si>
    <t>klockformad kurva</t>
  </si>
  <si>
    <t>beta function</t>
  </si>
  <si>
    <t>beeta-funktio</t>
  </si>
  <si>
    <t>betafunktion</t>
  </si>
  <si>
    <t>biased</t>
  </si>
  <si>
    <t>harhainen</t>
  </si>
  <si>
    <t>förväntningsskev</t>
  </si>
  <si>
    <t>bidual</t>
  </si>
  <si>
    <t>biduaali, duaalin duaali</t>
  </si>
  <si>
    <t>big-O notation</t>
  </si>
  <si>
    <t>iso-O-merkintä, iso ordo</t>
  </si>
  <si>
    <t>ordo</t>
  </si>
  <si>
    <t>bijection, one-to-one and onto</t>
  </si>
  <si>
    <t>bilinear</t>
  </si>
  <si>
    <t>bilineaarinen</t>
  </si>
  <si>
    <t>bilineär</t>
  </si>
  <si>
    <t>binary number</t>
  </si>
  <si>
    <t>binääriluku</t>
  </si>
  <si>
    <t>binärtal</t>
  </si>
  <si>
    <t>binomial coefficient</t>
  </si>
  <si>
    <t>binomikerroin</t>
  </si>
  <si>
    <t>binomialkoefficient</t>
  </si>
  <si>
    <t>binomial distribution</t>
  </si>
  <si>
    <t>binomijakauma</t>
  </si>
  <si>
    <t>binomialfördelning</t>
  </si>
  <si>
    <t>binomial theorem</t>
  </si>
  <si>
    <t>binomilause</t>
  </si>
  <si>
    <t>binomialteoremet</t>
  </si>
  <si>
    <t>binormal vector, binormal</t>
  </si>
  <si>
    <t>sivunormaali</t>
  </si>
  <si>
    <t>binormal</t>
  </si>
  <si>
    <t>bisection method</t>
  </si>
  <si>
    <t>puolitusmenetelmä (juuren määrityksessä)</t>
  </si>
  <si>
    <t>bisektionsmetoden</t>
  </si>
  <si>
    <t>block matrix</t>
  </si>
  <si>
    <t>lohkomatriisi, ositettu matriisi</t>
  </si>
  <si>
    <t>blockmatris</t>
  </si>
  <si>
    <t>bornological</t>
  </si>
  <si>
    <t>bornologinen</t>
  </si>
  <si>
    <t>boundary conditions</t>
  </si>
  <si>
    <t>reunaehdot</t>
  </si>
  <si>
    <t>randvillkor</t>
  </si>
  <si>
    <t>boundary, frontier</t>
  </si>
  <si>
    <t>reuna</t>
  </si>
  <si>
    <t>rand</t>
  </si>
  <si>
    <t>bounded</t>
  </si>
  <si>
    <t>rajoitettu, rajallinen</t>
  </si>
  <si>
    <t>begränsad</t>
  </si>
  <si>
    <t>bounded above</t>
  </si>
  <si>
    <t>ylhäältä rajoitettu (resp. alh., below)+B316</t>
  </si>
  <si>
    <t>ovanifrån begränsad</t>
  </si>
  <si>
    <t>bounded variable, pivot variable</t>
  </si>
  <si>
    <t>sidottu muuttuja</t>
  </si>
  <si>
    <t>bunden variabel</t>
  </si>
  <si>
    <t>bounded variation (BV)</t>
  </si>
  <si>
    <t>rajoitettu heilahtelu (BV) (mitta, funktio)</t>
  </si>
  <si>
    <t>bunden variation</t>
  </si>
  <si>
    <t>bundle</t>
  </si>
  <si>
    <t>kimppu</t>
  </si>
  <si>
    <t>knippe</t>
  </si>
  <si>
    <t>calculate</t>
  </si>
  <si>
    <t>laskea, kalkyloida</t>
  </si>
  <si>
    <t>beräkna, kalkylera</t>
  </si>
  <si>
    <t>calculus</t>
  </si>
  <si>
    <t>differentiaali- ja integraalilaskenta; laskento, kalkyyli</t>
  </si>
  <si>
    <t>differential- och integralräkning, kalkyl</t>
  </si>
  <si>
    <t>cancel</t>
  </si>
  <si>
    <t>supistaa</t>
  </si>
  <si>
    <t>förkorta</t>
  </si>
  <si>
    <t>canonical</t>
  </si>
  <si>
    <t>kanoninen</t>
  </si>
  <si>
    <t>kanonisk</t>
  </si>
  <si>
    <t>cardinality</t>
  </si>
  <si>
    <t>mahtavuus</t>
  </si>
  <si>
    <t>kardinalitet, mäktighet</t>
  </si>
  <si>
    <t>cardioid</t>
  </si>
  <si>
    <t>kardioidi</t>
  </si>
  <si>
    <t>kardioid</t>
  </si>
  <si>
    <t>carrier, support</t>
  </si>
  <si>
    <t>kantaja</t>
  </si>
  <si>
    <t>bärare</t>
  </si>
  <si>
    <t>Cartesian</t>
  </si>
  <si>
    <t>karteesinen</t>
  </si>
  <si>
    <t>kartesisk</t>
  </si>
  <si>
    <t>cell</t>
  </si>
  <si>
    <t>solu</t>
  </si>
  <si>
    <t>center of curvature</t>
  </si>
  <si>
    <t>kaarevuuskeskipiste</t>
  </si>
  <si>
    <t>krökningscentrum</t>
  </si>
  <si>
    <t>center of mass</t>
  </si>
  <si>
    <t>painopiste, massakeskipiste</t>
  </si>
  <si>
    <t>tyngdpunkt</t>
  </si>
  <si>
    <t>center, centre</t>
  </si>
  <si>
    <t>keskipiste (ympyrän, ...)</t>
  </si>
  <si>
    <t>medelpunkt</t>
  </si>
  <si>
    <t>centrifugal force</t>
  </si>
  <si>
    <t>keskipakovoima</t>
  </si>
  <si>
    <t>centrifugalkraft</t>
  </si>
  <si>
    <t>centroid</t>
  </si>
  <si>
    <t>keskiö</t>
  </si>
  <si>
    <t>tyngdpunkt (oik. painopiste)</t>
  </si>
  <si>
    <t>chain</t>
  </si>
  <si>
    <t>ketju</t>
  </si>
  <si>
    <t>ked</t>
  </si>
  <si>
    <t>chain rule</t>
  </si>
  <si>
    <t>ketjusääntö</t>
  </si>
  <si>
    <t>kedjeregeln</t>
  </si>
  <si>
    <t>change of variables</t>
  </si>
  <si>
    <t>muuttujanvaihto</t>
  </si>
  <si>
    <t>byte av variabler</t>
  </si>
  <si>
    <t>chaotic</t>
  </si>
  <si>
    <t>kaoottinen</t>
  </si>
  <si>
    <t>kaotisk</t>
  </si>
  <si>
    <t>chapter</t>
  </si>
  <si>
    <t>luku</t>
  </si>
  <si>
    <t>kapitel</t>
  </si>
  <si>
    <t>characteristic</t>
  </si>
  <si>
    <t>karakteristinen; karakteristika (kunnan)</t>
  </si>
  <si>
    <t>karakteristisk</t>
  </si>
  <si>
    <t>characteristic equation</t>
  </si>
  <si>
    <t>karakteristinen yhtälö</t>
  </si>
  <si>
    <t>karakteristisk ekvation</t>
  </si>
  <si>
    <t>characteristic function</t>
  </si>
  <si>
    <t>karakteristinen funktio</t>
  </si>
  <si>
    <t>karakteristisk funktion</t>
  </si>
  <si>
    <t>chi</t>
  </si>
  <si>
    <t>khii</t>
  </si>
  <si>
    <t>khi</t>
  </si>
  <si>
    <t>chord line, secant line</t>
  </si>
  <si>
    <t>sekantti, jänne</t>
  </si>
  <si>
    <t>korda</t>
  </si>
  <si>
    <t>circle</t>
  </si>
  <si>
    <t>ympyrä</t>
  </si>
  <si>
    <t>cirkel</t>
  </si>
  <si>
    <t>circular frequency</t>
  </si>
  <si>
    <t>kulmanopeus, kulmataajuus</t>
  </si>
  <si>
    <t>circular helix</t>
  </si>
  <si>
    <t>ympyräruuvikierre</t>
  </si>
  <si>
    <t>rund skruvlinje, spiral</t>
  </si>
  <si>
    <t>circulation</t>
  </si>
  <si>
    <t>kierto</t>
  </si>
  <si>
    <t>cirkulation</t>
  </si>
  <si>
    <t>circumference</t>
  </si>
  <si>
    <t>ympärysmitta</t>
  </si>
  <si>
    <t>omkrets</t>
  </si>
  <si>
    <t>closable</t>
  </si>
  <si>
    <t>sulkeutuva (operaattori)</t>
  </si>
  <si>
    <t>slutbar</t>
  </si>
  <si>
    <t>closed</t>
  </si>
  <si>
    <t>suljettu (joukko, käyrä, pinta, kuvaus, ...)</t>
  </si>
  <si>
    <t>sluten</t>
  </si>
  <si>
    <t>closed set</t>
  </si>
  <si>
    <t>suljettu joukko</t>
  </si>
  <si>
    <t>sluten mängd</t>
  </si>
  <si>
    <t>closure</t>
  </si>
  <si>
    <t>sulkeuma (joukon, ...)</t>
  </si>
  <si>
    <t>förslutning</t>
  </si>
  <si>
    <t>cluster point</t>
  </si>
  <si>
    <t>coarser topology</t>
  </si>
  <si>
    <t>karkeampi topologia</t>
  </si>
  <si>
    <t>grovare topologi</t>
  </si>
  <si>
    <t>codimension</t>
  </si>
  <si>
    <t>kodimensio</t>
  </si>
  <si>
    <t>kodimension</t>
  </si>
  <si>
    <t>coefficient</t>
  </si>
  <si>
    <t>kerroin</t>
  </si>
  <si>
    <t>koefficient</t>
  </si>
  <si>
    <t>coercive</t>
  </si>
  <si>
    <t>koersiivinen</t>
  </si>
  <si>
    <t>koersiv</t>
  </si>
  <si>
    <t>cofactor</t>
  </si>
  <si>
    <t>liittotekijä (ei vakiintunut termi?)</t>
  </si>
  <si>
    <t>kofaktor, algebraiska komplementet</t>
  </si>
  <si>
    <t>cofinal</t>
  </si>
  <si>
    <t>kofinaalinen</t>
  </si>
  <si>
    <t>collapse</t>
  </si>
  <si>
    <t>luhistus</t>
  </si>
  <si>
    <t>kollaps</t>
  </si>
  <si>
    <t>collar</t>
  </si>
  <si>
    <t>kaulus</t>
  </si>
  <si>
    <t>krage</t>
  </si>
  <si>
    <t>collection</t>
  </si>
  <si>
    <t>kokoelma</t>
  </si>
  <si>
    <t>samling</t>
  </si>
  <si>
    <t>column</t>
  </si>
  <si>
    <t>sarake, pystyrivi</t>
  </si>
  <si>
    <t>vågrät vektor</t>
  </si>
  <si>
    <t>column space</t>
  </si>
  <si>
    <t>sarakeavaruus, kuva-avaruus</t>
  </si>
  <si>
    <t>kolonnrum</t>
  </si>
  <si>
    <t>column vector</t>
  </si>
  <si>
    <t>pystyvektori</t>
  </si>
  <si>
    <t>lodrät vektor</t>
  </si>
  <si>
    <t>combination</t>
  </si>
  <si>
    <t>kombinaatio, yhdistely, yhdistelmä</t>
  </si>
  <si>
    <t>kombination</t>
  </si>
  <si>
    <t>commutative law, commutativity</t>
  </si>
  <si>
    <t>vaihdannaisuus, kommutatiivisuus</t>
  </si>
  <si>
    <t>kommutativitet</t>
  </si>
  <si>
    <t>commute</t>
  </si>
  <si>
    <t>kommutoida</t>
  </si>
  <si>
    <t>kommutera</t>
  </si>
  <si>
    <t>compact</t>
  </si>
  <si>
    <t>kompakti</t>
  </si>
  <si>
    <t>kompakt</t>
  </si>
  <si>
    <t>compactification</t>
  </si>
  <si>
    <t>kompaktisointi</t>
  </si>
  <si>
    <t>comparison test</t>
  </si>
  <si>
    <t>vertailutesti</t>
  </si>
  <si>
    <t>jämförelsetest</t>
  </si>
  <si>
    <t>complement</t>
  </si>
  <si>
    <t>komplementti</t>
  </si>
  <si>
    <t>komplement</t>
  </si>
  <si>
    <t>complementary angle</t>
  </si>
  <si>
    <t>komplementtikulma (90-a)</t>
  </si>
  <si>
    <t>komplementvinkel</t>
  </si>
  <si>
    <t>complete</t>
  </si>
  <si>
    <t>täydellinen (metriikka, mitta, avaruus)</t>
  </si>
  <si>
    <t>fullständig</t>
  </si>
  <si>
    <t>täydellistää</t>
  </si>
  <si>
    <t>komplettera</t>
  </si>
  <si>
    <t>completely regular space</t>
  </si>
  <si>
    <t>täysin säännöllinen avaruus</t>
  </si>
  <si>
    <t>completeness</t>
  </si>
  <si>
    <t>täydellisyys</t>
  </si>
  <si>
    <t>fullständighet</t>
  </si>
  <si>
    <t>completion</t>
  </si>
  <si>
    <t>täydellistymä</t>
  </si>
  <si>
    <t>complex number</t>
  </si>
  <si>
    <t>kompleksiluku</t>
  </si>
  <si>
    <t>komplext tal</t>
  </si>
  <si>
    <t>complex plane</t>
  </si>
  <si>
    <t>kompleksitaso</t>
  </si>
  <si>
    <t>komplexa talplanet</t>
  </si>
  <si>
    <t>component</t>
  </si>
  <si>
    <t>komponentti</t>
  </si>
  <si>
    <t>komponent</t>
  </si>
  <si>
    <t>composite mapping</t>
  </si>
  <si>
    <t>yhdistetty kuvaus (fog)</t>
  </si>
  <si>
    <t>sammansatt avbildning</t>
  </si>
  <si>
    <t>concave (function), concave down, convex up</t>
  </si>
  <si>
    <t>kovera, alhaalta kovera, ylöspäin kupera, konkaavi</t>
  </si>
  <si>
    <t>konkav</t>
  </si>
  <si>
    <t>concavity</t>
  </si>
  <si>
    <t>koveruus, konkaavius</t>
  </si>
  <si>
    <t>konkavitet</t>
  </si>
  <si>
    <t>condition number</t>
  </si>
  <si>
    <t>häiriöalttius</t>
  </si>
  <si>
    <t>störningsgrad</t>
  </si>
  <si>
    <t>conditional convergence</t>
  </si>
  <si>
    <t>ehdollinen suppeneminen</t>
  </si>
  <si>
    <t>betingad konvergens</t>
  </si>
  <si>
    <t>cone</t>
  </si>
  <si>
    <t>kartio</t>
  </si>
  <si>
    <t>kon</t>
  </si>
  <si>
    <t>conformal mapping</t>
  </si>
  <si>
    <t>konformikuvaus</t>
  </si>
  <si>
    <t>konform avbildning</t>
  </si>
  <si>
    <t>conic, conic section</t>
  </si>
  <si>
    <t>kartioleikkaus</t>
  </si>
  <si>
    <t>kägelsnitt</t>
  </si>
  <si>
    <t>conjecture</t>
  </si>
  <si>
    <t>konjektuuri, otaksuma</t>
  </si>
  <si>
    <t>förmodan</t>
  </si>
  <si>
    <t>conjugate</t>
  </si>
  <si>
    <t>liittoluku (kompleksiluvun); konjugaatti (operaattorin)</t>
  </si>
  <si>
    <t>conjugate gradients</t>
  </si>
  <si>
    <t>liittogradienttimenetelmä</t>
  </si>
  <si>
    <t>konjugerade gradientmetoden</t>
  </si>
  <si>
    <t>conjugate linear</t>
  </si>
  <si>
    <t>konjugaattilineaarinen</t>
  </si>
  <si>
    <t>konjugatlinjär</t>
  </si>
  <si>
    <t>conjugate pair</t>
  </si>
  <si>
    <t>liittolukupari</t>
  </si>
  <si>
    <t>konjugatpar</t>
  </si>
  <si>
    <t>conjugate space, dual space, adjoint space</t>
  </si>
  <si>
    <t>konjugatrum</t>
  </si>
  <si>
    <t>conjugate transpose</t>
  </si>
  <si>
    <t>hermitoitu matriisi</t>
  </si>
  <si>
    <t>conjugate, complex conjugate</t>
  </si>
  <si>
    <t>liittoluku</t>
  </si>
  <si>
    <t>komplext konjugat(tal)</t>
  </si>
  <si>
    <t>connected</t>
  </si>
  <si>
    <t>yhtenäinen</t>
  </si>
  <si>
    <t>sammanhängande</t>
  </si>
  <si>
    <t>consistent</t>
  </si>
  <si>
    <t>yhteensopiva, konsistentti</t>
  </si>
  <si>
    <t>konsistent</t>
  </si>
  <si>
    <t>constant</t>
  </si>
  <si>
    <t>vakio</t>
  </si>
  <si>
    <t>konstant</t>
  </si>
  <si>
    <t>constant of integration</t>
  </si>
  <si>
    <t>integrointivakio</t>
  </si>
  <si>
    <t>integrationskonstant</t>
  </si>
  <si>
    <t>constrained extreme value</t>
  </si>
  <si>
    <t>sidottu ääriarvo</t>
  </si>
  <si>
    <t>bundet extremvärde</t>
  </si>
  <si>
    <t>contain</t>
  </si>
  <si>
    <t>sisältää (olla ylijoukko)</t>
  </si>
  <si>
    <t>innehålla</t>
  </si>
  <si>
    <t>continued fraction</t>
  </si>
  <si>
    <t>ketjumurtoluku</t>
  </si>
  <si>
    <t>kedjebråk</t>
  </si>
  <si>
    <t>continuity</t>
  </si>
  <si>
    <t>jatkuvuus</t>
  </si>
  <si>
    <t>kontinuitet</t>
  </si>
  <si>
    <t>continuous</t>
  </si>
  <si>
    <t>jatkuva</t>
  </si>
  <si>
    <t>kontinuerlig</t>
  </si>
  <si>
    <t>continuum</t>
  </si>
  <si>
    <t>jatkumo, kontinuumi</t>
  </si>
  <si>
    <t>kontinuum</t>
  </si>
  <si>
    <t>contour, level curve</t>
  </si>
  <si>
    <t>tasa-arvokäyrä</t>
  </si>
  <si>
    <t>kontur, höjdkurva</t>
  </si>
  <si>
    <t>contractible</t>
  </si>
  <si>
    <t>kutistuva</t>
  </si>
  <si>
    <t>kontrakterbar</t>
  </si>
  <si>
    <t>contraction</t>
  </si>
  <si>
    <t>kutistus, kontraktio</t>
  </si>
  <si>
    <t>kontraktion</t>
  </si>
  <si>
    <t>contraposition</t>
  </si>
  <si>
    <t>vastaväite</t>
  </si>
  <si>
    <t>motargument</t>
  </si>
  <si>
    <t>converge</t>
  </si>
  <si>
    <t>supeta</t>
  </si>
  <si>
    <t>konvergera</t>
  </si>
  <si>
    <t>convergence</t>
  </si>
  <si>
    <t>suppeneminen</t>
  </si>
  <si>
    <t>konvergens</t>
  </si>
  <si>
    <t>convex (function), convex down, concave up</t>
  </si>
  <si>
    <t>konveksi, kupera, alaspäin kupera, ylhäältä kovera</t>
  </si>
  <si>
    <t>konvex</t>
  </si>
  <si>
    <t>convex hull</t>
  </si>
  <si>
    <t>konveksi verho</t>
  </si>
  <si>
    <t>convolution</t>
  </si>
  <si>
    <t>konvoluutio</t>
  </si>
  <si>
    <t>konvolution</t>
  </si>
  <si>
    <t>coordinate axes</t>
  </si>
  <si>
    <t>koordinaattiakselit</t>
  </si>
  <si>
    <t>koordinataxlar</t>
  </si>
  <si>
    <t>coplanar points</t>
  </si>
  <si>
    <t>samassa tasossa olevat pisteet</t>
  </si>
  <si>
    <t>punkter i samma plan</t>
  </si>
  <si>
    <t>corner</t>
  </si>
  <si>
    <t>nurkka</t>
  </si>
  <si>
    <t>hörn</t>
  </si>
  <si>
    <t>corollary</t>
  </si>
  <si>
    <t>korollaari, seuraus</t>
  </si>
  <si>
    <t>korollarium, följdsats</t>
  </si>
  <si>
    <t>correlation</t>
  </si>
  <si>
    <t>korrelaatio</t>
  </si>
  <si>
    <t>korrelation</t>
  </si>
  <si>
    <t>coset</t>
  </si>
  <si>
    <t>sivuluokka</t>
  </si>
  <si>
    <t>sidoklass</t>
  </si>
  <si>
    <t>cosine, cos</t>
  </si>
  <si>
    <t>kosini, cos</t>
  </si>
  <si>
    <t>cosinus</t>
  </si>
  <si>
    <t>cotangent, cot</t>
  </si>
  <si>
    <t>kotangentti, cot</t>
  </si>
  <si>
    <t>cotangens</t>
  </si>
  <si>
    <t>countable, enumerable, denumerable</t>
  </si>
  <si>
    <t>numeroituva (1. -sti ääretön 2. enintään numeroituva)</t>
  </si>
  <si>
    <t>uppräknelig</t>
  </si>
  <si>
    <t>countably-valued</t>
  </si>
  <si>
    <t>numeroituva-arvoinen</t>
  </si>
  <si>
    <t>counting measure</t>
  </si>
  <si>
    <t>lukumäärämitta (ei vak.)</t>
  </si>
  <si>
    <t>coupling, pairing</t>
  </si>
  <si>
    <t>paritus (TVS vs. duaali tms.); parikuvaus</t>
  </si>
  <si>
    <t>covariance</t>
  </si>
  <si>
    <t>kovarianssi</t>
  </si>
  <si>
    <t>kovarians</t>
  </si>
  <si>
    <t>cover, covering</t>
  </si>
  <si>
    <t>peite (avoin peite tms.)</t>
  </si>
  <si>
    <t>täcke</t>
  </si>
  <si>
    <t>covering map</t>
  </si>
  <si>
    <t>peitekuvaus</t>
  </si>
  <si>
    <t>övertäckningsavbildning</t>
  </si>
  <si>
    <t>critical point</t>
  </si>
  <si>
    <t>kriittinen piste</t>
  </si>
  <si>
    <t>kritisk punkt</t>
  </si>
  <si>
    <t>cross product</t>
  </si>
  <si>
    <t>ristitulo, vektoritulo</t>
  </si>
  <si>
    <t>kryssprodukt, vektorprodukt</t>
  </si>
  <si>
    <t>crosscut</t>
  </si>
  <si>
    <t>liitin</t>
  </si>
  <si>
    <t>cube</t>
  </si>
  <si>
    <t>kuutio</t>
  </si>
  <si>
    <t>kub</t>
  </si>
  <si>
    <t>curl</t>
  </si>
  <si>
    <t>roottori (rot f, nabla x f)</t>
  </si>
  <si>
    <t>rotation</t>
  </si>
  <si>
    <t>curvature</t>
  </si>
  <si>
    <t>kaarevuus</t>
  </si>
  <si>
    <t>krökning</t>
  </si>
  <si>
    <t>curve</t>
  </si>
  <si>
    <t>käyrä</t>
  </si>
  <si>
    <t>kurva</t>
  </si>
  <si>
    <t>curvilinear coordinates</t>
  </si>
  <si>
    <t>käyräviivaiset koordinaatit</t>
  </si>
  <si>
    <t>kroklinjiga koordinater</t>
  </si>
  <si>
    <t>cut point</t>
  </si>
  <si>
    <t>katkopiste</t>
  </si>
  <si>
    <t>brytningspunkt</t>
  </si>
  <si>
    <t>cycle</t>
  </si>
  <si>
    <t>sykli</t>
  </si>
  <si>
    <t>cykel</t>
  </si>
  <si>
    <t>cylinder</t>
  </si>
  <si>
    <t>lieriö</t>
  </si>
  <si>
    <t>cylindrical coordinates</t>
  </si>
  <si>
    <t>sylinterikoordinaatit, lieriökoordinaatit</t>
  </si>
  <si>
    <t>cylinderkoordinater</t>
  </si>
  <si>
    <t>decimal number</t>
  </si>
  <si>
    <t>kymmenjärjestelmän luku; desimaaliluku</t>
  </si>
  <si>
    <t>decimaltal</t>
  </si>
  <si>
    <t>decomposition</t>
  </si>
  <si>
    <t>ositus</t>
  </si>
  <si>
    <t>uppdelning, sönderläggning</t>
  </si>
  <si>
    <t>decomposition; factorization</t>
  </si>
  <si>
    <t>hajotelma, tekijöihinjako</t>
  </si>
  <si>
    <t>sönderläggning</t>
  </si>
  <si>
    <t>decreasing</t>
  </si>
  <si>
    <t>vähenevä; aidosti vähenevä</t>
  </si>
  <si>
    <t>minskande</t>
  </si>
  <si>
    <t>Dedekind cut</t>
  </si>
  <si>
    <t>Dedekindin leikkaus</t>
  </si>
  <si>
    <t>Dedekinds snitt</t>
  </si>
  <si>
    <t>defective</t>
  </si>
  <si>
    <t>defektiivinen</t>
  </si>
  <si>
    <t>defektiv</t>
  </si>
  <si>
    <t>definite</t>
  </si>
  <si>
    <t>definiitti (matriisi, neliömuoto)</t>
  </si>
  <si>
    <t>definit</t>
  </si>
  <si>
    <t>definite integral</t>
  </si>
  <si>
    <t>määrätty integraali</t>
  </si>
  <si>
    <t>bestämd integral</t>
  </si>
  <si>
    <t>definition</t>
  </si>
  <si>
    <t>määritelmä</t>
  </si>
  <si>
    <t>degenerate</t>
  </si>
  <si>
    <t>degeneroitunut</t>
  </si>
  <si>
    <t>degenererad</t>
  </si>
  <si>
    <t>degree</t>
  </si>
  <si>
    <t>aste (polynomin tms.)</t>
  </si>
  <si>
    <t>grad</t>
  </si>
  <si>
    <t>degree of freedom</t>
  </si>
  <si>
    <t>vapausaste</t>
  </si>
  <si>
    <t>frihetsgrad</t>
  </si>
  <si>
    <t>dense</t>
  </si>
  <si>
    <t>tiheä</t>
  </si>
  <si>
    <t>tät</t>
  </si>
  <si>
    <t>density</t>
  </si>
  <si>
    <t>tiheys</t>
  </si>
  <si>
    <t>täthet</t>
  </si>
  <si>
    <t>density function</t>
  </si>
  <si>
    <t>tiheysfunktio</t>
  </si>
  <si>
    <t>täthetsfunktion</t>
  </si>
  <si>
    <t>denumerable, countable, enumerable</t>
  </si>
  <si>
    <t>dependent</t>
  </si>
  <si>
    <t>riippuva</t>
  </si>
  <si>
    <t>beroende</t>
  </si>
  <si>
    <t>derivative</t>
  </si>
  <si>
    <t>derivaatta</t>
  </si>
  <si>
    <t>derivata</t>
  </si>
  <si>
    <t>determinant</t>
  </si>
  <si>
    <t>determinantti</t>
  </si>
  <si>
    <t>diagonal</t>
  </si>
  <si>
    <t>lävistäjä, diagonaali</t>
  </si>
  <si>
    <t>diagonal matrix</t>
  </si>
  <si>
    <t>lävistäjämatriisi</t>
  </si>
  <si>
    <t>diagonalmatris</t>
  </si>
  <si>
    <t>diagonalizable</t>
  </si>
  <si>
    <t>diagonalisoituva</t>
  </si>
  <si>
    <t>diagonaliserbar</t>
  </si>
  <si>
    <t>diameter</t>
  </si>
  <si>
    <t>halkaisija, läpimitta</t>
  </si>
  <si>
    <t>difference</t>
  </si>
  <si>
    <t>erotus</t>
  </si>
  <si>
    <t>differens</t>
  </si>
  <si>
    <t>difference equation</t>
  </si>
  <si>
    <t>differenssiyhtälö</t>
  </si>
  <si>
    <t>differensekvation</t>
  </si>
  <si>
    <t>differentiable</t>
  </si>
  <si>
    <t>differentioituva</t>
  </si>
  <si>
    <t>differentierbar</t>
  </si>
  <si>
    <t>differential calculus</t>
  </si>
  <si>
    <t>differentiaalilaskenta</t>
  </si>
  <si>
    <t>differentialkalkyl</t>
  </si>
  <si>
    <t>differential equation</t>
  </si>
  <si>
    <t>differentiaaliyhtälö</t>
  </si>
  <si>
    <t>differentialekvation</t>
  </si>
  <si>
    <t>differential equation with constant coefficients</t>
  </si>
  <si>
    <t>vakiokertoiminen differentiaaliyhtälö</t>
  </si>
  <si>
    <t>differentialekvation med konstanta koefficienter</t>
  </si>
  <si>
    <t>diffusion</t>
  </si>
  <si>
    <t>diffuusio</t>
  </si>
  <si>
    <t>dimension</t>
  </si>
  <si>
    <t>ulottuvuus, dimensio</t>
  </si>
  <si>
    <t>direct limit</t>
  </si>
  <si>
    <t>suora raja-arvo, suora raja</t>
  </si>
  <si>
    <t>direkt gränsvärde</t>
  </si>
  <si>
    <t>direct sum</t>
  </si>
  <si>
    <t>suora summa</t>
  </si>
  <si>
    <t>rak summa</t>
  </si>
  <si>
    <t>directed set</t>
  </si>
  <si>
    <t>suunnattu joukko</t>
  </si>
  <si>
    <t>riktad summa</t>
  </si>
  <si>
    <t>direction field</t>
  </si>
  <si>
    <t>suuntakenttä</t>
  </si>
  <si>
    <t>riktningsfält</t>
  </si>
  <si>
    <t>directional derivative</t>
  </si>
  <si>
    <t>suuntaderivaatta</t>
  </si>
  <si>
    <t>riktad derivata</t>
  </si>
  <si>
    <t>directrix</t>
  </si>
  <si>
    <t>johtosuora</t>
  </si>
  <si>
    <t>direktris, styrlinje</t>
  </si>
  <si>
    <t>disconnected</t>
  </si>
  <si>
    <t>epäyhtenäinen</t>
  </si>
  <si>
    <t>osammanhängande</t>
  </si>
  <si>
    <t>discontinuity</t>
  </si>
  <si>
    <t>epäjatkuvuus; epäjatkuvuuspiste</t>
  </si>
  <si>
    <t>diskontinuitet</t>
  </si>
  <si>
    <t>discontinuous</t>
  </si>
  <si>
    <t>epäjatkuva</t>
  </si>
  <si>
    <t>okontinuerlig</t>
  </si>
  <si>
    <t>discrete</t>
  </si>
  <si>
    <t>diskreetti</t>
  </si>
  <si>
    <t>diskret</t>
  </si>
  <si>
    <t>discriminant</t>
  </si>
  <si>
    <t>diskriminantti (b^2-4ac)</t>
  </si>
  <si>
    <t>diskriminant</t>
  </si>
  <si>
    <t>disjoint sets</t>
  </si>
  <si>
    <t>erilliset joukot, pistevieraat joukot</t>
  </si>
  <si>
    <t>disjunkta mängder</t>
  </si>
  <si>
    <t>disk</t>
  </si>
  <si>
    <t>kiekko</t>
  </si>
  <si>
    <t>skiva</t>
  </si>
  <si>
    <t>dissipative</t>
  </si>
  <si>
    <t>dissipatiivinen</t>
  </si>
  <si>
    <t>dissipativ</t>
  </si>
  <si>
    <t>distance</t>
  </si>
  <si>
    <t>etäisyys</t>
  </si>
  <si>
    <t>distans</t>
  </si>
  <si>
    <t>distribution</t>
  </si>
  <si>
    <t>distribuutio; jakauma</t>
  </si>
  <si>
    <t>fördelning</t>
  </si>
  <si>
    <t>distribution function</t>
  </si>
  <si>
    <t>jakaumafunktio</t>
  </si>
  <si>
    <t>fördelningsfunktion</t>
  </si>
  <si>
    <t>distributive law</t>
  </si>
  <si>
    <t>osittelulaki</t>
  </si>
  <si>
    <t>distributionslag</t>
  </si>
  <si>
    <t>divergence</t>
  </si>
  <si>
    <t>hajaantuminen; divergenssi (div f eli nabla.f)</t>
  </si>
  <si>
    <t>divergens</t>
  </si>
  <si>
    <t>divide</t>
  </si>
  <si>
    <t>jakaa</t>
  </si>
  <si>
    <t>dividera</t>
  </si>
  <si>
    <t>divident, numerator</t>
  </si>
  <si>
    <t>jaettava</t>
  </si>
  <si>
    <t>täljare</t>
  </si>
  <si>
    <t>division</t>
  </si>
  <si>
    <t>jakolasku, jakaminen</t>
  </si>
  <si>
    <t>divisor, denominator</t>
  </si>
  <si>
    <t>jakaja</t>
  </si>
  <si>
    <t>nämnare</t>
  </si>
  <si>
    <t>domain</t>
  </si>
  <si>
    <t>määrittelyjoukko; alue</t>
  </si>
  <si>
    <t>område</t>
  </si>
  <si>
    <t>dot product</t>
  </si>
  <si>
    <t>pistetulo, skalaaritulo, sisätulo</t>
  </si>
  <si>
    <t>skalärprodukt</t>
  </si>
  <si>
    <t>double integral</t>
  </si>
  <si>
    <t>kaksoisintegraali</t>
  </si>
  <si>
    <t>dubbelintegral</t>
  </si>
  <si>
    <t>dual problem</t>
  </si>
  <si>
    <t>duaaliongelma</t>
  </si>
  <si>
    <t>dualproblem</t>
  </si>
  <si>
    <t>dual, dual space</t>
  </si>
  <si>
    <t>duaali, duaaliavaruus</t>
  </si>
  <si>
    <t>dual, dualrum</t>
  </si>
  <si>
    <t>dummy variable</t>
  </si>
  <si>
    <t>tekomuuttuja</t>
  </si>
  <si>
    <t>eccentricity</t>
  </si>
  <si>
    <t>eksentrisyys</t>
  </si>
  <si>
    <t>excentricitet</t>
  </si>
  <si>
    <t>echelon form, row echelon form</t>
  </si>
  <si>
    <t>porrasmuoto</t>
  </si>
  <si>
    <t>trappstegsform</t>
  </si>
  <si>
    <t>echelon matrix</t>
  </si>
  <si>
    <t>porrasmatriisi</t>
  </si>
  <si>
    <t>trappstegsmatris</t>
  </si>
  <si>
    <t>edge</t>
  </si>
  <si>
    <t>särmä</t>
  </si>
  <si>
    <t>kant</t>
  </si>
  <si>
    <t>eigenspace</t>
  </si>
  <si>
    <t>ominaisavaruus</t>
  </si>
  <si>
    <t>egenrum</t>
  </si>
  <si>
    <t>eigenvalue</t>
  </si>
  <si>
    <t>ominaisarvo</t>
  </si>
  <si>
    <t>egenvärde</t>
  </si>
  <si>
    <t>eigenvector</t>
  </si>
  <si>
    <t>ominaisvektori</t>
  </si>
  <si>
    <t>egenvektor</t>
  </si>
  <si>
    <t>element, member</t>
  </si>
  <si>
    <t>alkio, jäsen</t>
  </si>
  <si>
    <t>element</t>
  </si>
  <si>
    <t>elementary matrix</t>
  </si>
  <si>
    <t>alkeismatriisi</t>
  </si>
  <si>
    <t>elementärmatris</t>
  </si>
  <si>
    <t>elimination</t>
  </si>
  <si>
    <t>eliminointi</t>
  </si>
  <si>
    <t>eliminering</t>
  </si>
  <si>
    <t>ellipse</t>
  </si>
  <si>
    <t>ellipsi</t>
  </si>
  <si>
    <t>ellips</t>
  </si>
  <si>
    <t>ellipsoid</t>
  </si>
  <si>
    <t>ellipsoidi</t>
  </si>
  <si>
    <t>elliptic</t>
  </si>
  <si>
    <t>elliptinen</t>
  </si>
  <si>
    <t>elliptisk</t>
  </si>
  <si>
    <t>elliptical helix</t>
  </si>
  <si>
    <t>elliptinen ruuvikierre</t>
  </si>
  <si>
    <t>embedding, imbedding</t>
  </si>
  <si>
    <t>upotus</t>
  </si>
  <si>
    <t>inbädding</t>
  </si>
  <si>
    <t>empirical</t>
  </si>
  <si>
    <t>empiirinen, kokeellinen</t>
  </si>
  <si>
    <t>empirisk, erfarenhetsbaserad</t>
  </si>
  <si>
    <t>empty set</t>
  </si>
  <si>
    <t>tyhjä joukko</t>
  </si>
  <si>
    <t>tom mängd</t>
  </si>
  <si>
    <t>endpoint</t>
  </si>
  <si>
    <t>päätepiste</t>
  </si>
  <si>
    <t>ändpunkt</t>
  </si>
  <si>
    <t>entire function</t>
  </si>
  <si>
    <t>kokonainen funktio</t>
  </si>
  <si>
    <t>hel funktion</t>
  </si>
  <si>
    <t>entry, element</t>
  </si>
  <si>
    <t>alkio (matriisin)</t>
  </si>
  <si>
    <t>enumerable, countable, denumerable</t>
  </si>
  <si>
    <t>envelope</t>
  </si>
  <si>
    <t>verho, verhokäyrä (käyräparven)</t>
  </si>
  <si>
    <t>envelopp</t>
  </si>
  <si>
    <t>equation</t>
  </si>
  <si>
    <t>yhtälö</t>
  </si>
  <si>
    <t>ekvation</t>
  </si>
  <si>
    <t>equicontinuous</t>
  </si>
  <si>
    <t>yhtäjatkuva (1. pisteittäin 2. tasaisesti)</t>
  </si>
  <si>
    <t>equivalence</t>
  </si>
  <si>
    <t>ekvivalenssi</t>
  </si>
  <si>
    <t>ekvivalens</t>
  </si>
  <si>
    <t>equivalent</t>
  </si>
  <si>
    <t>ekvivalentti, yhtäpitävä</t>
  </si>
  <si>
    <t>ekvivalent</t>
  </si>
  <si>
    <t>error</t>
  </si>
  <si>
    <t>virhe</t>
  </si>
  <si>
    <t>fel</t>
  </si>
  <si>
    <t>error estimate</t>
  </si>
  <si>
    <t>virhearvio</t>
  </si>
  <si>
    <t>felestimat</t>
  </si>
  <si>
    <t>essential singularity</t>
  </si>
  <si>
    <t>olennainen erikoispiste</t>
  </si>
  <si>
    <t>väsentlig singularitet</t>
  </si>
  <si>
    <t>estimate</t>
  </si>
  <si>
    <t>estimoida, arvioida, estimaatti, arvio</t>
  </si>
  <si>
    <t>estimera, estimat</t>
  </si>
  <si>
    <t>estimation</t>
  </si>
  <si>
    <t>estimaatio; estimointi</t>
  </si>
  <si>
    <t>estimat</t>
  </si>
  <si>
    <t>Euclidean space</t>
  </si>
  <si>
    <t>euklidinen avaruus</t>
  </si>
  <si>
    <t>Euklidiskt rum</t>
  </si>
  <si>
    <t>evaluation</t>
  </si>
  <si>
    <t>evaluaatio, laskeminen</t>
  </si>
  <si>
    <t>evaluering, uträkning</t>
  </si>
  <si>
    <t>laskeminen; arviointi, evaluaatio</t>
  </si>
  <si>
    <t>beräkning</t>
  </si>
  <si>
    <t>even</t>
  </si>
  <si>
    <t>parillinen</t>
  </si>
  <si>
    <t>jämn</t>
  </si>
  <si>
    <t>exact</t>
  </si>
  <si>
    <t>eksakti</t>
  </si>
  <si>
    <t>exakt</t>
  </si>
  <si>
    <t>exact sequence</t>
  </si>
  <si>
    <t>eksakti jono</t>
  </si>
  <si>
    <t>exakt sekvens</t>
  </si>
  <si>
    <t>example</t>
  </si>
  <si>
    <t>esimerkki</t>
  </si>
  <si>
    <t>exempel</t>
  </si>
  <si>
    <t>excision</t>
  </si>
  <si>
    <t>typistys</t>
  </si>
  <si>
    <t>exercise</t>
  </si>
  <si>
    <t>tehtävä</t>
  </si>
  <si>
    <t>uppgift</t>
  </si>
  <si>
    <t>exhaustion</t>
  </si>
  <si>
    <t>tyhjennys</t>
  </si>
  <si>
    <t>uttömmande</t>
  </si>
  <si>
    <t>existence</t>
  </si>
  <si>
    <t>olemassaolo</t>
  </si>
  <si>
    <t>existens</t>
  </si>
  <si>
    <t>exists</t>
  </si>
  <si>
    <t>olla olemassa</t>
  </si>
  <si>
    <t>existera</t>
  </si>
  <si>
    <t>expand</t>
  </si>
  <si>
    <t>laajentaa, laventaa; kehittää (esim. kehittää funktio sarjaksi)</t>
  </si>
  <si>
    <t>utveckla, expandera</t>
  </si>
  <si>
    <t>expected value, expectation (value)</t>
  </si>
  <si>
    <t>odotusarvo</t>
  </si>
  <si>
    <t>väntevärde</t>
  </si>
  <si>
    <t>exponential function</t>
  </si>
  <si>
    <t>eksponenttifunktio</t>
  </si>
  <si>
    <t>exponentfunktion</t>
  </si>
  <si>
    <t>exponential growth</t>
  </si>
  <si>
    <t>eksponentiaalinen kasvu</t>
  </si>
  <si>
    <t>exponentiell ökning</t>
  </si>
  <si>
    <t>expression</t>
  </si>
  <si>
    <t>lauseke</t>
  </si>
  <si>
    <t>uttryck</t>
  </si>
  <si>
    <t>extended</t>
  </si>
  <si>
    <t>laajennettu</t>
  </si>
  <si>
    <t>utvidgad</t>
  </si>
  <si>
    <t>extension</t>
  </si>
  <si>
    <t>jatke, laajennus</t>
  </si>
  <si>
    <t>utvidgning</t>
  </si>
  <si>
    <t>laajennus, jatke</t>
  </si>
  <si>
    <t>exterior</t>
  </si>
  <si>
    <t>ulkoinen, ulko-, ulkopuoli</t>
  </si>
  <si>
    <t>exteriör</t>
  </si>
  <si>
    <t>exterior point</t>
  </si>
  <si>
    <t>ulkopiste</t>
  </si>
  <si>
    <t>yttre punkt</t>
  </si>
  <si>
    <t>extremum point, extreme point</t>
  </si>
  <si>
    <t>ääriarvopiste</t>
  </si>
  <si>
    <t>extrempunkt</t>
  </si>
  <si>
    <t>extremum, extreme value</t>
  </si>
  <si>
    <t>ääriarvo</t>
  </si>
  <si>
    <t>extremvärde</t>
  </si>
  <si>
    <t>face</t>
  </si>
  <si>
    <t>tahko; lärvi (ei vak.)</t>
  </si>
  <si>
    <t>facett</t>
  </si>
  <si>
    <t>factor</t>
  </si>
  <si>
    <t>tekijä; faktori</t>
  </si>
  <si>
    <t>faktor</t>
  </si>
  <si>
    <t>factor(subst.)</t>
  </si>
  <si>
    <t>tekijä</t>
  </si>
  <si>
    <t>factor(verbi)</t>
  </si>
  <si>
    <t>jakaa tekijöihin</t>
  </si>
  <si>
    <t>faktorisera</t>
  </si>
  <si>
    <t>factorial</t>
  </si>
  <si>
    <t>kertoma (n!)</t>
  </si>
  <si>
    <t>fakultet</t>
  </si>
  <si>
    <t>factorization; decomposition</t>
  </si>
  <si>
    <t>tekijöihinjako; hajotelma</t>
  </si>
  <si>
    <t>faktorisering</t>
  </si>
  <si>
    <t>family</t>
  </si>
  <si>
    <t>perhe</t>
  </si>
  <si>
    <t>familj</t>
  </si>
  <si>
    <t>family of curves</t>
  </si>
  <si>
    <t>käyräparvi</t>
  </si>
  <si>
    <t>kurvfamilj</t>
  </si>
  <si>
    <t>fast Fourier transform (FFT)</t>
  </si>
  <si>
    <t>nopea Fourier-muunnos (FFT)</t>
  </si>
  <si>
    <t>snabb Fouriertransform</t>
  </si>
  <si>
    <t>favourable elementary event</t>
  </si>
  <si>
    <t>suotuisa alkeistapaus</t>
  </si>
  <si>
    <t>gynnsam elementärhändelse</t>
  </si>
  <si>
    <t>feasible</t>
  </si>
  <si>
    <t>käypä</t>
  </si>
  <si>
    <t>giltig, gångbar</t>
  </si>
  <si>
    <t>fiber</t>
  </si>
  <si>
    <t>säie</t>
  </si>
  <si>
    <t>field</t>
  </si>
  <si>
    <t>kenttä (vektori-); kunta (algebrassa)</t>
  </si>
  <si>
    <t>fält</t>
  </si>
  <si>
    <t>filter</t>
  </si>
  <si>
    <t>filtteri; suodatin</t>
  </si>
  <si>
    <t>filter base</t>
  </si>
  <si>
    <t>filtterikanta, rasteri</t>
  </si>
  <si>
    <t>filter basis</t>
  </si>
  <si>
    <t>filtterikanta (rasteri)</t>
  </si>
  <si>
    <t>finer topology</t>
  </si>
  <si>
    <t>hienompi topologia</t>
  </si>
  <si>
    <t>finare topologi</t>
  </si>
  <si>
    <t>finite</t>
  </si>
  <si>
    <t>äärellinen</t>
  </si>
  <si>
    <t>ändlig</t>
  </si>
  <si>
    <t>finitely-valued</t>
  </si>
  <si>
    <t>äärellisarvoinen</t>
  </si>
  <si>
    <t>first category</t>
  </si>
  <si>
    <t>ensimmäinen kategoria (Baire)</t>
  </si>
  <si>
    <t>first countable space</t>
  </si>
  <si>
    <t>N1-avaruus</t>
  </si>
  <si>
    <t>first-order differential equation</t>
  </si>
  <si>
    <t>ensimmäisen kertaluvun differentiaaliyhtälö</t>
  </si>
  <si>
    <t>differentialekvation av första graden</t>
  </si>
  <si>
    <t>fitting</t>
  </si>
  <si>
    <t>sovitus</t>
  </si>
  <si>
    <t>anpassning</t>
  </si>
  <si>
    <t>fixed point</t>
  </si>
  <si>
    <t>kiintopiste</t>
  </si>
  <si>
    <t>fixpunkt</t>
  </si>
  <si>
    <t>flux, flow</t>
  </si>
  <si>
    <t>vuo</t>
  </si>
  <si>
    <t>flöd</t>
  </si>
  <si>
    <t>focus</t>
  </si>
  <si>
    <t>polttopiste</t>
  </si>
  <si>
    <t>brännpunkt, fokus</t>
  </si>
  <si>
    <t>forgetful</t>
  </si>
  <si>
    <t>unohtava</t>
  </si>
  <si>
    <t>formula</t>
  </si>
  <si>
    <t>kaava</t>
  </si>
  <si>
    <t>formel</t>
  </si>
  <si>
    <t>Fourier series</t>
  </si>
  <si>
    <t>Fourier-sarja</t>
  </si>
  <si>
    <t>Fourier serie</t>
  </si>
  <si>
    <t>Fourier transform</t>
  </si>
  <si>
    <t>Fourier-muunnos</t>
  </si>
  <si>
    <t>Fouriertransformation</t>
  </si>
  <si>
    <t>fraction</t>
  </si>
  <si>
    <t>murtokehitelma</t>
  </si>
  <si>
    <t>fraktion, bråkutveckling</t>
  </si>
  <si>
    <t>Frechet space</t>
  </si>
  <si>
    <t>Frechet-avaruus (Fréchet, "Fre'shee")</t>
  </si>
  <si>
    <t>free variable</t>
  </si>
  <si>
    <t>vapaa muuttuja</t>
  </si>
  <si>
    <t>fri variabel</t>
  </si>
  <si>
    <t>frequency</t>
  </si>
  <si>
    <t>taajuus; frekvenssi</t>
  </si>
  <si>
    <t>frekvens</t>
  </si>
  <si>
    <t>frontier, boundary</t>
  </si>
  <si>
    <t>F-space</t>
  </si>
  <si>
    <t>F-avaruus</t>
  </si>
  <si>
    <t>full rank</t>
  </si>
  <si>
    <t>täysi rangi (yms., ks. rank)</t>
  </si>
  <si>
    <t>full rang</t>
  </si>
  <si>
    <t>function</t>
  </si>
  <si>
    <t>funktio</t>
  </si>
  <si>
    <t>funktion</t>
  </si>
  <si>
    <t>functional</t>
  </si>
  <si>
    <t>funktionaali</t>
  </si>
  <si>
    <t>funktional</t>
  </si>
  <si>
    <t>functor</t>
  </si>
  <si>
    <t>funktori</t>
  </si>
  <si>
    <t>fundamental group</t>
  </si>
  <si>
    <t>perusryhmä</t>
  </si>
  <si>
    <t>grundmängd</t>
  </si>
  <si>
    <t>fundamental solution</t>
  </si>
  <si>
    <t>perusratkaisu</t>
  </si>
  <si>
    <t>fundamentallösning</t>
  </si>
  <si>
    <t>fundamental system of neighborhoods</t>
  </si>
  <si>
    <t>ympäristökanta</t>
  </si>
  <si>
    <t>fundamental theorem</t>
  </si>
  <si>
    <t>peruslause</t>
  </si>
  <si>
    <t>fundamentalsats</t>
  </si>
  <si>
    <t>gamma function</t>
  </si>
  <si>
    <t>gamma-funktio</t>
  </si>
  <si>
    <t>gammafunktion</t>
  </si>
  <si>
    <t>Gauss distribution, normal distribution</t>
  </si>
  <si>
    <t>normaalijakauma</t>
  </si>
  <si>
    <t>normalfördelning</t>
  </si>
  <si>
    <t>generalization</t>
  </si>
  <si>
    <t>yleistys</t>
  </si>
  <si>
    <t>generalisering</t>
  </si>
  <si>
    <t>generalized function, distribution</t>
  </si>
  <si>
    <t>distribuutio, yleistetty funktio</t>
  </si>
  <si>
    <t>generaliserad funktion, distribution</t>
  </si>
  <si>
    <t>generalized integral, improper integral</t>
  </si>
  <si>
    <t>epäoleellinen integraali</t>
  </si>
  <si>
    <t>oegentlig integral</t>
  </si>
  <si>
    <t>generate</t>
  </si>
  <si>
    <t>virittää; generoida</t>
  </si>
  <si>
    <t>alstra, generera</t>
  </si>
  <si>
    <t>generator</t>
  </si>
  <si>
    <t>emäsuora (kartion)</t>
  </si>
  <si>
    <t>generatris</t>
  </si>
  <si>
    <t>generaattori (infinitesimaalinen)</t>
  </si>
  <si>
    <t>geometric mean</t>
  </si>
  <si>
    <t>geometrinen keskiarvo</t>
  </si>
  <si>
    <t>geometriskt medelvärde</t>
  </si>
  <si>
    <t>geometric multiplicity</t>
  </si>
  <si>
    <t>geometrinen kertaluku</t>
  </si>
  <si>
    <t>geometrisk mångfald</t>
  </si>
  <si>
    <t>geometric series</t>
  </si>
  <si>
    <t>geometrinen sarja</t>
  </si>
  <si>
    <t>geometrisk serie</t>
  </si>
  <si>
    <t>global extremum</t>
  </si>
  <si>
    <t>globaali ääriarvo</t>
  </si>
  <si>
    <t>globalt extremvärde</t>
  </si>
  <si>
    <t>graded</t>
  </si>
  <si>
    <t>porrastettu</t>
  </si>
  <si>
    <t>graderad</t>
  </si>
  <si>
    <t>gradient</t>
  </si>
  <si>
    <t>gradientti (nabla f)</t>
  </si>
  <si>
    <t>graph</t>
  </si>
  <si>
    <t>kuvaaja, graafi;piirros</t>
  </si>
  <si>
    <t>graf</t>
  </si>
  <si>
    <t>gravity</t>
  </si>
  <si>
    <t>gravitaatio</t>
  </si>
  <si>
    <t>tyngdkraft, gravitation</t>
  </si>
  <si>
    <t>greatest common divisor</t>
  </si>
  <si>
    <t>suurin yhteinen tekija</t>
  </si>
  <si>
    <t>största gemensamma faktor</t>
  </si>
  <si>
    <t>grid, lattice</t>
  </si>
  <si>
    <t>hila; verkko</t>
  </si>
  <si>
    <t>gitter</t>
  </si>
  <si>
    <t>group</t>
  </si>
  <si>
    <t>ryhmä</t>
  </si>
  <si>
    <t>grupp</t>
  </si>
  <si>
    <t>half-life</t>
  </si>
  <si>
    <t>puoliintumisaika</t>
  </si>
  <si>
    <t>halveringstid</t>
  </si>
  <si>
    <t>half-open interval</t>
  </si>
  <si>
    <t>puoliavoin väli</t>
  </si>
  <si>
    <t>halvöppet intervall</t>
  </si>
  <si>
    <t>handle</t>
  </si>
  <si>
    <t>kahva</t>
  </si>
  <si>
    <t>skaft</t>
  </si>
  <si>
    <t>harmonic</t>
  </si>
  <si>
    <t>harmoninen</t>
  </si>
  <si>
    <t>harmonisk</t>
  </si>
  <si>
    <t>height</t>
  </si>
  <si>
    <t>korkeus</t>
  </si>
  <si>
    <t>höjd</t>
  </si>
  <si>
    <t>helix</t>
  </si>
  <si>
    <t>ruuvikierre, ruuviviiva</t>
  </si>
  <si>
    <t>skruvlinje, spiral</t>
  </si>
  <si>
    <t>hemisphere</t>
  </si>
  <si>
    <t>puolipallo</t>
  </si>
  <si>
    <t>halvklot</t>
  </si>
  <si>
    <t>hereditary</t>
  </si>
  <si>
    <t>perinnöllinen</t>
  </si>
  <si>
    <t>ärftlig</t>
  </si>
  <si>
    <t>hermitian</t>
  </si>
  <si>
    <t>hermiittinen, Hermiten</t>
  </si>
  <si>
    <t>Hermitesk</t>
  </si>
  <si>
    <t>hexadecimal number</t>
  </si>
  <si>
    <t>heksadesimaaliluku</t>
  </si>
  <si>
    <t>hexadecimaltal</t>
  </si>
  <si>
    <t>Hilbert basis</t>
  </si>
  <si>
    <t>Hilbert-kanta</t>
  </si>
  <si>
    <t>Hilbert-bas</t>
  </si>
  <si>
    <t>Hilbert dimension</t>
  </si>
  <si>
    <t>Hilbert-dimensio (max. vektoridimensio)</t>
  </si>
  <si>
    <t>Hilbert-dimension</t>
  </si>
  <si>
    <t>Hilbert space</t>
  </si>
  <si>
    <t>Hilbert-avaruus</t>
  </si>
  <si>
    <t>Hilbert-rum</t>
  </si>
  <si>
    <t>holomorphic, analytic</t>
  </si>
  <si>
    <t>holomorfinen, analyyttinen</t>
  </si>
  <si>
    <t>holomorfisk, analytisk</t>
  </si>
  <si>
    <t>homogeneous</t>
  </si>
  <si>
    <t>homogeeninen</t>
  </si>
  <si>
    <t>homogen</t>
  </si>
  <si>
    <t>homology</t>
  </si>
  <si>
    <t>homologia</t>
  </si>
  <si>
    <t>homologi</t>
  </si>
  <si>
    <t>homomorphism</t>
  </si>
  <si>
    <t>homomorfismi, homomorfia</t>
  </si>
  <si>
    <t>homomorfism</t>
  </si>
  <si>
    <t>homotopy</t>
  </si>
  <si>
    <t>homotopia</t>
  </si>
  <si>
    <t>homotopi</t>
  </si>
  <si>
    <t>horizontal</t>
  </si>
  <si>
    <t>vaakasuora</t>
  </si>
  <si>
    <t>horisontell</t>
  </si>
  <si>
    <t>hyperbola</t>
  </si>
  <si>
    <t>hyperbeli</t>
  </si>
  <si>
    <t>hyperbel</t>
  </si>
  <si>
    <t>hyperbolic</t>
  </si>
  <si>
    <t>hyperbolinen</t>
  </si>
  <si>
    <t>hyperbolisk</t>
  </si>
  <si>
    <t>hyperbolic sine</t>
  </si>
  <si>
    <t>hyperbolinen sini</t>
  </si>
  <si>
    <t>hyperbolisk sinus</t>
  </si>
  <si>
    <t>hyperplane</t>
  </si>
  <si>
    <t>hypertaso</t>
  </si>
  <si>
    <t>hyperplan</t>
  </si>
  <si>
    <t>hypotenuse</t>
  </si>
  <si>
    <t>hypotenuusa (suorak. kolmion pisin sivu)</t>
  </si>
  <si>
    <t>hypotenusa (-n)</t>
  </si>
  <si>
    <t>ideal</t>
  </si>
  <si>
    <t>ideaali</t>
  </si>
  <si>
    <t>identification</t>
  </si>
  <si>
    <t>samastus</t>
  </si>
  <si>
    <t>identifiering</t>
  </si>
  <si>
    <t>identity (mapping)</t>
  </si>
  <si>
    <t>identiteetti(kuvaus)</t>
  </si>
  <si>
    <t>identitetsavbildning</t>
  </si>
  <si>
    <t>identity matrix</t>
  </si>
  <si>
    <t>identiteettimatriisi, yksikkömatriisi</t>
  </si>
  <si>
    <t>enhetsmatris</t>
  </si>
  <si>
    <t>ill-posed</t>
  </si>
  <si>
    <t>pahanlaatuinen</t>
  </si>
  <si>
    <t>elakartad</t>
  </si>
  <si>
    <t>image</t>
  </si>
  <si>
    <t>kuva</t>
  </si>
  <si>
    <t>bild</t>
  </si>
  <si>
    <t>imaginary</t>
  </si>
  <si>
    <t>imaginaarinen</t>
  </si>
  <si>
    <t>imaginär</t>
  </si>
  <si>
    <t>imaginary axis</t>
  </si>
  <si>
    <t>imaginaariakseli</t>
  </si>
  <si>
    <t>imaginär axel</t>
  </si>
  <si>
    <t>imaginary part</t>
  </si>
  <si>
    <t>imaginaariosa</t>
  </si>
  <si>
    <t>imaginär del</t>
  </si>
  <si>
    <t>imaginary unit</t>
  </si>
  <si>
    <t>imaginaariyksikkö (i)</t>
  </si>
  <si>
    <t>imaginärenheten</t>
  </si>
  <si>
    <t>imbedding, embedding</t>
  </si>
  <si>
    <t>immersion</t>
  </si>
  <si>
    <t>immersio</t>
  </si>
  <si>
    <t>implication</t>
  </si>
  <si>
    <t>implikaatio, seuraus</t>
  </si>
  <si>
    <t>implikation, följd, konsekvens</t>
  </si>
  <si>
    <t>implicit</t>
  </si>
  <si>
    <t>implisiittinen</t>
  </si>
  <si>
    <t>implicit differentiation</t>
  </si>
  <si>
    <t>implisiittinen derivointi</t>
  </si>
  <si>
    <t>implicit derivering</t>
  </si>
  <si>
    <t>implicit function theorem</t>
  </si>
  <si>
    <t>implisiittifunktiolause</t>
  </si>
  <si>
    <t>implicita funktionssatsen</t>
  </si>
  <si>
    <t>implies</t>
  </si>
  <si>
    <t>implikoi</t>
  </si>
  <si>
    <t>implicera, medföra</t>
  </si>
  <si>
    <t>improper integral</t>
  </si>
  <si>
    <t>incidence matrix</t>
  </si>
  <si>
    <t>kytkentämatriisi</t>
  </si>
  <si>
    <t>inclusion</t>
  </si>
  <si>
    <t>inkluusio</t>
  </si>
  <si>
    <t>incompressible (oik. puristumaton)</t>
  </si>
  <si>
    <t>lähteetön (div f eli nabla.f on 0)</t>
  </si>
  <si>
    <t>källfri</t>
  </si>
  <si>
    <t>increasing</t>
  </si>
  <si>
    <t>kasvava; aidosti kasvava</t>
  </si>
  <si>
    <t>växande</t>
  </si>
  <si>
    <t>indefinite</t>
  </si>
  <si>
    <t>indefiniitti (matriisi, neliömuoto)</t>
  </si>
  <si>
    <t>obestämd</t>
  </si>
  <si>
    <t>indefinite integral</t>
  </si>
  <si>
    <t>määräämätön integraali, epämääräinen integraali</t>
  </si>
  <si>
    <t>obestämd integral</t>
  </si>
  <si>
    <t>independence</t>
  </si>
  <si>
    <t>riippumattomuus</t>
  </si>
  <si>
    <t>oberoende</t>
  </si>
  <si>
    <t>independent</t>
  </si>
  <si>
    <t>riippumaton</t>
  </si>
  <si>
    <t>indiscrete topology</t>
  </si>
  <si>
    <t>minitopologia</t>
  </si>
  <si>
    <t>induce</t>
  </si>
  <si>
    <t>indusoida (esim. topologia)</t>
  </si>
  <si>
    <t>inducera</t>
  </si>
  <si>
    <t>induction</t>
  </si>
  <si>
    <t>induktio</t>
  </si>
  <si>
    <t>induktion</t>
  </si>
  <si>
    <t>inequality</t>
  </si>
  <si>
    <t>epäyhtälö</t>
  </si>
  <si>
    <t>olikhet</t>
  </si>
  <si>
    <t>infimum</t>
  </si>
  <si>
    <t>infimum ("iinfimum"), suurin alaraja</t>
  </si>
  <si>
    <t>infinite</t>
  </si>
  <si>
    <t>ääretön (adj.)</t>
  </si>
  <si>
    <t>oändlig</t>
  </si>
  <si>
    <t>infinitesimal</t>
  </si>
  <si>
    <t>infinitesimaalinen</t>
  </si>
  <si>
    <t>infinity</t>
  </si>
  <si>
    <t>ääretön (subst.)</t>
  </si>
  <si>
    <t>oändlighet</t>
  </si>
  <si>
    <t>inflection point</t>
  </si>
  <si>
    <t>käännepiste, kaarevuuden käännepiste</t>
  </si>
  <si>
    <t>inflektionspunkt</t>
  </si>
  <si>
    <t>initial value</t>
  </si>
  <si>
    <t>alkuarvo</t>
  </si>
  <si>
    <t>begynnelsevärde</t>
  </si>
  <si>
    <t>injection, one-to-one</t>
  </si>
  <si>
    <t>injective</t>
  </si>
  <si>
    <t>injektiivinen</t>
  </si>
  <si>
    <t>injektiv</t>
  </si>
  <si>
    <t>inner product</t>
  </si>
  <si>
    <t>sisätulo, pistetulo, skalaaritulo</t>
  </si>
  <si>
    <t>inreprodukt</t>
  </si>
  <si>
    <t>inner product space, pre-Hilbert space</t>
  </si>
  <si>
    <t>sisätuloavaruus</t>
  </si>
  <si>
    <t>inreproduktrum</t>
  </si>
  <si>
    <t>inner regular</t>
  </si>
  <si>
    <t>sisäsäännöllinen (mitta)</t>
  </si>
  <si>
    <t>input</t>
  </si>
  <si>
    <t>tulo, sisääntulo, input</t>
  </si>
  <si>
    <t>output</t>
  </si>
  <si>
    <t>lähtö, ulostulo, output</t>
  </si>
  <si>
    <t>inscribed circle</t>
  </si>
  <si>
    <t>sisään piirretty ympyrä</t>
  </si>
  <si>
    <t>inskriven cirkel</t>
  </si>
  <si>
    <t>integer</t>
  </si>
  <si>
    <t>kokonaisluku, kokonais-</t>
  </si>
  <si>
    <t>heltal</t>
  </si>
  <si>
    <t>integrable (summable)</t>
  </si>
  <si>
    <t>integroituva (summautuva)</t>
  </si>
  <si>
    <t>integrerbar</t>
  </si>
  <si>
    <t>integral</t>
  </si>
  <si>
    <t>integraali; kokonainen</t>
  </si>
  <si>
    <t>integral calculus</t>
  </si>
  <si>
    <t>integraalilaskenta</t>
  </si>
  <si>
    <t>integralräkning, integralkalkyl</t>
  </si>
  <si>
    <t>integral test</t>
  </si>
  <si>
    <t>integraalitesti</t>
  </si>
  <si>
    <t>integraltest</t>
  </si>
  <si>
    <t>integrand</t>
  </si>
  <si>
    <t>integrandi, integroitava</t>
  </si>
  <si>
    <t>integration by parts</t>
  </si>
  <si>
    <t>osittaisintegrointi</t>
  </si>
  <si>
    <t>partiell integration</t>
  </si>
  <si>
    <t>integration with respect to x</t>
  </si>
  <si>
    <t>integrointi x:n suhteen</t>
  </si>
  <si>
    <t>integration med avseende å x</t>
  </si>
  <si>
    <t>interior</t>
  </si>
  <si>
    <t>sisus</t>
  </si>
  <si>
    <t>interiör</t>
  </si>
  <si>
    <t>interior point</t>
  </si>
  <si>
    <t>sisäpiste</t>
  </si>
  <si>
    <t>inre punkt</t>
  </si>
  <si>
    <t>intermediate value theorem</t>
  </si>
  <si>
    <t>yleistetty väliarvolause</t>
  </si>
  <si>
    <t>intersection</t>
  </si>
  <si>
    <t>leikkaus</t>
  </si>
  <si>
    <t>snitt</t>
  </si>
  <si>
    <t>interval</t>
  </si>
  <si>
    <t>väli</t>
  </si>
  <si>
    <t>intervall</t>
  </si>
  <si>
    <t>invariance</t>
  </si>
  <si>
    <t>invarianssi</t>
  </si>
  <si>
    <t>invarians</t>
  </si>
  <si>
    <t>invariant</t>
  </si>
  <si>
    <t>invariantti</t>
  </si>
  <si>
    <t>inverse element</t>
  </si>
  <si>
    <t>käänteisalkio</t>
  </si>
  <si>
    <t>inverst element</t>
  </si>
  <si>
    <t>inverse function</t>
  </si>
  <si>
    <t>käänteisfunktio</t>
  </si>
  <si>
    <t>inversfunktion</t>
  </si>
  <si>
    <t>inverse function theorem</t>
  </si>
  <si>
    <t>käänteisfunktiolause</t>
  </si>
  <si>
    <t>inversa funktionssatsen</t>
  </si>
  <si>
    <t>inverse image</t>
  </si>
  <si>
    <t>alkukuva</t>
  </si>
  <si>
    <t>inverse limit</t>
  </si>
  <si>
    <t>käänteinen raja-arvo, inverssi raja</t>
  </si>
  <si>
    <t>inverse matrix</t>
  </si>
  <si>
    <t>käänteismatriisi</t>
  </si>
  <si>
    <t>inversmatris, reciprok</t>
  </si>
  <si>
    <t>invertible</t>
  </si>
  <si>
    <t>kääntyvä, säännöllinen</t>
  </si>
  <si>
    <t>inverterbar</t>
  </si>
  <si>
    <t>invertion</t>
  </si>
  <si>
    <t>käänteismuunnos</t>
  </si>
  <si>
    <t>inversion</t>
  </si>
  <si>
    <t>irrational</t>
  </si>
  <si>
    <t>irrationaalinen</t>
  </si>
  <si>
    <t>irrationell</t>
  </si>
  <si>
    <t>irrotational</t>
  </si>
  <si>
    <t>pyörteetön (curl f eli nabla risti f on 0)</t>
  </si>
  <si>
    <t>virvelfri</t>
  </si>
  <si>
    <t>isolated point</t>
  </si>
  <si>
    <t>eristetty piste</t>
  </si>
  <si>
    <t>isolerad punkt</t>
  </si>
  <si>
    <t>isometric</t>
  </si>
  <si>
    <t>isometrinen</t>
  </si>
  <si>
    <t>isometrisk</t>
  </si>
  <si>
    <t>isometry</t>
  </si>
  <si>
    <t>isometria (etäisyyden säilyttävä kuvaus)</t>
  </si>
  <si>
    <t>isometri</t>
  </si>
  <si>
    <t>isomorphic</t>
  </si>
  <si>
    <t>isomorfinen</t>
  </si>
  <si>
    <t>isomorf</t>
  </si>
  <si>
    <t>isomorphism</t>
  </si>
  <si>
    <t>isomorfismi, isomorfia</t>
  </si>
  <si>
    <t>isomorfism</t>
  </si>
  <si>
    <t>iterated integral, repeated integral</t>
  </si>
  <si>
    <t>moninkertainen integraali, iteroitu</t>
  </si>
  <si>
    <t>iteration</t>
  </si>
  <si>
    <t>iteraatio</t>
  </si>
  <si>
    <t>Jacobian</t>
  </si>
  <si>
    <t>Jacobin determinantti, funktionaalideterminantti</t>
  </si>
  <si>
    <t>Jakobdeterminant</t>
  </si>
  <si>
    <t>Jacobian matrix</t>
  </si>
  <si>
    <t>Jacobin matriisi</t>
  </si>
  <si>
    <t>Jakob matris</t>
  </si>
  <si>
    <t>join</t>
  </si>
  <si>
    <t>liitto</t>
  </si>
  <si>
    <t>sammanbinda, sammanbindning</t>
  </si>
  <si>
    <t>Jordan form</t>
  </si>
  <si>
    <t>Jordanin muoto</t>
  </si>
  <si>
    <t>Jordan-form</t>
  </si>
  <si>
    <t>kernel, null space</t>
  </si>
  <si>
    <t>ydin</t>
  </si>
  <si>
    <t>kärnan, nollrummet</t>
  </si>
  <si>
    <t>knot</t>
  </si>
  <si>
    <t>solmu</t>
  </si>
  <si>
    <t>knop</t>
  </si>
  <si>
    <t>Lagrange multipliers</t>
  </si>
  <si>
    <t>Lagrangen kertoimet</t>
  </si>
  <si>
    <t>Lagranges koefficienter</t>
  </si>
  <si>
    <t>Lagrange remainder</t>
  </si>
  <si>
    <t>Lagrangen jäännöstermi (Taylorin polynomin)</t>
  </si>
  <si>
    <t>Lagranges restterm</t>
  </si>
  <si>
    <t>Laplace transform</t>
  </si>
  <si>
    <t>Laplace-muunnos ("laplas")</t>
  </si>
  <si>
    <t>Laplacetransformation</t>
  </si>
  <si>
    <t>lattice, grid</t>
  </si>
  <si>
    <t>least common multiple</t>
  </si>
  <si>
    <t>pienin yhteinen monikerta</t>
  </si>
  <si>
    <t>minsta gemensamma multipel</t>
  </si>
  <si>
    <t>least squares</t>
  </si>
  <si>
    <t>pienin neliö(summa)</t>
  </si>
  <si>
    <t>minsta kvadrat</t>
  </si>
  <si>
    <t>Lebesgue measure ("le'beg")</t>
  </si>
  <si>
    <t>Lebesguen mitta</t>
  </si>
  <si>
    <t>Lebesgue-mått</t>
  </si>
  <si>
    <t>left derivative</t>
  </si>
  <si>
    <t>vasemmanpuoleinen derivaatta, derivaatta vasemmalta</t>
  </si>
  <si>
    <t>vänster-derivata</t>
  </si>
  <si>
    <t>left inverse (matrix)</t>
  </si>
  <si>
    <t>vasemmanpuoleinen käänteismatriisi</t>
  </si>
  <si>
    <t>vänster invers</t>
  </si>
  <si>
    <t>left null space</t>
  </si>
  <si>
    <t>vasen ydin</t>
  </si>
  <si>
    <t>vänster kärna</t>
  </si>
  <si>
    <t>left-hand limit, left limit</t>
  </si>
  <si>
    <t>vasemmanpuoleinen raja-arvo</t>
  </si>
  <si>
    <t>vänster gränsvärde</t>
  </si>
  <si>
    <t>leg (of a triangle)</t>
  </si>
  <si>
    <t>kateetti (kolmion)</t>
  </si>
  <si>
    <t>katet (-en -er)</t>
  </si>
  <si>
    <t>lemma</t>
  </si>
  <si>
    <t>lemma, apulause</t>
  </si>
  <si>
    <t>lemma, hjälpsats</t>
  </si>
  <si>
    <t>lemniscate</t>
  </si>
  <si>
    <t>lemniskaatta</t>
  </si>
  <si>
    <t>lemniskata</t>
  </si>
  <si>
    <t>length</t>
  </si>
  <si>
    <t>pituus</t>
  </si>
  <si>
    <t>längd</t>
  </si>
  <si>
    <t>level curve, contour</t>
  </si>
  <si>
    <t>höjdkurva, kontur</t>
  </si>
  <si>
    <t>level surface</t>
  </si>
  <si>
    <t>tasa-arvopinta</t>
  </si>
  <si>
    <t>höjdyta</t>
  </si>
  <si>
    <t>lift, lifting</t>
  </si>
  <si>
    <t>nosto</t>
  </si>
  <si>
    <t>limes inferior</t>
  </si>
  <si>
    <t>alaraja-arvo (liminf)</t>
  </si>
  <si>
    <t>nedre gränsvärde</t>
  </si>
  <si>
    <t>limes superior</t>
  </si>
  <si>
    <t>yläraja-arvo (limsup)</t>
  </si>
  <si>
    <t>övre gränsvärde</t>
  </si>
  <si>
    <t>limit</t>
  </si>
  <si>
    <t>raja-arvo</t>
  </si>
  <si>
    <t>gränsvärde</t>
  </si>
  <si>
    <t>limit point</t>
  </si>
  <si>
    <t>line integral</t>
  </si>
  <si>
    <t>viivaintegraali</t>
  </si>
  <si>
    <t>kurvintegral</t>
  </si>
  <si>
    <t>line segment</t>
  </si>
  <si>
    <t>jana</t>
  </si>
  <si>
    <t>sträcka</t>
  </si>
  <si>
    <t>line, straight line</t>
  </si>
  <si>
    <t>suora</t>
  </si>
  <si>
    <t>linje</t>
  </si>
  <si>
    <t>linear algebra</t>
  </si>
  <si>
    <t>lineaarialgebra</t>
  </si>
  <si>
    <t>linjäralgebra</t>
  </si>
  <si>
    <t>linear combination</t>
  </si>
  <si>
    <t>lineaarikombinaatio, lineaariyhdistely, lineaariyhdistelmä, lineaariyhdelmä</t>
  </si>
  <si>
    <t>linjärkombination</t>
  </si>
  <si>
    <t>linear programming</t>
  </si>
  <si>
    <t>lineaarinen ohjelmointi</t>
  </si>
  <si>
    <t>linear space, vector space</t>
  </si>
  <si>
    <t>vektoriavaruus, lineaariavaruus</t>
  </si>
  <si>
    <t>linjärt rum</t>
  </si>
  <si>
    <t>linear transformation</t>
  </si>
  <si>
    <t>lineaarikuvaus, lineaarimuunnos</t>
  </si>
  <si>
    <t>linjär transformation</t>
  </si>
  <si>
    <t>linearly independent</t>
  </si>
  <si>
    <t>lineaarisesti riippumaton</t>
  </si>
  <si>
    <t>linjärt oberoende</t>
  </si>
  <si>
    <t>linkki</t>
  </si>
  <si>
    <t>länk</t>
  </si>
  <si>
    <t>local</t>
  </si>
  <si>
    <t>lokaali, paikallinen</t>
  </si>
  <si>
    <t>lokal</t>
  </si>
  <si>
    <t>local basis</t>
  </si>
  <si>
    <t>local extremum</t>
  </si>
  <si>
    <t>paikallinen ääriarvo, lokaali ääriarvo</t>
  </si>
  <si>
    <t>lokalt extremvärde</t>
  </si>
  <si>
    <t>locally compact</t>
  </si>
  <si>
    <t>lokaalisti kompakti</t>
  </si>
  <si>
    <t>locally finite</t>
  </si>
  <si>
    <t>lokaalisti äärellinen</t>
  </si>
  <si>
    <t>lokalt ändlig, lokalt begränsad</t>
  </si>
  <si>
    <t>locally integrable</t>
  </si>
  <si>
    <t>lokaalisti integroituva</t>
  </si>
  <si>
    <t>lokalt integrerbar</t>
  </si>
  <si>
    <t>logarithm</t>
  </si>
  <si>
    <t>logaritmi</t>
  </si>
  <si>
    <t>logaritm</t>
  </si>
  <si>
    <t>loop</t>
  </si>
  <si>
    <t>silmukka</t>
  </si>
  <si>
    <t>ögla</t>
  </si>
  <si>
    <t>lower bound</t>
  </si>
  <si>
    <t>alaraja</t>
  </si>
  <si>
    <t>lägre gräns</t>
  </si>
  <si>
    <t>lower semicontinuous</t>
  </si>
  <si>
    <t>alhaalta puolijatkuva, alaspäin puolijatkuva</t>
  </si>
  <si>
    <t>lower sum</t>
  </si>
  <si>
    <t>alasumma</t>
  </si>
  <si>
    <t>undersumma</t>
  </si>
  <si>
    <t>lower triangular matrix</t>
  </si>
  <si>
    <t>alakolmiomatriisi</t>
  </si>
  <si>
    <t>undertriangulär matris</t>
  </si>
  <si>
    <t>manifold</t>
  </si>
  <si>
    <t>monisto</t>
  </si>
  <si>
    <t>mångfald</t>
  </si>
  <si>
    <t>manifold with boundary</t>
  </si>
  <si>
    <t>reunallinen monisto</t>
  </si>
  <si>
    <t>mantissa</t>
  </si>
  <si>
    <t>map, mapping</t>
  </si>
  <si>
    <t>kuvaus</t>
  </si>
  <si>
    <t>avbildning</t>
  </si>
  <si>
    <t>mapping cone</t>
  </si>
  <si>
    <t>kuvauskartio</t>
  </si>
  <si>
    <t>avbildningskon</t>
  </si>
  <si>
    <t>mapping cylinder</t>
  </si>
  <si>
    <t>kuvauslieriö</t>
  </si>
  <si>
    <t>avbildningscylinder</t>
  </si>
  <si>
    <t>mapping, function</t>
  </si>
  <si>
    <t>kuvaus, funktio</t>
  </si>
  <si>
    <t>martingale</t>
  </si>
  <si>
    <t>martingaali</t>
  </si>
  <si>
    <t>matrix</t>
  </si>
  <si>
    <t>matriisi</t>
  </si>
  <si>
    <t>matris</t>
  </si>
  <si>
    <t>matrix norm</t>
  </si>
  <si>
    <t>matriisinormi</t>
  </si>
  <si>
    <t>matrisnorm</t>
  </si>
  <si>
    <t>maximal function</t>
  </si>
  <si>
    <t>maksimifunktio</t>
  </si>
  <si>
    <t>maximize</t>
  </si>
  <si>
    <t>maksimoida</t>
  </si>
  <si>
    <t>maximera</t>
  </si>
  <si>
    <t>maximum</t>
  </si>
  <si>
    <t>maksimi</t>
  </si>
  <si>
    <t>meager set, set of first category</t>
  </si>
  <si>
    <t>laiha joukko</t>
  </si>
  <si>
    <t>mean</t>
  </si>
  <si>
    <t>medelvärde, medeltal</t>
  </si>
  <si>
    <t>mean deviation</t>
  </si>
  <si>
    <t>keskipoikkeama</t>
  </si>
  <si>
    <t>medelavvikelse</t>
  </si>
  <si>
    <t>mean value theorem</t>
  </si>
  <si>
    <t>väliarvolause</t>
  </si>
  <si>
    <t>medelvärdes satsen</t>
  </si>
  <si>
    <t>measurable</t>
  </si>
  <si>
    <t>mitallinen</t>
  </si>
  <si>
    <t>mätbar</t>
  </si>
  <si>
    <t>measurable space</t>
  </si>
  <si>
    <t>mitta-avaruus, mitallinen avaruus</t>
  </si>
  <si>
    <t>mätbart rum</t>
  </si>
  <si>
    <t>measure</t>
  </si>
  <si>
    <t>mitta</t>
  </si>
  <si>
    <t>mått</t>
  </si>
  <si>
    <t>median</t>
  </si>
  <si>
    <t>mediaani</t>
  </si>
  <si>
    <t>meet</t>
  </si>
  <si>
    <t>kohdata</t>
  </si>
  <si>
    <t>möta</t>
  </si>
  <si>
    <t>member, element</t>
  </si>
  <si>
    <t>alkio (joukon), jäsen</t>
  </si>
  <si>
    <t>metric</t>
  </si>
  <si>
    <t>metriikka</t>
  </si>
  <si>
    <t>metrik</t>
  </si>
  <si>
    <t>metric space</t>
  </si>
  <si>
    <t>metrinen avaruus</t>
  </si>
  <si>
    <t>metriskt rum</t>
  </si>
  <si>
    <t>metrizable</t>
  </si>
  <si>
    <t>metristyvä</t>
  </si>
  <si>
    <t>metriserbar</t>
  </si>
  <si>
    <t>metrization</t>
  </si>
  <si>
    <t>metristys</t>
  </si>
  <si>
    <t>metrisering</t>
  </si>
  <si>
    <t>minimize</t>
  </si>
  <si>
    <t>minimoida</t>
  </si>
  <si>
    <t>minimera</t>
  </si>
  <si>
    <t>minimum</t>
  </si>
  <si>
    <t>minimi</t>
  </si>
  <si>
    <t>minor</t>
  </si>
  <si>
    <t>alideterminantti (mm.)</t>
  </si>
  <si>
    <t>underdeterminant</t>
  </si>
  <si>
    <t>mixed partial derivative</t>
  </si>
  <si>
    <t>sekaderivaatta</t>
  </si>
  <si>
    <t>blandad partiell derivata</t>
  </si>
  <si>
    <t>mollifier</t>
  </si>
  <si>
    <t>silottaja (ei vak.)</t>
  </si>
  <si>
    <t>moment</t>
  </si>
  <si>
    <t>momentti</t>
  </si>
  <si>
    <t>moment of inertia</t>
  </si>
  <si>
    <t>hitausmomentti</t>
  </si>
  <si>
    <t>tröghetsmoment</t>
  </si>
  <si>
    <t>monic polynomial</t>
  </si>
  <si>
    <t>mooninen polynomi, pääpolynomi</t>
  </si>
  <si>
    <t>normalpolynom</t>
  </si>
  <si>
    <t>monoid</t>
  </si>
  <si>
    <t>monoidi</t>
  </si>
  <si>
    <t>monotonic, monotone</t>
  </si>
  <si>
    <t>monotoninen</t>
  </si>
  <si>
    <t>monoton</t>
  </si>
  <si>
    <t>multinomial distribution</t>
  </si>
  <si>
    <t>multinomijakauma</t>
  </si>
  <si>
    <t>multinomialfördelning</t>
  </si>
  <si>
    <t>multiple</t>
  </si>
  <si>
    <t>monikerta</t>
  </si>
  <si>
    <t>multippel</t>
  </si>
  <si>
    <t>multiple integral</t>
  </si>
  <si>
    <t>moninkertainen integraali</t>
  </si>
  <si>
    <t>flerfaldig integral</t>
  </si>
  <si>
    <t>multiplication</t>
  </si>
  <si>
    <t>kertolasku</t>
  </si>
  <si>
    <t>multiplikation</t>
  </si>
  <si>
    <t>multiplicity</t>
  </si>
  <si>
    <t>kertaluku (juuren)</t>
  </si>
  <si>
    <t>multiplier</t>
  </si>
  <si>
    <t>multiply from the right</t>
  </si>
  <si>
    <t>kertoa oikealta</t>
  </si>
  <si>
    <t>multiplicera från höger</t>
  </si>
  <si>
    <t>Möbius band</t>
  </si>
  <si>
    <t>Möbiuksen nauha</t>
  </si>
  <si>
    <t>Möbius' band</t>
  </si>
  <si>
    <t>natural logarithm</t>
  </si>
  <si>
    <t>luonnollinen logaritmi</t>
  </si>
  <si>
    <t>naturlig logaritm</t>
  </si>
  <si>
    <t>natural number</t>
  </si>
  <si>
    <t>luonnollinen luku (yleensä 0,1,2,…; joskus 1,2,3,…)+B940</t>
  </si>
  <si>
    <t>naturligt tal</t>
  </si>
  <si>
    <t>necessary</t>
  </si>
  <si>
    <t>välttämätön</t>
  </si>
  <si>
    <t>nödvändig</t>
  </si>
  <si>
    <t>negative definite</t>
  </si>
  <si>
    <t>negatiividefiniitti, negatiivisesti definiitti</t>
  </si>
  <si>
    <t>negativt definit</t>
  </si>
  <si>
    <t>neighborhood</t>
  </si>
  <si>
    <t>ympäristö</t>
  </si>
  <si>
    <t>omgivning</t>
  </si>
  <si>
    <t>neighborhood basis</t>
  </si>
  <si>
    <t>omgivningsbas</t>
  </si>
  <si>
    <t>nerve</t>
  </si>
  <si>
    <t>hermo</t>
  </si>
  <si>
    <t>nerv</t>
  </si>
  <si>
    <t>Newton's method</t>
  </si>
  <si>
    <t>Newtonin menetelmä ("njuutton")</t>
  </si>
  <si>
    <t>Newtons metod</t>
  </si>
  <si>
    <t>non-decreasing, increasing</t>
  </si>
  <si>
    <t>kasvava</t>
  </si>
  <si>
    <t>nonempty</t>
  </si>
  <si>
    <t>epätyhjä</t>
  </si>
  <si>
    <t>icke tom</t>
  </si>
  <si>
    <t>nonhomogeneous</t>
  </si>
  <si>
    <t>epähomogeeninen</t>
  </si>
  <si>
    <t>ohomogen</t>
  </si>
  <si>
    <t>non-increasing, decreasing</t>
  </si>
  <si>
    <t>vähenevä</t>
  </si>
  <si>
    <t>avtagande</t>
  </si>
  <si>
    <t>nonlinear</t>
  </si>
  <si>
    <t>epälineaarinen</t>
  </si>
  <si>
    <t>olinjär</t>
  </si>
  <si>
    <t>nonsingular</t>
  </si>
  <si>
    <t>säännöllinen, ei-singulaarinen, kääntyvä</t>
  </si>
  <si>
    <t>regelbunden, icke-singulär</t>
  </si>
  <si>
    <t>nontrivial</t>
  </si>
  <si>
    <t>epätriviaali</t>
  </si>
  <si>
    <t>icke trivial</t>
  </si>
  <si>
    <t>norm</t>
  </si>
  <si>
    <t>normi</t>
  </si>
  <si>
    <t>normable</t>
  </si>
  <si>
    <t>normeerautuva, normalisoituva</t>
  </si>
  <si>
    <t>normerbar</t>
  </si>
  <si>
    <t>normal acceleration</t>
  </si>
  <si>
    <t>normaalikiihtyvyys</t>
  </si>
  <si>
    <t>normalacceleration</t>
  </si>
  <si>
    <t>normal distribution, Gauss distribution</t>
  </si>
  <si>
    <t>normal line</t>
  </si>
  <si>
    <t>normaali</t>
  </si>
  <si>
    <t>normal</t>
  </si>
  <si>
    <t>normal matrix</t>
  </si>
  <si>
    <t>normaali matriisi</t>
  </si>
  <si>
    <t>normalmatris</t>
  </si>
  <si>
    <t>normal space</t>
  </si>
  <si>
    <t>normaali avaruus</t>
  </si>
  <si>
    <t>normalrum</t>
  </si>
  <si>
    <t>normal vector</t>
  </si>
  <si>
    <t>normaali, normaalivektori, kohtisuora vektori</t>
  </si>
  <si>
    <t>normalvektor</t>
  </si>
  <si>
    <t>normed space</t>
  </si>
  <si>
    <t>normiavaruus</t>
  </si>
  <si>
    <t>normerat rum</t>
  </si>
  <si>
    <t>nowhere dense</t>
  </si>
  <si>
    <t>harva (Baire)</t>
  </si>
  <si>
    <t>gles</t>
  </si>
  <si>
    <t>n-tuple</t>
  </si>
  <si>
    <t>ännäkkö, n-jono</t>
  </si>
  <si>
    <t>n-tippel</t>
  </si>
  <si>
    <t>null space, kernel</t>
  </si>
  <si>
    <t>kärna</t>
  </si>
  <si>
    <t>nullity</t>
  </si>
  <si>
    <t>nulliteetti (dim Ker T)</t>
  </si>
  <si>
    <t>kärnans dimension</t>
  </si>
  <si>
    <t>number</t>
  </si>
  <si>
    <t>luku; numero</t>
  </si>
  <si>
    <t>tal, siffra</t>
  </si>
  <si>
    <t>number theory</t>
  </si>
  <si>
    <t>lukuteoria</t>
  </si>
  <si>
    <t>talteori</t>
  </si>
  <si>
    <t>numerical</t>
  </si>
  <si>
    <t>numeerinen</t>
  </si>
  <si>
    <t>numerisk</t>
  </si>
  <si>
    <t>obstruction</t>
  </si>
  <si>
    <t>este</t>
  </si>
  <si>
    <t>hinder</t>
  </si>
  <si>
    <t>octant</t>
  </si>
  <si>
    <t>oktantti</t>
  </si>
  <si>
    <t>oktant</t>
  </si>
  <si>
    <t>odd</t>
  </si>
  <si>
    <t>pariton</t>
  </si>
  <si>
    <t>udda</t>
  </si>
  <si>
    <t>ODE</t>
  </si>
  <si>
    <t>TaDY</t>
  </si>
  <si>
    <t>vanlig differentialekvation</t>
  </si>
  <si>
    <t>one-point compactification</t>
  </si>
  <si>
    <t>yhden pisteen kompaktisointi</t>
  </si>
  <si>
    <t>one-sided derivative</t>
  </si>
  <si>
    <t>toispuolinen derivaatta</t>
  </si>
  <si>
    <t>ensidig derivata</t>
  </si>
  <si>
    <t>one-sided limit</t>
  </si>
  <si>
    <t>toispuolinen raja-arvo</t>
  </si>
  <si>
    <t>ensidigt gränsvärde</t>
  </si>
  <si>
    <t>one-to-one, injective</t>
  </si>
  <si>
    <t>onto, surjective</t>
  </si>
  <si>
    <t>surjektiivinen</t>
  </si>
  <si>
    <t>surjektiv</t>
  </si>
  <si>
    <t>open</t>
  </si>
  <si>
    <t>avoin</t>
  </si>
  <si>
    <t>öppen</t>
  </si>
  <si>
    <t>operator</t>
  </si>
  <si>
    <t>operaattori</t>
  </si>
  <si>
    <t>oppositely directed</t>
  </si>
  <si>
    <t>vastakkaissuuntainen</t>
  </si>
  <si>
    <t>motsatt riktad</t>
  </si>
  <si>
    <t>optimal</t>
  </si>
  <si>
    <t>optimaalinen</t>
  </si>
  <si>
    <t>optimize</t>
  </si>
  <si>
    <t>optimoida</t>
  </si>
  <si>
    <t>optimera</t>
  </si>
  <si>
    <t>orbit</t>
  </si>
  <si>
    <t>rata</t>
  </si>
  <si>
    <t>bana</t>
  </si>
  <si>
    <t>order</t>
  </si>
  <si>
    <t>aste (approksimaation tms.)</t>
  </si>
  <si>
    <t>kertaluku (DY:n, ryhmän, approksimaation); järjestys; järjestö (renkaan)</t>
  </si>
  <si>
    <t>ordered pair</t>
  </si>
  <si>
    <t>järjestetty pari</t>
  </si>
  <si>
    <t>ordnat par</t>
  </si>
  <si>
    <t>orientable</t>
  </si>
  <si>
    <t>suunnistuva (pinta)</t>
  </si>
  <si>
    <t>orienterbar</t>
  </si>
  <si>
    <t>orientation</t>
  </si>
  <si>
    <t>suunnistus</t>
  </si>
  <si>
    <t>orientering</t>
  </si>
  <si>
    <t>orientation preserving</t>
  </si>
  <si>
    <t>suunnansäilyttävä</t>
  </si>
  <si>
    <t>orienteringskonserverande</t>
  </si>
  <si>
    <t>orientation reversing</t>
  </si>
  <si>
    <t>suunnankääntävä</t>
  </si>
  <si>
    <t>orienteringsbytande</t>
  </si>
  <si>
    <t>oriented</t>
  </si>
  <si>
    <t>suunnistettu (pinta); suunnattu</t>
  </si>
  <si>
    <t>orienterad</t>
  </si>
  <si>
    <t>origin</t>
  </si>
  <si>
    <t>origo</t>
  </si>
  <si>
    <t>orthogonal</t>
  </si>
  <si>
    <t>kohtisuora, ortogonaalinen</t>
  </si>
  <si>
    <t>vinkelrät, ortogonal</t>
  </si>
  <si>
    <t>orthogonal complement</t>
  </si>
  <si>
    <t>ortogonaalikomplementti, ortokomplementti, orto</t>
  </si>
  <si>
    <t>ortogonalkomplement</t>
  </si>
  <si>
    <t>orthogonal matrix</t>
  </si>
  <si>
    <t>ortogonaalinen matriisi</t>
  </si>
  <si>
    <t>ortogonalmatris</t>
  </si>
  <si>
    <t>orthonormal</t>
  </si>
  <si>
    <t>ortonormeerattu, ortonormaali</t>
  </si>
  <si>
    <t>ortonormerad</t>
  </si>
  <si>
    <t>osculating plane</t>
  </si>
  <si>
    <t>oskuloiva taso</t>
  </si>
  <si>
    <t>smygplan</t>
  </si>
  <si>
    <t>outer measure</t>
  </si>
  <si>
    <t>ulkomitta</t>
  </si>
  <si>
    <t>yttre mått</t>
  </si>
  <si>
    <t>outer product</t>
  </si>
  <si>
    <t>ulkotulo</t>
  </si>
  <si>
    <t>yttre produkt</t>
  </si>
  <si>
    <t>outer regular</t>
  </si>
  <si>
    <t>ulkosäännöllinen (mitta)</t>
  </si>
  <si>
    <t>outscribed circle</t>
  </si>
  <si>
    <t>ympäri piirretty ympyrä</t>
  </si>
  <si>
    <t>omskriven cirkel</t>
  </si>
  <si>
    <t>p-adic</t>
  </si>
  <si>
    <t>p-adinen</t>
  </si>
  <si>
    <t>p-ad</t>
  </si>
  <si>
    <t>pairing</t>
  </si>
  <si>
    <t>pairwise</t>
  </si>
  <si>
    <t>pareittain</t>
  </si>
  <si>
    <t>parvis</t>
  </si>
  <si>
    <t>parabola</t>
  </si>
  <si>
    <t>paraabeli</t>
  </si>
  <si>
    <t>parabel</t>
  </si>
  <si>
    <t>parabolic</t>
  </si>
  <si>
    <t>parabolinen</t>
  </si>
  <si>
    <t>parabolisk</t>
  </si>
  <si>
    <t>paraboloid</t>
  </si>
  <si>
    <t>paraboloidi</t>
  </si>
  <si>
    <t>parallel</t>
  </si>
  <si>
    <t>yhdensuuntainen; rinnakkainen</t>
  </si>
  <si>
    <t>parallell</t>
  </si>
  <si>
    <t>parallelepiped</t>
  </si>
  <si>
    <t>suuntaissärmiö</t>
  </si>
  <si>
    <t>parallelogram</t>
  </si>
  <si>
    <t>suunnikas</t>
  </si>
  <si>
    <t>parallellogram</t>
  </si>
  <si>
    <t>parameter</t>
  </si>
  <si>
    <t>parametri</t>
  </si>
  <si>
    <t>parametric curve</t>
  </si>
  <si>
    <t>parametrimuotoinen käyrä</t>
  </si>
  <si>
    <t>kutva i parameterform</t>
  </si>
  <si>
    <t>parametrization</t>
  </si>
  <si>
    <t>parametrisointi</t>
  </si>
  <si>
    <t>parametrisering</t>
  </si>
  <si>
    <t>partial derivative</t>
  </si>
  <si>
    <t>osittaisderivaatta</t>
  </si>
  <si>
    <t>partiell derivata</t>
  </si>
  <si>
    <t>partial differential equation</t>
  </si>
  <si>
    <t>osittaisdifferentiaaliyhtälö</t>
  </si>
  <si>
    <t>partiell differentialekvation</t>
  </si>
  <si>
    <t>partial fraction decomposition</t>
  </si>
  <si>
    <t>osamurtokehitelmä</t>
  </si>
  <si>
    <t>partialbråksutveckling</t>
  </si>
  <si>
    <t>partial pivoting</t>
  </si>
  <si>
    <t>osittaistuenta</t>
  </si>
  <si>
    <t>partiell pivåtering</t>
  </si>
  <si>
    <t>partial sum</t>
  </si>
  <si>
    <t>osasumma</t>
  </si>
  <si>
    <t>delsumma</t>
  </si>
  <si>
    <t>partition</t>
  </si>
  <si>
    <t>delning</t>
  </si>
  <si>
    <t>hajotelma (matriisin)</t>
  </si>
  <si>
    <t>indelning, partitition</t>
  </si>
  <si>
    <t>partition of unity</t>
  </si>
  <si>
    <t>ykkösen ositus, yksikön ositus</t>
  </si>
  <si>
    <t>path</t>
  </si>
  <si>
    <t>polku</t>
  </si>
  <si>
    <t>stig, bana</t>
  </si>
  <si>
    <t>pathwise connected, path connected</t>
  </si>
  <si>
    <t>polkuyhtenäinen</t>
  </si>
  <si>
    <t>bågvis sammanhängande</t>
  </si>
  <si>
    <t>PDE</t>
  </si>
  <si>
    <t>ODY</t>
  </si>
  <si>
    <t>pendulum</t>
  </si>
  <si>
    <t>heiluri</t>
  </si>
  <si>
    <t>pendel</t>
  </si>
  <si>
    <t>perfect</t>
  </si>
  <si>
    <t>perfekti (joukko)</t>
  </si>
  <si>
    <t>perfekt</t>
  </si>
  <si>
    <t>period</t>
  </si>
  <si>
    <t>jakso</t>
  </si>
  <si>
    <t>periodic</t>
  </si>
  <si>
    <t>jaksollinen</t>
  </si>
  <si>
    <t>periodisk</t>
  </si>
  <si>
    <t>periodicity</t>
  </si>
  <si>
    <t>jaksollisuus</t>
  </si>
  <si>
    <t>periodicitet</t>
  </si>
  <si>
    <t>permutation</t>
  </si>
  <si>
    <t>permutaatio, permutointi</t>
  </si>
  <si>
    <t>perpendicular</t>
  </si>
  <si>
    <t>kohtisuora</t>
  </si>
  <si>
    <t>vinkelrät</t>
  </si>
  <si>
    <t>perturbation</t>
  </si>
  <si>
    <t>häiriö</t>
  </si>
  <si>
    <t>störning</t>
  </si>
  <si>
    <t>phase</t>
  </si>
  <si>
    <t>vaihe(kulma)</t>
  </si>
  <si>
    <t>fas</t>
  </si>
  <si>
    <t>phase angle</t>
  </si>
  <si>
    <t>vaihekulma</t>
  </si>
  <si>
    <t>fasvinkel</t>
  </si>
  <si>
    <t>phase plane</t>
  </si>
  <si>
    <t>faasitaso</t>
  </si>
  <si>
    <t>fasplan</t>
  </si>
  <si>
    <t>piecewise</t>
  </si>
  <si>
    <t>paloittain</t>
  </si>
  <si>
    <t>styckvis</t>
  </si>
  <si>
    <t>piecewise linear, PL</t>
  </si>
  <si>
    <t>paloittain lineaarinen, PL</t>
  </si>
  <si>
    <t>styckvis linjär</t>
  </si>
  <si>
    <t>pivot</t>
  </si>
  <si>
    <t>tuki, tukialkio</t>
  </si>
  <si>
    <t>pivå</t>
  </si>
  <si>
    <t>pivot variable, bounded variable</t>
  </si>
  <si>
    <t>plane</t>
  </si>
  <si>
    <t>taso</t>
  </si>
  <si>
    <t>plan, yta</t>
  </si>
  <si>
    <t>plane region</t>
  </si>
  <si>
    <t>tasoalue</t>
  </si>
  <si>
    <t>planyta</t>
  </si>
  <si>
    <t>point</t>
  </si>
  <si>
    <t>piste</t>
  </si>
  <si>
    <t>punkt</t>
  </si>
  <si>
    <t>point of continuity</t>
  </si>
  <si>
    <t>jatkuvuuspiste</t>
  </si>
  <si>
    <t>kontinuitetspunkt</t>
  </si>
  <si>
    <t>point of density</t>
  </si>
  <si>
    <t>tiheyspiste</t>
  </si>
  <si>
    <t>point of discontinuity</t>
  </si>
  <si>
    <t>epäjatkuvuuspiste, -kohta</t>
  </si>
  <si>
    <t>diskontinuitetspunkt</t>
  </si>
  <si>
    <t>pointwise</t>
  </si>
  <si>
    <t>pisteittäin</t>
  </si>
  <si>
    <t>punktvis</t>
  </si>
  <si>
    <t>polar axis</t>
  </si>
  <si>
    <t>napa-akseli, polaariakseli</t>
  </si>
  <si>
    <t>poläraxel</t>
  </si>
  <si>
    <t>polar coordinates</t>
  </si>
  <si>
    <t>napakoordinaatit</t>
  </si>
  <si>
    <t>polära koordinater</t>
  </si>
  <si>
    <t>polar curve</t>
  </si>
  <si>
    <t>käyrä napakoordinaattimuodossa</t>
  </si>
  <si>
    <t>kurva I polärform</t>
  </si>
  <si>
    <t>polar decomposition</t>
  </si>
  <si>
    <t>polaarihajotelma</t>
  </si>
  <si>
    <t>polar form</t>
  </si>
  <si>
    <t>napakoordinaattiesitys</t>
  </si>
  <si>
    <t>polär form</t>
  </si>
  <si>
    <t>pole</t>
  </si>
  <si>
    <t>napa</t>
  </si>
  <si>
    <t>pol</t>
  </si>
  <si>
    <t>polygon</t>
  </si>
  <si>
    <t>monikulmio</t>
  </si>
  <si>
    <t>månghörning</t>
  </si>
  <si>
    <t>polyhedron</t>
  </si>
  <si>
    <t>monitahokas, tahokas</t>
  </si>
  <si>
    <t>polyeder</t>
  </si>
  <si>
    <t>polynomial</t>
  </si>
  <si>
    <t>polynomi</t>
  </si>
  <si>
    <t>polynom</t>
  </si>
  <si>
    <t>position vector</t>
  </si>
  <si>
    <t>paikkavektori</t>
  </si>
  <si>
    <t>ortsvektor</t>
  </si>
  <si>
    <t>positive</t>
  </si>
  <si>
    <t>positiivinen</t>
  </si>
  <si>
    <t>positiv</t>
  </si>
  <si>
    <t>positive definite</t>
  </si>
  <si>
    <t>positiividefiniitti, positiivisesti definiitti</t>
  </si>
  <si>
    <t>positivt definit</t>
  </si>
  <si>
    <t>positive variation (of a measure)</t>
  </si>
  <si>
    <t>positiivinen variaatio, ylävariaatio</t>
  </si>
  <si>
    <t>positiv variation</t>
  </si>
  <si>
    <t>posteriori</t>
  </si>
  <si>
    <t>power</t>
  </si>
  <si>
    <t>potenssi; mahtavuus</t>
  </si>
  <si>
    <t>potens</t>
  </si>
  <si>
    <t>power method</t>
  </si>
  <si>
    <t>potenssiinkorotusmenetelmä</t>
  </si>
  <si>
    <t>power series</t>
  </si>
  <si>
    <t>potenssisarja</t>
  </si>
  <si>
    <t>potensserie</t>
  </si>
  <si>
    <t>power set</t>
  </si>
  <si>
    <t>potenssijoukko</t>
  </si>
  <si>
    <t>prebasis</t>
  </si>
  <si>
    <t>esikanta, alikanta</t>
  </si>
  <si>
    <t>precision</t>
  </si>
  <si>
    <t>tarkkuus, täsmällisyys</t>
  </si>
  <si>
    <t>precompact</t>
  </si>
  <si>
    <t>prekompakti (1. totaalisti rajoitettu 2. suhteellisesti kompakti)</t>
  </si>
  <si>
    <t>preconditioner</t>
  </si>
  <si>
    <t>pohjustin</t>
  </si>
  <si>
    <t>pre-Hilbert space, inner product space</t>
  </si>
  <si>
    <t>preimage</t>
  </si>
  <si>
    <t>urbild</t>
  </si>
  <si>
    <t>pressure</t>
  </si>
  <si>
    <t>paine</t>
  </si>
  <si>
    <t>tryck</t>
  </si>
  <si>
    <t>prime (number)</t>
  </si>
  <si>
    <t>alkuluku, jaoton luku</t>
  </si>
  <si>
    <t>primtal</t>
  </si>
  <si>
    <t>principal axis</t>
  </si>
  <si>
    <t>pääakseli</t>
  </si>
  <si>
    <t>huvudaxel</t>
  </si>
  <si>
    <t>principal normal</t>
  </si>
  <si>
    <t>päänormaali</t>
  </si>
  <si>
    <t>huvudnormal</t>
  </si>
  <si>
    <t>principal value</t>
  </si>
  <si>
    <t>pääarvo</t>
  </si>
  <si>
    <t>principalvärde</t>
  </si>
  <si>
    <t>probability</t>
  </si>
  <si>
    <t>todennäköisyys</t>
  </si>
  <si>
    <t>sannolikhet</t>
  </si>
  <si>
    <t>probability density, density function</t>
  </si>
  <si>
    <t>probability integral</t>
  </si>
  <si>
    <t>kertymäfunktio</t>
  </si>
  <si>
    <t>probability space</t>
  </si>
  <si>
    <t>todennäköisyyskenttä</t>
  </si>
  <si>
    <t>sannolikhetsrum</t>
  </si>
  <si>
    <t>product</t>
  </si>
  <si>
    <t>tulo</t>
  </si>
  <si>
    <t>produkt</t>
  </si>
  <si>
    <t>product space</t>
  </si>
  <si>
    <t>tuloavaruus (XxY)</t>
  </si>
  <si>
    <t>produktrum</t>
  </si>
  <si>
    <t>projection</t>
  </si>
  <si>
    <t>projektio</t>
  </si>
  <si>
    <t>projektion</t>
  </si>
  <si>
    <t>proof</t>
  </si>
  <si>
    <t>todistus</t>
  </si>
  <si>
    <t>bevis</t>
  </si>
  <si>
    <t>proper</t>
  </si>
  <si>
    <t>aito (osajoukko, aliavaruus)</t>
  </si>
  <si>
    <t>sträng</t>
  </si>
  <si>
    <t>proper subset</t>
  </si>
  <si>
    <t>aito osajoukko</t>
  </si>
  <si>
    <t>äkta delmängd</t>
  </si>
  <si>
    <t>prove</t>
  </si>
  <si>
    <t>todistaa</t>
  </si>
  <si>
    <t>bevisa</t>
  </si>
  <si>
    <t>proximity space</t>
  </si>
  <si>
    <t>kosketusavaruus</t>
  </si>
  <si>
    <t>pseudoinverse</t>
  </si>
  <si>
    <t>pseudoinverssi</t>
  </si>
  <si>
    <t>pseudoinvers</t>
  </si>
  <si>
    <t>pure(ly) imaginary</t>
  </si>
  <si>
    <t>puhtaasti imaginaarinen (reaaliosa on 0)</t>
  </si>
  <si>
    <t>rent imaginär</t>
  </si>
  <si>
    <t>pyramid</t>
  </si>
  <si>
    <t>pyramidi</t>
  </si>
  <si>
    <t>quadratic approximation</t>
  </si>
  <si>
    <t>kvadraattinen approksimaatio</t>
  </si>
  <si>
    <t>kvadratisk approximation</t>
  </si>
  <si>
    <t>quadratic form</t>
  </si>
  <si>
    <t>neliömuoto</t>
  </si>
  <si>
    <t>kvadratisk form</t>
  </si>
  <si>
    <t>quadratic mean</t>
  </si>
  <si>
    <t>neliökeskiarvo</t>
  </si>
  <si>
    <t>kvadratiskt medelvärde</t>
  </si>
  <si>
    <t>quadrilateral</t>
  </si>
  <si>
    <t>nelikulmio</t>
  </si>
  <si>
    <t>fyrsiding</t>
  </si>
  <si>
    <t>queue</t>
  </si>
  <si>
    <t>jono (ei lukujono)</t>
  </si>
  <si>
    <t>kö</t>
  </si>
  <si>
    <t>queueing theory</t>
  </si>
  <si>
    <t>jonoteoria</t>
  </si>
  <si>
    <t>köteori</t>
  </si>
  <si>
    <t>quotient</t>
  </si>
  <si>
    <t>osamäärä</t>
  </si>
  <si>
    <t>kvot</t>
  </si>
  <si>
    <t>quotient group</t>
  </si>
  <si>
    <t>tekijäryhmä</t>
  </si>
  <si>
    <t>quotient space</t>
  </si>
  <si>
    <t>tekijäavaruus</t>
  </si>
  <si>
    <t>radius</t>
  </si>
  <si>
    <t>säde</t>
  </si>
  <si>
    <t>radie</t>
  </si>
  <si>
    <t>radius of convergence</t>
  </si>
  <si>
    <t>suppenemissäde</t>
  </si>
  <si>
    <t>konvergensradie</t>
  </si>
  <si>
    <t>radius of curvature</t>
  </si>
  <si>
    <t>kaarevuussäde</t>
  </si>
  <si>
    <t>krökningsradie</t>
  </si>
  <si>
    <t>Radon measure</t>
  </si>
  <si>
    <t>Radon-mitta</t>
  </si>
  <si>
    <t>Radonmått</t>
  </si>
  <si>
    <t>random</t>
  </si>
  <si>
    <t>satunnainen, satunnais-</t>
  </si>
  <si>
    <t>slumpmässig</t>
  </si>
  <si>
    <t>random walk</t>
  </si>
  <si>
    <t>satunnaiskulku</t>
  </si>
  <si>
    <t>slumpvandring</t>
  </si>
  <si>
    <t>range</t>
  </si>
  <si>
    <t>kuva-avaruus, kuvajoukko, arvojoukko; vaihteluväli</t>
  </si>
  <si>
    <t>maalijoukko, arvojoukko, kuvajoukko; kuva-avaruus</t>
  </si>
  <si>
    <t>räckvidd</t>
  </si>
  <si>
    <t>rank</t>
  </si>
  <si>
    <t>rangi (dim range T), ranki, kuvadimensio, aste, arvoaste, säännöllisyysluku; sijaluku, rankiluku</t>
  </si>
  <si>
    <t>rang</t>
  </si>
  <si>
    <t>säännöllisyysaste (matriisin)</t>
  </si>
  <si>
    <t>rapidly decreasing functions (S)</t>
  </si>
  <si>
    <t>nopeasti vaimenevat funktiot (S)</t>
  </si>
  <si>
    <t>snabbt avtagande funktioner</t>
  </si>
  <si>
    <t>rate of change</t>
  </si>
  <si>
    <t>muutosnopeus</t>
  </si>
  <si>
    <t>förändringshastighet</t>
  </si>
  <si>
    <t>ratio test</t>
  </si>
  <si>
    <t>suhdetesti</t>
  </si>
  <si>
    <t>kvotkriterium</t>
  </si>
  <si>
    <t>rational</t>
  </si>
  <si>
    <t>rationaalinen</t>
  </si>
  <si>
    <t>rationell</t>
  </si>
  <si>
    <t>rational function</t>
  </si>
  <si>
    <t>rationaalifunktio</t>
  </si>
  <si>
    <t>rationell funktion</t>
  </si>
  <si>
    <t>rational number</t>
  </si>
  <si>
    <t>rationaaliluku</t>
  </si>
  <si>
    <t>rationellt tal</t>
  </si>
  <si>
    <t>Rayleigh quotient</t>
  </si>
  <si>
    <t>Rayleighin osamäärä</t>
  </si>
  <si>
    <t>Rayleigh-kvot</t>
  </si>
  <si>
    <t>real</t>
  </si>
  <si>
    <t>reaalinen, reaali-</t>
  </si>
  <si>
    <t>reell</t>
  </si>
  <si>
    <t>real axis</t>
  </si>
  <si>
    <t>reaaliakseli</t>
  </si>
  <si>
    <t>reella axeln</t>
  </si>
  <si>
    <t>real number</t>
  </si>
  <si>
    <t>reaaliluku</t>
  </si>
  <si>
    <t>reellt tal</t>
  </si>
  <si>
    <t>real part</t>
  </si>
  <si>
    <t>reaaliosa</t>
  </si>
  <si>
    <t>reell del</t>
  </si>
  <si>
    <t>real vector space</t>
  </si>
  <si>
    <t>reaalikertoiminen vektoriavaruus, reaalinen vektoriavaruus</t>
  </si>
  <si>
    <t>reellt vektorrum</t>
  </si>
  <si>
    <t>real-valued</t>
  </si>
  <si>
    <t>reaaliarvoinen</t>
  </si>
  <si>
    <t>reellvärd</t>
  </si>
  <si>
    <t>reciprocal</t>
  </si>
  <si>
    <t>käänteis, resiprookki-, resiprookkinen</t>
  </si>
  <si>
    <t>omvänd, reciprok</t>
  </si>
  <si>
    <t>rectangle</t>
  </si>
  <si>
    <t>suorakulmio</t>
  </si>
  <si>
    <t>rektangel</t>
  </si>
  <si>
    <t>rectangular</t>
  </si>
  <si>
    <t>suorakulmainen</t>
  </si>
  <si>
    <t>rektangulär</t>
  </si>
  <si>
    <t>rectangular distribution, uniform distribution</t>
  </si>
  <si>
    <t>tasajakauma</t>
  </si>
  <si>
    <t>rektangulärfördelning, likformig fördelning</t>
  </si>
  <si>
    <t>rectifiable</t>
  </si>
  <si>
    <t>suoristuva</t>
  </si>
  <si>
    <t>uträtbar</t>
  </si>
  <si>
    <t>recursive</t>
  </si>
  <si>
    <t>rekursiivinen</t>
  </si>
  <si>
    <t>rekursiv</t>
  </si>
  <si>
    <t>reduced echelon matrix</t>
  </si>
  <si>
    <t>sievennetty porrasmatriisi</t>
  </si>
  <si>
    <t>reducerad trappstegsmatris</t>
  </si>
  <si>
    <t>refinement</t>
  </si>
  <si>
    <t>tihennys</t>
  </si>
  <si>
    <t>förtätning</t>
  </si>
  <si>
    <t>reflection matrix</t>
  </si>
  <si>
    <t>peilausmatriisi</t>
  </si>
  <si>
    <t>reflektionsmatris</t>
  </si>
  <si>
    <t>reflexive</t>
  </si>
  <si>
    <t>refleksiivinen</t>
  </si>
  <si>
    <t>reflexiv</t>
  </si>
  <si>
    <t>region</t>
  </si>
  <si>
    <t>alue</t>
  </si>
  <si>
    <t>regression</t>
  </si>
  <si>
    <t>regressio</t>
  </si>
  <si>
    <t>regular</t>
  </si>
  <si>
    <t>säännöllinen (mitta)</t>
  </si>
  <si>
    <t>regelbunden</t>
  </si>
  <si>
    <t>regular space</t>
  </si>
  <si>
    <t>säännöllinen avaruus</t>
  </si>
  <si>
    <t>regelbundet rum</t>
  </si>
  <si>
    <t>relative error</t>
  </si>
  <si>
    <t>suhteellinen virhe</t>
  </si>
  <si>
    <t>relativt fel</t>
  </si>
  <si>
    <t>relatively compact</t>
  </si>
  <si>
    <t>suhteellisesti kompakti (sulkeuma kompakti)</t>
  </si>
  <si>
    <t>relatively prime</t>
  </si>
  <si>
    <t>suhteelliset alkuluvut, keskenään jaottomat</t>
  </si>
  <si>
    <t>relativt prime</t>
  </si>
  <si>
    <t>remainder term, remainder</t>
  </si>
  <si>
    <t>jäännöstermi</t>
  </si>
  <si>
    <t>restterm</t>
  </si>
  <si>
    <t>removable singularity</t>
  </si>
  <si>
    <t>poistuva erikoispiste</t>
  </si>
  <si>
    <t>hävbar singularitet</t>
  </si>
  <si>
    <t>repeated eigenvalue</t>
  </si>
  <si>
    <t>moninkertainen ominaisarvo</t>
  </si>
  <si>
    <t>mångfaldigt egenvärde</t>
  </si>
  <si>
    <t>representation</t>
  </si>
  <si>
    <t>esitys</t>
  </si>
  <si>
    <t>framställning, representation</t>
  </si>
  <si>
    <t>repulsor</t>
  </si>
  <si>
    <t>repulsori</t>
  </si>
  <si>
    <t>residual</t>
  </si>
  <si>
    <t>residuaali, jäännös</t>
  </si>
  <si>
    <t>residue</t>
  </si>
  <si>
    <t>residy</t>
  </si>
  <si>
    <t>resiprocal (number)</t>
  </si>
  <si>
    <t>käänteisluku</t>
  </si>
  <si>
    <t>inverst tal</t>
  </si>
  <si>
    <t>resistance</t>
  </si>
  <si>
    <t>vastus</t>
  </si>
  <si>
    <t>motstånd, resistans</t>
  </si>
  <si>
    <t>resolvent</t>
  </si>
  <si>
    <t>resolventti</t>
  </si>
  <si>
    <t>restriction</t>
  </si>
  <si>
    <t>rajoittuma</t>
  </si>
  <si>
    <t>restriktion</t>
  </si>
  <si>
    <t>retract</t>
  </si>
  <si>
    <t>retrakti</t>
  </si>
  <si>
    <t>retraction</t>
  </si>
  <si>
    <t>retraktio</t>
  </si>
  <si>
    <t>Riemann - Stieltjes integral</t>
  </si>
  <si>
    <t>Riemannin - Stieltjesin integraali</t>
  </si>
  <si>
    <t>Riemann integral</t>
  </si>
  <si>
    <t>Riemannin integraali ("Riimannin")</t>
  </si>
  <si>
    <t>Riemann - integral</t>
  </si>
  <si>
    <t>right angle</t>
  </si>
  <si>
    <t>suora kulma</t>
  </si>
  <si>
    <t>rät vinkel</t>
  </si>
  <si>
    <t>right circular cone</t>
  </si>
  <si>
    <t>suora ympyräkartio</t>
  </si>
  <si>
    <t>rak cirkulär kon</t>
  </si>
  <si>
    <t>right derivative, right-hand derivative</t>
  </si>
  <si>
    <t>oikeanpuoleinen derivaatta</t>
  </si>
  <si>
    <t>högerderivata</t>
  </si>
  <si>
    <t>right inverse</t>
  </si>
  <si>
    <t>oikeanpuoleinen käänteismatriisi</t>
  </si>
  <si>
    <t>right limit, right-hand limit</t>
  </si>
  <si>
    <t>oikeanpuoleinen limit</t>
  </si>
  <si>
    <t>högergränsvärde</t>
  </si>
  <si>
    <t>right-angled, right</t>
  </si>
  <si>
    <t>rätvinklig</t>
  </si>
  <si>
    <t>risk</t>
  </si>
  <si>
    <t>riski</t>
  </si>
  <si>
    <t>root</t>
  </si>
  <si>
    <t>juuri (myös polynomin)</t>
  </si>
  <si>
    <t>rot</t>
  </si>
  <si>
    <t>root of unity</t>
  </si>
  <si>
    <t>ykkösenjuuri</t>
  </si>
  <si>
    <t>root test</t>
  </si>
  <si>
    <t>juuritesti</t>
  </si>
  <si>
    <t>rottest</t>
  </si>
  <si>
    <t>rotaatio, kierto</t>
  </si>
  <si>
    <t>rotation matrix</t>
  </si>
  <si>
    <t>kiertomatriisi</t>
  </si>
  <si>
    <t>roundoff error</t>
  </si>
  <si>
    <t>pyöristysvirhe</t>
  </si>
  <si>
    <t>avrundningsfel</t>
  </si>
  <si>
    <t>row</t>
  </si>
  <si>
    <t>rivi, vaakarivi</t>
  </si>
  <si>
    <t>rad</t>
  </si>
  <si>
    <t>row space</t>
  </si>
  <si>
    <t>riviavaruus</t>
  </si>
  <si>
    <t>row vector</t>
  </si>
  <si>
    <t>vaakavektori</t>
  </si>
  <si>
    <t>saddle point</t>
  </si>
  <si>
    <t>satulapiste</t>
  </si>
  <si>
    <t>sadelpunkt</t>
  </si>
  <si>
    <t>sample</t>
  </si>
  <si>
    <t>näyte, otos</t>
  </si>
  <si>
    <t>sampel, urval</t>
  </si>
  <si>
    <t>scalar</t>
  </si>
  <si>
    <t>skalaari, luku</t>
  </si>
  <si>
    <t>skalär</t>
  </si>
  <si>
    <t>scalar field</t>
  </si>
  <si>
    <t>skalaarikunta, kerroinkunta</t>
  </si>
  <si>
    <t>scalar product</t>
  </si>
  <si>
    <t>skalaaritulo, sisätulo</t>
  </si>
  <si>
    <t>scalar projection</t>
  </si>
  <si>
    <t>skalaariprojektio</t>
  </si>
  <si>
    <t>scalar triple product</t>
  </si>
  <si>
    <t>skalaarikolmitulo</t>
  </si>
  <si>
    <t>skalärtrippelprodukt</t>
  </si>
  <si>
    <t>scalar-valued</t>
  </si>
  <si>
    <t>skalaariarvoinen, lukuarvoinen</t>
  </si>
  <si>
    <t>skalärvärd</t>
  </si>
  <si>
    <t>scaling</t>
  </si>
  <si>
    <t>skaalaus</t>
  </si>
  <si>
    <t>skalning</t>
  </si>
  <si>
    <t>secant line, chord line</t>
  </si>
  <si>
    <t>sekant</t>
  </si>
  <si>
    <t>secant, sec</t>
  </si>
  <si>
    <t>sekantti, sec</t>
  </si>
  <si>
    <t>sech</t>
  </si>
  <si>
    <t>secans hyperbolicus</t>
  </si>
  <si>
    <t>second countable space</t>
  </si>
  <si>
    <t>N2-avaruus</t>
  </si>
  <si>
    <t>second order</t>
  </si>
  <si>
    <t>toisen asteen (Yht, ...); toisen kertaluvun (DYht)</t>
  </si>
  <si>
    <t>av andra graden</t>
  </si>
  <si>
    <t>section</t>
  </si>
  <si>
    <t>pykälä</t>
  </si>
  <si>
    <t>paragraf</t>
  </si>
  <si>
    <t>self-adjoint, hermitian</t>
  </si>
  <si>
    <t>itseadjungoituva, hermiittinen, Hermiten</t>
  </si>
  <si>
    <t>självadjungerbar</t>
  </si>
  <si>
    <t>semidefinite</t>
  </si>
  <si>
    <t>semidefiniitti</t>
  </si>
  <si>
    <t>semidefinit</t>
  </si>
  <si>
    <t>semigroup</t>
  </si>
  <si>
    <t>puoliryhmä</t>
  </si>
  <si>
    <t>semigroup of bounded linear operators</t>
  </si>
  <si>
    <t>rajoitettujen lineaarioperaattorien puoliryhmä</t>
  </si>
  <si>
    <t>seminorm</t>
  </si>
  <si>
    <t>seminormi</t>
  </si>
  <si>
    <t>sense</t>
  </si>
  <si>
    <t>mielessä (L2-sense L2-mielessä tms.)</t>
  </si>
  <si>
    <t>i avseende å</t>
  </si>
  <si>
    <t>sense preserving</t>
  </si>
  <si>
    <t>riktningsbevarande</t>
  </si>
  <si>
    <t>sense reversing</t>
  </si>
  <si>
    <t>riktningsbytande</t>
  </si>
  <si>
    <t>separable</t>
  </si>
  <si>
    <t>separoituva</t>
  </si>
  <si>
    <t>separerbar</t>
  </si>
  <si>
    <t>separated sets</t>
  </si>
  <si>
    <t>separoidut joukot</t>
  </si>
  <si>
    <t>separation</t>
  </si>
  <si>
    <t>separaatio</t>
  </si>
  <si>
    <t>separation of variables</t>
  </si>
  <si>
    <t>muuttujien separointi</t>
  </si>
  <si>
    <t>separering av variabler</t>
  </si>
  <si>
    <t>sequence</t>
  </si>
  <si>
    <t>jono (lukujono)</t>
  </si>
  <si>
    <t>följd</t>
  </si>
  <si>
    <t>sequentially compact</t>
  </si>
  <si>
    <t>jonokompakti</t>
  </si>
  <si>
    <t>sekventiellt kompakt</t>
  </si>
  <si>
    <t>series</t>
  </si>
  <si>
    <t>sarja</t>
  </si>
  <si>
    <t>serie</t>
  </si>
  <si>
    <t>sesquilinear</t>
  </si>
  <si>
    <t>seskilineaarinen (1. arg: lin., 2. arg: klin.)</t>
  </si>
  <si>
    <t>sesilinjär</t>
  </si>
  <si>
    <t>set</t>
  </si>
  <si>
    <t>joukko</t>
  </si>
  <si>
    <t>mängd</t>
  </si>
  <si>
    <t>set of first category, meager set</t>
  </si>
  <si>
    <t>sgn</t>
  </si>
  <si>
    <t>sgn (etumerkkifunktio, signum)</t>
  </si>
  <si>
    <t>sgn (signum)</t>
  </si>
  <si>
    <t>shape</t>
  </si>
  <si>
    <t>hahmo</t>
  </si>
  <si>
    <t>form</t>
  </si>
  <si>
    <t>sheaf</t>
  </si>
  <si>
    <t>lyhde</t>
  </si>
  <si>
    <t>shift</t>
  </si>
  <si>
    <t>siirto</t>
  </si>
  <si>
    <t>förskjutning</t>
  </si>
  <si>
    <t>show</t>
  </si>
  <si>
    <t>näyttää</t>
  </si>
  <si>
    <t>visa</t>
  </si>
  <si>
    <t>sigma-algebra</t>
  </si>
  <si>
    <t>sigma-compact</t>
  </si>
  <si>
    <t>sigma-kompakti</t>
  </si>
  <si>
    <t>sigma-kompakt</t>
  </si>
  <si>
    <t>sigma-finite</t>
  </si>
  <si>
    <t>sigma-äärellinen</t>
  </si>
  <si>
    <t>sign, signum</t>
  </si>
  <si>
    <t>etumerkki; merkki</t>
  </si>
  <si>
    <t>tecken, signum</t>
  </si>
  <si>
    <t>signature</t>
  </si>
  <si>
    <t>merkkiluku</t>
  </si>
  <si>
    <t>signatur</t>
  </si>
  <si>
    <t>similar</t>
  </si>
  <si>
    <t>similaarinen</t>
  </si>
  <si>
    <t>similarity transformation</t>
  </si>
  <si>
    <t>similariteettimuunnos</t>
  </si>
  <si>
    <t>similaritetstransformation</t>
  </si>
  <si>
    <t>simple function</t>
  </si>
  <si>
    <t>yksinkertainen funktio</t>
  </si>
  <si>
    <t>enkel funktion</t>
  </si>
  <si>
    <t>simplex</t>
  </si>
  <si>
    <t>simpleksi</t>
  </si>
  <si>
    <t>simplex method</t>
  </si>
  <si>
    <t>simplex-menetelmä</t>
  </si>
  <si>
    <t>simplexmetoden</t>
  </si>
  <si>
    <t>simplicial</t>
  </si>
  <si>
    <t>simpleksinen</t>
  </si>
  <si>
    <t>simplify</t>
  </si>
  <si>
    <t>sieventää</t>
  </si>
  <si>
    <t>förenkla</t>
  </si>
  <si>
    <t>simply connected</t>
  </si>
  <si>
    <t>yhdesti yhtenäinen</t>
  </si>
  <si>
    <t>enkelt sammanhängande</t>
  </si>
  <si>
    <t>Simpson's Rule</t>
  </si>
  <si>
    <t>Simpsonin kaava, Simpsonin sääntö</t>
  </si>
  <si>
    <t>Simpsons regel</t>
  </si>
  <si>
    <t>singleton</t>
  </si>
  <si>
    <t>yksiö</t>
  </si>
  <si>
    <t>singular</t>
  </si>
  <si>
    <t>singulaarinen, epäsäännöllinen</t>
  </si>
  <si>
    <t>singulär</t>
  </si>
  <si>
    <t>singular value</t>
  </si>
  <si>
    <t>singulaariarvo</t>
  </si>
  <si>
    <t>singulärt värde</t>
  </si>
  <si>
    <t>singularity, singular point</t>
  </si>
  <si>
    <t>erikoispiste</t>
  </si>
  <si>
    <t>singulär punkt</t>
  </si>
  <si>
    <t>sink</t>
  </si>
  <si>
    <t>nielu</t>
  </si>
  <si>
    <t>sänk</t>
  </si>
  <si>
    <t>skeleton</t>
  </si>
  <si>
    <t>runko</t>
  </si>
  <si>
    <t>skew-symmetric</t>
  </si>
  <si>
    <t>vinosymmetrinen</t>
  </si>
  <si>
    <t>skevsymmetrisk</t>
  </si>
  <si>
    <t>slope</t>
  </si>
  <si>
    <t>tangentin kulmakerroin</t>
  </si>
  <si>
    <t>tangentens vinkelkoefficient</t>
  </si>
  <si>
    <t>smooth</t>
  </si>
  <si>
    <t>sileä (C1 tai Cinfinity tms.)</t>
  </si>
  <si>
    <t>slät, glatt</t>
  </si>
  <si>
    <t>smoothing</t>
  </si>
  <si>
    <t>silotus, tasoitus</t>
  </si>
  <si>
    <t>utjämning</t>
  </si>
  <si>
    <t>solid of revolution</t>
  </si>
  <si>
    <t>pyörähdyskappale</t>
  </si>
  <si>
    <t>rotationskropp</t>
  </si>
  <si>
    <t>solution</t>
  </si>
  <si>
    <t>ratkaisu</t>
  </si>
  <si>
    <t>lösning</t>
  </si>
  <si>
    <t>source</t>
  </si>
  <si>
    <t>lähde</t>
  </si>
  <si>
    <t>källa</t>
  </si>
  <si>
    <t>span</t>
  </si>
  <si>
    <t>viritelmä</t>
  </si>
  <si>
    <t>linjärt hölje</t>
  </si>
  <si>
    <t>sparse matrix</t>
  </si>
  <si>
    <t>harva matriisi</t>
  </si>
  <si>
    <t>gles matris</t>
  </si>
  <si>
    <t>special solution</t>
  </si>
  <si>
    <t>erikoisratkaisu</t>
  </si>
  <si>
    <t>speciallösning</t>
  </si>
  <si>
    <t>spectral radius</t>
  </si>
  <si>
    <t>spektraalisäde</t>
  </si>
  <si>
    <t>spectrum</t>
  </si>
  <si>
    <t>spektri</t>
  </si>
  <si>
    <t>spektrum</t>
  </si>
  <si>
    <t>speed</t>
  </si>
  <si>
    <t>vauhti</t>
  </si>
  <si>
    <t>fart</t>
  </si>
  <si>
    <t>sphere</t>
  </si>
  <si>
    <t>pallo, pallonpinta, pallonkuori</t>
  </si>
  <si>
    <t>sfär</t>
  </si>
  <si>
    <t>spherical coordinates</t>
  </si>
  <si>
    <t>pallokoordinaatit</t>
  </si>
  <si>
    <t>sfäriska koordinater</t>
  </si>
  <si>
    <t>spline function</t>
  </si>
  <si>
    <t>splini</t>
  </si>
  <si>
    <t>splin</t>
  </si>
  <si>
    <t>square</t>
  </si>
  <si>
    <t>neliö</t>
  </si>
  <si>
    <t>kvadrat</t>
  </si>
  <si>
    <t>square matrix</t>
  </si>
  <si>
    <t>neliömatriisi</t>
  </si>
  <si>
    <t>kvadratisk matris</t>
  </si>
  <si>
    <t>square root</t>
  </si>
  <si>
    <t>neliöjuuri</t>
  </si>
  <si>
    <t>kvadratrot</t>
  </si>
  <si>
    <t>stability</t>
  </si>
  <si>
    <t>stabiilisuus</t>
  </si>
  <si>
    <t>stabilitet</t>
  </si>
  <si>
    <t>stable</t>
  </si>
  <si>
    <t>stabiili</t>
  </si>
  <si>
    <t>stabil</t>
  </si>
  <si>
    <t>standard basis</t>
  </si>
  <si>
    <t>luonnollinen kanta</t>
  </si>
  <si>
    <t>standardbas</t>
  </si>
  <si>
    <t>standard deviation</t>
  </si>
  <si>
    <t>keskihajonta</t>
  </si>
  <si>
    <t>standard avvikelse</t>
  </si>
  <si>
    <t>star refinement</t>
  </si>
  <si>
    <t>tähtitihennys</t>
  </si>
  <si>
    <t>stationary</t>
  </si>
  <si>
    <t>stationaarinen, vakaa</t>
  </si>
  <si>
    <t>stationär</t>
  </si>
  <si>
    <t>statistics</t>
  </si>
  <si>
    <t>tilastotiede, tilastot</t>
  </si>
  <si>
    <t>statistik</t>
  </si>
  <si>
    <t>step function</t>
  </si>
  <si>
    <t>porrasfunktio (Riemann-integroinnissa)</t>
  </si>
  <si>
    <t>trappfunktion</t>
  </si>
  <si>
    <t>stiffness matrix</t>
  </si>
  <si>
    <t>jäykkyysmatriisi</t>
  </si>
  <si>
    <t>styvhetsmatris</t>
  </si>
  <si>
    <t>stochastic</t>
  </si>
  <si>
    <t>stokastinen, satunnais-</t>
  </si>
  <si>
    <t>stokastisk, slump-</t>
  </si>
  <si>
    <t>strange attractor</t>
  </si>
  <si>
    <t>outo attraktori</t>
  </si>
  <si>
    <t>strictly</t>
  </si>
  <si>
    <t>aidosti (esim. aidosti kasvava)</t>
  </si>
  <si>
    <t>strängt</t>
  </si>
  <si>
    <t>subbase, subbasis</t>
  </si>
  <si>
    <t>esikanta (topologian, filtterin)</t>
  </si>
  <si>
    <t>subbasis</t>
  </si>
  <si>
    <t>subcover</t>
  </si>
  <si>
    <t>osapeite</t>
  </si>
  <si>
    <t>deltäcke</t>
  </si>
  <si>
    <t>subcovering</t>
  </si>
  <si>
    <t>subdivision</t>
  </si>
  <si>
    <t>jako, alijako</t>
  </si>
  <si>
    <t>indelning</t>
  </si>
  <si>
    <t>subinterval</t>
  </si>
  <si>
    <t>osaväli</t>
  </si>
  <si>
    <t>delintervall</t>
  </si>
  <si>
    <t>subset</t>
  </si>
  <si>
    <t>osajoukko</t>
  </si>
  <si>
    <t>delmängd</t>
  </si>
  <si>
    <t>subspace</t>
  </si>
  <si>
    <t>aliavaruus</t>
  </si>
  <si>
    <t>underrum</t>
  </si>
  <si>
    <t>substitution</t>
  </si>
  <si>
    <t>sijoitus</t>
  </si>
  <si>
    <t>insättning, substitution</t>
  </si>
  <si>
    <t>subtraction</t>
  </si>
  <si>
    <t>erotus, vähennyslasku; vähennys</t>
  </si>
  <si>
    <t>subtraktion</t>
  </si>
  <si>
    <t>successive overrelaxation</t>
  </si>
  <si>
    <t>ylirelaksaatiomenetelmä</t>
  </si>
  <si>
    <t>överrelaxationsmetoden</t>
  </si>
  <si>
    <t>sufficient</t>
  </si>
  <si>
    <t>riittävä; tyhjentävä</t>
  </si>
  <si>
    <t>tillräcklig</t>
  </si>
  <si>
    <t>superset</t>
  </si>
  <si>
    <t>ylijoukko</t>
  </si>
  <si>
    <t>supplemental angle</t>
  </si>
  <si>
    <t>suplementtikulma</t>
  </si>
  <si>
    <t>supplementvinkel</t>
  </si>
  <si>
    <t>support</t>
  </si>
  <si>
    <t>kantaja (funktion tms.)</t>
  </si>
  <si>
    <t>supremum</t>
  </si>
  <si>
    <t>supremum ("supreemum"), pienin yläraja (sup)</t>
  </si>
  <si>
    <t>suppremum</t>
  </si>
  <si>
    <t>surface</t>
  </si>
  <si>
    <t>pinta</t>
  </si>
  <si>
    <t>yta</t>
  </si>
  <si>
    <t>surface of revolution</t>
  </si>
  <si>
    <t>pyörähdyspinta</t>
  </si>
  <si>
    <t>rotationsyta</t>
  </si>
  <si>
    <t>surjection</t>
  </si>
  <si>
    <t>surjektio</t>
  </si>
  <si>
    <t>surjektion</t>
  </si>
  <si>
    <t>surjective, onto</t>
  </si>
  <si>
    <t>survey</t>
  </si>
  <si>
    <t>tutkimus</t>
  </si>
  <si>
    <t>undersökning</t>
  </si>
  <si>
    <t>symmetric</t>
  </si>
  <si>
    <t>symmetrinen</t>
  </si>
  <si>
    <t>symmetrisk</t>
  </si>
  <si>
    <t>system of equations</t>
  </si>
  <si>
    <t>yhtälöryhmä</t>
  </si>
  <si>
    <t>ekvationssystem</t>
  </si>
  <si>
    <t>systematic</t>
  </si>
  <si>
    <t>systemaattinen</t>
  </si>
  <si>
    <t>systematisk</t>
  </si>
  <si>
    <t>tangent plane</t>
  </si>
  <si>
    <t>tangenttitaso</t>
  </si>
  <si>
    <t>tangentialplan</t>
  </si>
  <si>
    <t>tangent, tan</t>
  </si>
  <si>
    <t>tangentti, tan</t>
  </si>
  <si>
    <t>tangent</t>
  </si>
  <si>
    <t>tangent, tangent line</t>
  </si>
  <si>
    <t>tangentti</t>
  </si>
  <si>
    <t>tangential acceleration</t>
  </si>
  <si>
    <t>tangentiaalinen kiihtyvyys</t>
  </si>
  <si>
    <t>tangentiell acceleration</t>
  </si>
  <si>
    <t>taut</t>
  </si>
  <si>
    <t>tiukka</t>
  </si>
  <si>
    <t>Taylor polynomial</t>
  </si>
  <si>
    <t>Taylorin polynomi ("Theilorin")</t>
  </si>
  <si>
    <t>Taylors polynom</t>
  </si>
  <si>
    <t>Taylor series+A979</t>
  </si>
  <si>
    <t>Taylorin sarja</t>
  </si>
  <si>
    <t>Taylorserie</t>
  </si>
  <si>
    <t>tempered distributions (S')</t>
  </si>
  <si>
    <t>vaimennetut distribuutiot (S')</t>
  </si>
  <si>
    <t>tensor</t>
  </si>
  <si>
    <t>tensori</t>
  </si>
  <si>
    <t>term</t>
  </si>
  <si>
    <t>termi (jonon, polynomin, ...)</t>
  </si>
  <si>
    <t>tetrahedron</t>
  </si>
  <si>
    <t>tetraedri</t>
  </si>
  <si>
    <t>tetraeder</t>
  </si>
  <si>
    <t>theorem</t>
  </si>
  <si>
    <t>lause, teoreema</t>
  </si>
  <si>
    <t>teorem</t>
  </si>
  <si>
    <t>theory</t>
  </si>
  <si>
    <t>teoria</t>
  </si>
  <si>
    <t>teori</t>
  </si>
  <si>
    <t>topological space</t>
  </si>
  <si>
    <t>topologinen avaruus</t>
  </si>
  <si>
    <t>topologiskt rum</t>
  </si>
  <si>
    <t>topology</t>
  </si>
  <si>
    <t>topologia</t>
  </si>
  <si>
    <t>topologi</t>
  </si>
  <si>
    <t>torsion</t>
  </si>
  <si>
    <t>kierevyys</t>
  </si>
  <si>
    <t>torus</t>
  </si>
  <si>
    <t>toorus, "donitsi"</t>
  </si>
  <si>
    <t>total derivative</t>
  </si>
  <si>
    <t>kokonaisderivaatta</t>
  </si>
  <si>
    <t>helhetsderivata</t>
  </si>
  <si>
    <t>total variation (TV)</t>
  </si>
  <si>
    <t>kokonaisheilahtelu, kokonaisvariaatio (mitan, funktion)</t>
  </si>
  <si>
    <t>totalvariation</t>
  </si>
  <si>
    <t>totally bounded</t>
  </si>
  <si>
    <t>totaalisti rajoitettu (äärelliset eps-peitteet)</t>
  </si>
  <si>
    <t>totalt begränsad</t>
  </si>
  <si>
    <t>trace</t>
  </si>
  <si>
    <t>jälki (matriisin)</t>
  </si>
  <si>
    <t>spår</t>
  </si>
  <si>
    <t>transcendental</t>
  </si>
  <si>
    <t>transsendentti-(nen), transkendentti-(nen)</t>
  </si>
  <si>
    <t>transcendent</t>
  </si>
  <si>
    <t>transcendental function</t>
  </si>
  <si>
    <t>transkendenttifunktio (exp, sin, ...)</t>
  </si>
  <si>
    <t>transcendent funktion</t>
  </si>
  <si>
    <t>transformation</t>
  </si>
  <si>
    <t>muunnos</t>
  </si>
  <si>
    <t>translation</t>
  </si>
  <si>
    <t>translaatio</t>
  </si>
  <si>
    <t>transpose</t>
  </si>
  <si>
    <t>transpoosi</t>
  </si>
  <si>
    <t>transponerad matris, transponat</t>
  </si>
  <si>
    <t>trapezoid</t>
  </si>
  <si>
    <t>puolisuunnikas</t>
  </si>
  <si>
    <t>trapetsoid</t>
  </si>
  <si>
    <t>Trapezoid Rule</t>
  </si>
  <si>
    <t>puolisuunnikassääntö, trapetsisääntö</t>
  </si>
  <si>
    <t>trapetsregeln</t>
  </si>
  <si>
    <t>tree</t>
  </si>
  <si>
    <t>puu</t>
  </si>
  <si>
    <t>träd</t>
  </si>
  <si>
    <t>triangle inequality</t>
  </si>
  <si>
    <t>kolmioepäyhtälö</t>
  </si>
  <si>
    <t>triangelolikhet</t>
  </si>
  <si>
    <t>triangular matrix</t>
  </si>
  <si>
    <t>kolmiomatriisi</t>
  </si>
  <si>
    <t>triangelmatris</t>
  </si>
  <si>
    <t>tridiagonal</t>
  </si>
  <si>
    <t>kolmidiagonaalinen</t>
  </si>
  <si>
    <t>tridiagonal matrix</t>
  </si>
  <si>
    <t>kolmidiagonaalimatriisi</t>
  </si>
  <si>
    <t>tridiagonaliserad matris</t>
  </si>
  <si>
    <t>trigonometric</t>
  </si>
  <si>
    <t>trigonometrinen</t>
  </si>
  <si>
    <t>trigonometrisk</t>
  </si>
  <si>
    <t>triple integral</t>
  </si>
  <si>
    <t>kolmoisintegraali, kolminkertainen integraali</t>
  </si>
  <si>
    <t>trippelintegral, trefaldig integral</t>
  </si>
  <si>
    <t>triple product</t>
  </si>
  <si>
    <t>skalär trippelprodukt</t>
  </si>
  <si>
    <t>trivial</t>
  </si>
  <si>
    <t>triviaali</t>
  </si>
  <si>
    <t>turtle</t>
  </si>
  <si>
    <t>kilpikonna</t>
  </si>
  <si>
    <t>sköldpadda</t>
  </si>
  <si>
    <t>twin primes</t>
  </si>
  <si>
    <t>alkulukukaksoset</t>
  </si>
  <si>
    <t>unbiased</t>
  </si>
  <si>
    <t>harhaton</t>
  </si>
  <si>
    <t>förväntningsrätt</t>
  </si>
  <si>
    <t>unbounded</t>
  </si>
  <si>
    <t>rajoittamaton; rajaton</t>
  </si>
  <si>
    <t>obegränsad</t>
  </si>
  <si>
    <t>uncountable</t>
  </si>
  <si>
    <t>ylinumeroituva</t>
  </si>
  <si>
    <t>icke-uppräknelig</t>
  </si>
  <si>
    <t>undetermined coefficients</t>
  </si>
  <si>
    <t>määräämättömät kertoimet (yrite)</t>
  </si>
  <si>
    <t>obsestämda koefficienter</t>
  </si>
  <si>
    <t>uniform convergence</t>
  </si>
  <si>
    <t>tasainen suppeneminen</t>
  </si>
  <si>
    <t>likformig konvergens</t>
  </si>
  <si>
    <t>uniform distribution</t>
  </si>
  <si>
    <t>likformig fördelning</t>
  </si>
  <si>
    <t>uniform space</t>
  </si>
  <si>
    <t>uniforminen avaruus</t>
  </si>
  <si>
    <t>enhetligt rum</t>
  </si>
  <si>
    <t>uniformity</t>
  </si>
  <si>
    <t>uniformiteetti</t>
  </si>
  <si>
    <t>uniformighet</t>
  </si>
  <si>
    <t>uniformly</t>
  </si>
  <si>
    <t>tasaisesti</t>
  </si>
  <si>
    <t>enhetligt</t>
  </si>
  <si>
    <t>uniformly convex</t>
  </si>
  <si>
    <t>tasaisesti konveksi</t>
  </si>
  <si>
    <t>likformigt konvex</t>
  </si>
  <si>
    <t>union</t>
  </si>
  <si>
    <t>yhdiste</t>
  </si>
  <si>
    <t>unique</t>
  </si>
  <si>
    <t>yksikäsitteinen</t>
  </si>
  <si>
    <t>entydig</t>
  </si>
  <si>
    <t>uniqueness</t>
  </si>
  <si>
    <t>yksikäsitteisyys</t>
  </si>
  <si>
    <t>entydighet</t>
  </si>
  <si>
    <t>unit</t>
  </si>
  <si>
    <t>yksikkö (mittayksikkö; renkaan)</t>
  </si>
  <si>
    <t>enhet</t>
  </si>
  <si>
    <t>unit ball</t>
  </si>
  <si>
    <t>yksikköpallo</t>
  </si>
  <si>
    <t>enhetsklot</t>
  </si>
  <si>
    <t>unit binormal (vector)</t>
  </si>
  <si>
    <t>yksikkösivunormaalivektori</t>
  </si>
  <si>
    <t>unit circle</t>
  </si>
  <si>
    <t>yksikköympyrä</t>
  </si>
  <si>
    <t>enhetssfär</t>
  </si>
  <si>
    <t>unit cube</t>
  </si>
  <si>
    <t>yksikkökuutio</t>
  </si>
  <si>
    <t>enhetskub</t>
  </si>
  <si>
    <t>unit normal (vector)</t>
  </si>
  <si>
    <t>yksikkönormaalivektori</t>
  </si>
  <si>
    <t>normalriktad enhetsvektor</t>
  </si>
  <si>
    <t>unit tangent vector</t>
  </si>
  <si>
    <t>yksikkötangenttivektori</t>
  </si>
  <si>
    <t>tangentiell enhetsvektor</t>
  </si>
  <si>
    <t>unit vector</t>
  </si>
  <si>
    <t>yksikkövektori</t>
  </si>
  <si>
    <t>enhetsvektor</t>
  </si>
  <si>
    <t>unit, unit element</t>
  </si>
  <si>
    <t>yksikkö (alkio jolla on käänteisalkio)</t>
  </si>
  <si>
    <t>unitary</t>
  </si>
  <si>
    <t>unitaarinen</t>
  </si>
  <si>
    <t>unitär</t>
  </si>
  <si>
    <t>unity</t>
  </si>
  <si>
    <t>ykkönen</t>
  </si>
  <si>
    <t>universe</t>
  </si>
  <si>
    <t>perusjoukko</t>
  </si>
  <si>
    <t>unstable</t>
  </si>
  <si>
    <t>epästabiili</t>
  </si>
  <si>
    <t>ostabil</t>
  </si>
  <si>
    <t>upper bound</t>
  </si>
  <si>
    <t>yläraja</t>
  </si>
  <si>
    <t>övre gräns</t>
  </si>
  <si>
    <t>upper semicontinuous</t>
  </si>
  <si>
    <t>ylhäältä puolijatkuva, ylöspäin puolijatkuva</t>
  </si>
  <si>
    <t>oavanifrån semikontinuerlig</t>
  </si>
  <si>
    <t>upper triangular matrix</t>
  </si>
  <si>
    <t>yläkolmiomatriisi</t>
  </si>
  <si>
    <t>övertriangulär matris</t>
  </si>
  <si>
    <t>value</t>
  </si>
  <si>
    <t>arvo</t>
  </si>
  <si>
    <t>värde</t>
  </si>
  <si>
    <t>vanish</t>
  </si>
  <si>
    <t>hävitä</t>
  </si>
  <si>
    <t>försvinna</t>
  </si>
  <si>
    <t>variable</t>
  </si>
  <si>
    <t>muuttuja</t>
  </si>
  <si>
    <t>variabel</t>
  </si>
  <si>
    <t>variable of integration</t>
  </si>
  <si>
    <t>integrointimuuttuja</t>
  </si>
  <si>
    <t>integrationsvariabel</t>
  </si>
  <si>
    <t>variance</t>
  </si>
  <si>
    <t>varianssi</t>
  </si>
  <si>
    <t>varians</t>
  </si>
  <si>
    <t>variation of parameters</t>
  </si>
  <si>
    <t>vakioiden variointi</t>
  </si>
  <si>
    <t>variation av konstanter</t>
  </si>
  <si>
    <t>wavelet</t>
  </si>
  <si>
    <t>aalloke, aaltonen</t>
  </si>
  <si>
    <t>krusning</t>
  </si>
  <si>
    <t>weak topology</t>
  </si>
  <si>
    <t>heikko topologia</t>
  </si>
  <si>
    <t>weak type</t>
  </si>
  <si>
    <t>heikko tyyppi</t>
  </si>
  <si>
    <t>vector</t>
  </si>
  <si>
    <t>vektori</t>
  </si>
  <si>
    <t>vektor</t>
  </si>
  <si>
    <t>vector field</t>
  </si>
  <si>
    <t>vektorikenttä</t>
  </si>
  <si>
    <t>vektorfält</t>
  </si>
  <si>
    <t>vector projection</t>
  </si>
  <si>
    <t>vektoriprojektio</t>
  </si>
  <si>
    <t>vektorprojektion</t>
  </si>
  <si>
    <t>vector space, linear space</t>
  </si>
  <si>
    <t>vektorrum</t>
  </si>
  <si>
    <t>weighted</t>
  </si>
  <si>
    <t>painotettu</t>
  </si>
  <si>
    <t>vägt</t>
  </si>
  <si>
    <t>weighting coefficient</t>
  </si>
  <si>
    <t>paino</t>
  </si>
  <si>
    <t>vikt</t>
  </si>
  <si>
    <t>well-ordering</t>
  </si>
  <si>
    <t>hyvä järjestys</t>
  </si>
  <si>
    <t>välordnad</t>
  </si>
  <si>
    <t>well-posed</t>
  </si>
  <si>
    <t>hyvänlaatuinen</t>
  </si>
  <si>
    <t>snäll, välartad</t>
  </si>
  <si>
    <t>velocity</t>
  </si>
  <si>
    <t>nopeus</t>
  </si>
  <si>
    <t>hastighet</t>
  </si>
  <si>
    <t>vertex</t>
  </si>
  <si>
    <t>kärki</t>
  </si>
  <si>
    <t>spets</t>
  </si>
  <si>
    <t>vertical</t>
  </si>
  <si>
    <t>pystysuora</t>
  </si>
  <si>
    <t>lodrät, vertikal</t>
  </si>
  <si>
    <t>winding number</t>
  </si>
  <si>
    <t>kierrosluku</t>
  </si>
  <si>
    <t>varvtal</t>
  </si>
  <si>
    <t>volume</t>
  </si>
  <si>
    <t>tilavuus</t>
  </si>
  <si>
    <t>volym</t>
  </si>
  <si>
    <t>volume element</t>
  </si>
  <si>
    <t>tilavuusalkio</t>
  </si>
  <si>
    <t>volymelement</t>
  </si>
  <si>
    <t>Wronskian</t>
  </si>
  <si>
    <t>Wronskin determinantti</t>
  </si>
  <si>
    <t>Wronskis determinant</t>
  </si>
  <si>
    <t>xi</t>
  </si>
  <si>
    <t>ksii</t>
  </si>
  <si>
    <t>zero</t>
  </si>
  <si>
    <t>nolla; nollakohta, juuri (funktion)</t>
  </si>
  <si>
    <t>nollställe</t>
  </si>
  <si>
    <t>zero vector</t>
  </si>
  <si>
    <t>nollavektori</t>
  </si>
  <si>
    <t>nollvektor</t>
  </si>
  <si>
    <r>
      <rPr>
        <rFont val="Arial"/>
        <color theme="1"/>
        <sz val="11.0"/>
      </rPr>
      <t xml:space="preserve">Use </t>
    </r>
    <r>
      <rPr>
        <rFont val="Arial"/>
        <b/>
        <color theme="1"/>
        <sz val="11.0"/>
      </rPr>
      <t xml:space="preserve">CTRL-F </t>
    </r>
    <r>
      <rPr>
        <rFont val="Arial"/>
        <color theme="1"/>
        <sz val="11.0"/>
      </rPr>
      <t xml:space="preserve">to find the word or browse the preferred dictionary. </t>
    </r>
  </si>
  <si>
    <t>When searching for Finnish or Swedish words, CTRL-F is strongly recommended, as, e.g., "integraalifunktio, antiderivaatta" lies at "i" and you might be looking for "antiderivaatta", which begins by "a".</t>
  </si>
  <si>
    <t>All terms should be "official", and often the preferred one(s) is at the beginning of the list, if many translations have been given.</t>
  </si>
  <si>
    <t xml:space="preserve">"-" = not given, </t>
  </si>
  <si>
    <t>"(-n)" = the ending of the definite form (Swedish, often "-n" for "en" words and "-t" for "ett" words).</t>
  </si>
  <si>
    <t>Copyright: none (CC0 = PD)</t>
  </si>
  <si>
    <t>You may use the list as you wish, even as part of your own dictionary.</t>
  </si>
  <si>
    <t>However, if your dictionary contains this dictionary as of date X, mentioning that fact may help your users (they need not check this list at all).</t>
  </si>
  <si>
    <t>Kalle.Mikkola@iki.fi</t>
  </si>
  <si>
    <t>has produced this dictionary and most of its contents. Please, send me any improvements (or ask me for direct editing rights).</t>
  </si>
  <si>
    <t>Johan.Sten@vtt.fi</t>
  </si>
  <si>
    <t>has provided most Swedish translations.</t>
  </si>
  <si>
    <t>Jussi Väisälä</t>
  </si>
  <si>
    <t xml:space="preserve">and others have provided many of the words. </t>
  </si>
  <si>
    <t>Version</t>
  </si>
  <si>
    <t>Matemaattinen sanasto, Mathematical dictionary, Matematisk ordbok, Matemaattinen sanakirja</t>
  </si>
  <si>
    <t>v. 11.4, 2024-08-22, täysin tai melkein sama kuin v. 11.3, 2006-1-24</t>
  </si>
  <si>
    <t>Other sources:</t>
  </si>
  <si>
    <t>Find the Wikipedia article for your word. Select the "languages" (or "språk" or  the like) link at top right (or "muilla kielillä" at bottom left, if in Finnish Wikipedia). Usually, page names are correctly translated.</t>
  </si>
  <si>
    <t>https://math.aalto.fi/~kmikkola/matsan/matsan.html</t>
  </si>
  <si>
    <t>that linked page contains links to several mathematical dictionaries</t>
  </si>
  <si>
    <t>Editing the dictionary:</t>
  </si>
  <si>
    <r>
      <rPr>
        <rFont val="Arial"/>
        <color theme="1"/>
        <sz val="11.0"/>
        <u/>
      </rPr>
      <t>Edit the tab "Eng-Fin-Swe (master)"</t>
    </r>
    <r>
      <rPr>
        <rFont val="Arial"/>
        <color theme="1"/>
        <sz val="11.0"/>
      </rPr>
      <t xml:space="preserve"> (not the others).</t>
    </r>
  </si>
  <si>
    <t>Preferably, sort it when your additions are not in order:</t>
  </si>
  <si>
    <t xml:space="preserve"> Data &gt; Sort, or Tiedot &gt; Lajittele taulukko; alternatively, right-click the column letter "A" and select "Sort sheet A to Z".</t>
  </si>
  <si>
    <t>The other two tabs, "Fin-Eng-Swe" and "Swe-Fin-Eng", are automatically updated and sorted.</t>
  </si>
  <si>
    <t>Do not invent the translations. Instead, add only translations that are commonly (and correctly) used in mathematical language.</t>
  </si>
  <si>
    <t>Synonyms:</t>
  </si>
  <si>
    <t>"conjugate space, dual space, adjoint space"</t>
  </si>
  <si>
    <t xml:space="preserve">You could make 3 copies of such rows, one starting with each synomyn. That way, one can find the correct word by browsing. </t>
  </si>
  <si>
    <t>Likely, it is better not to do that:</t>
  </si>
  <si>
    <t>- CTRL-F finds the word, anyway</t>
  </si>
  <si>
    <t>- the additional copies could serve as span in a CTRL-F search, making it slower</t>
  </si>
  <si>
    <t>- this way we can order the words in the preferential order, thus signaling the user which of them should preferably be used.</t>
  </si>
  <si>
    <t>link, explanation</t>
  </si>
  <si>
    <t xml:space="preserve">These and other columns could be added.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</si>
</sst>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Arial"/>
    </font>
    <font>
      <sz val="11.0"/>
      <color theme="1"/>
      <name val="Arial"/>
    </font>
    <font>
      <u/>
      <sz val="11.0"/>
      <color rgb="FF0000FF"/>
      <name val="Arial"/>
    </font>
    <font>
      <b/>
      <color theme="1"/>
      <name val="Arial"/>
      <scheme val="minor"/>
    </font>
    <font>
      <sz val="11.0"/>
      <color theme="1"/>
      <name val="Arial"/>
      <scheme val="minor"/>
    </font>
    <font>
      <color theme="1"/>
      <name val="Arial"/>
      <scheme val="minor"/>
    </font>
    <font>
      <u/>
      <sz val="11.0"/>
      <color rgb="FF0000FF"/>
      <name val="Arial"/>
    </font>
    <font>
      <b/>
      <sz val="11.0"/>
      <color theme="1"/>
      <name val="Arial"/>
      <scheme val="minor"/>
    </font>
    <font>
      <u/>
      <sz val="11.0"/>
      <color rgb="FF0000FF"/>
    </font>
    <font>
      <u/>
      <sz val="11.0"/>
      <color rgb="FF0000FF"/>
    </font>
  </fonts>
  <fills count="3">
    <fill>
      <patternFill patternType="none"/>
    </fill>
    <fill>
      <patternFill patternType="lightGray"/>
    </fill>
    <fill>
      <patternFill patternType="solid">
        <fgColor rgb="FFBDBDBD"/>
        <bgColor rgb="FFBDBDBD"/>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xf>
    <xf borderId="0" fillId="0" fontId="3" numFmtId="0" xfId="0" applyAlignment="1" applyFont="1">
      <alignment horizontal="left" readingOrder="0"/>
    </xf>
    <xf borderId="0" fillId="0" fontId="2" numFmtId="0" xfId="0" applyAlignment="1" applyFont="1">
      <alignment horizontal="left" readingOrder="0"/>
    </xf>
    <xf borderId="0" fillId="0" fontId="2" numFmtId="0" xfId="0" applyAlignment="1" applyFont="1">
      <alignment horizontal="left" readingOrder="0"/>
    </xf>
    <xf quotePrefix="1" borderId="0" fillId="0" fontId="2" numFmtId="0" xfId="0" applyAlignment="1" applyFont="1">
      <alignment horizontal="left" readingOrder="0"/>
    </xf>
    <xf borderId="0" fillId="0" fontId="2" numFmtId="0" xfId="0" applyAlignment="1" applyFont="1">
      <alignment horizontal="left"/>
    </xf>
    <xf borderId="0" fillId="2" fontId="1" numFmtId="0" xfId="0" applyAlignment="1" applyFill="1" applyFont="1">
      <alignment vertical="bottom"/>
    </xf>
    <xf borderId="0" fillId="0" fontId="4" numFmtId="0" xfId="0" applyFont="1"/>
    <xf borderId="0" fillId="0" fontId="5" numFmtId="0" xfId="0" applyFont="1"/>
    <xf borderId="0" fillId="0" fontId="6" numFmtId="0" xfId="0" applyFont="1"/>
    <xf borderId="0" fillId="0" fontId="7" numFmtId="0" xfId="0" applyAlignment="1" applyFont="1">
      <alignment horizontal="left" readingOrder="0"/>
    </xf>
    <xf borderId="0" fillId="0" fontId="5" numFmtId="0" xfId="0" applyAlignment="1" applyFont="1">
      <alignment readingOrder="0"/>
    </xf>
    <xf borderId="0" fillId="0" fontId="5" numFmtId="0" xfId="0" applyFont="1"/>
    <xf borderId="0" fillId="0" fontId="5" numFmtId="0" xfId="0" applyAlignment="1" applyFont="1">
      <alignment horizontal="lef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horizontal="left" readingOrder="0"/>
    </xf>
    <xf quotePrefix="1" borderId="0" fillId="0" fontId="5" numFmtId="0" xfId="0" applyAlignment="1" applyFon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3">
    <tableStyle count="3" pivot="0" name="Eng-Fin-Swe (master)-style">
      <tableStyleElement dxfId="1" type="headerRow"/>
      <tableStyleElement dxfId="2" type="firstRowStripe"/>
      <tableStyleElement dxfId="3" type="secondRowStripe"/>
    </tableStyle>
    <tableStyle count="3" pivot="0" name="Fin-Eng-Swe-style">
      <tableStyleElement dxfId="1" type="headerRow"/>
      <tableStyleElement dxfId="2" type="firstRowStripe"/>
      <tableStyleElement dxfId="3" type="secondRowStripe"/>
    </tableStyle>
    <tableStyle count="3" pivot="0" name="Swe-Fin-En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029" displayName="Table_1" name="Table_1" id="1">
  <tableColumns count="5">
    <tableColumn name="English" id="1"/>
    <tableColumn name="Finnish (suomeksi)" id="2"/>
    <tableColumn name="Swedish (på svenska)" id="3"/>
    <tableColumn name="link" id="4"/>
    <tableColumn name="explanation" id="5"/>
  </tableColumns>
  <tableStyleInfo name="Eng-Fin-Swe (master)-style" showColumnStripes="0" showFirstColumn="1" showLastColumn="1" showRowStripes="1"/>
</table>
</file>

<file path=xl/tables/table2.xml><?xml version="1.0" encoding="utf-8"?>
<table xmlns="http://schemas.openxmlformats.org/spreadsheetml/2006/main" ref="A1:E1501" displayName="Table_2" name="Table_2" id="2">
  <tableColumns count="5">
    <tableColumn name="Finnish (suomeksi)" id="1"/>
    <tableColumn name="English" id="2"/>
    <tableColumn name="Swedish (på svenska)" id="3"/>
    <tableColumn name="link" id="4"/>
    <tableColumn name="explanation" id="5"/>
  </tableColumns>
  <tableStyleInfo name="Fin-Eng-Swe-style" showColumnStripes="0" showFirstColumn="1" showLastColumn="1" showRowStripes="1"/>
</table>
</file>

<file path=xl/tables/table3.xml><?xml version="1.0" encoding="utf-8"?>
<table xmlns="http://schemas.openxmlformats.org/spreadsheetml/2006/main" ref="A1:E1501" displayName="Table_3" name="Table_3" id="3">
  <tableColumns count="5">
    <tableColumn name="Swedish (på svenska)" id="1"/>
    <tableColumn name="Finnish (suomeksi)" id="2"/>
    <tableColumn name="English" id="3"/>
    <tableColumn name="link" id="4"/>
    <tableColumn name="explanation" id="5"/>
  </tableColumns>
  <tableStyleInfo name="Swe-Fin-En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i.wikipedia.org/wiki/Injektio" TargetMode="External"/><Relationship Id="rId2" Type="http://schemas.openxmlformats.org/officeDocument/2006/relationships/hyperlink" Target="https://fi.wikipedia.org/wiki/Bijektio"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fi.wikipedia.org/wiki/Bijektio" TargetMode="External"/><Relationship Id="rId2" Type="http://schemas.openxmlformats.org/officeDocument/2006/relationships/hyperlink" Target="https://fi.wikipedia.org/wiki/Injektio" TargetMode="External"/><Relationship Id="rId3" Type="http://schemas.openxmlformats.org/officeDocument/2006/relationships/drawing" Target="../drawings/drawing2.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fi.wikipedia.org/wiki/Bijektio" TargetMode="External"/><Relationship Id="rId2" Type="http://schemas.openxmlformats.org/officeDocument/2006/relationships/hyperlink" Target="https://fi.wikipedia.org/wiki/Injektio" TargetMode="External"/><Relationship Id="rId3" Type="http://schemas.openxmlformats.org/officeDocument/2006/relationships/drawing" Target="../drawings/drawing3.xml"/><Relationship Id="rId5"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hyperlink" Target="mailto:Kalle.Mikkola@iki.fi" TargetMode="External"/><Relationship Id="rId2" Type="http://schemas.openxmlformats.org/officeDocument/2006/relationships/hyperlink" Target="mailto:Johan.Sten@vtt.fi" TargetMode="External"/><Relationship Id="rId3" Type="http://schemas.openxmlformats.org/officeDocument/2006/relationships/hyperlink" Target="https://math.aalto.fi/~kmikkola/matsan/matsan.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75"/>
    <col customWidth="1" min="2" max="2" width="49.63"/>
    <col customWidth="1" min="3" max="3" width="37.38"/>
  </cols>
  <sheetData>
    <row r="1">
      <c r="A1" s="1" t="s">
        <v>0</v>
      </c>
      <c r="B1" s="1" t="s">
        <v>1</v>
      </c>
      <c r="C1" s="1" t="s">
        <v>2</v>
      </c>
      <c r="D1" s="1" t="s">
        <v>3</v>
      </c>
      <c r="E1" s="1" t="s">
        <v>4</v>
      </c>
    </row>
    <row r="2">
      <c r="A2" s="2" t="s">
        <v>5</v>
      </c>
      <c r="B2" s="2" t="s">
        <v>6</v>
      </c>
      <c r="C2" s="2" t="s">
        <v>7</v>
      </c>
      <c r="D2" s="3" t="s">
        <v>8</v>
      </c>
      <c r="E2" s="4"/>
    </row>
    <row r="3">
      <c r="A3" s="2" t="s">
        <v>9</v>
      </c>
      <c r="B3" s="2" t="s">
        <v>10</v>
      </c>
      <c r="C3" s="2" t="s">
        <v>11</v>
      </c>
      <c r="D3" s="3" t="s">
        <v>12</v>
      </c>
      <c r="E3" s="4"/>
    </row>
    <row r="4">
      <c r="A4" s="2" t="s">
        <v>13</v>
      </c>
      <c r="B4" s="2" t="s">
        <v>14</v>
      </c>
      <c r="C4" s="2" t="s">
        <v>15</v>
      </c>
      <c r="D4" s="5"/>
      <c r="E4" s="5"/>
    </row>
    <row r="5">
      <c r="A5" s="2" t="s">
        <v>16</v>
      </c>
      <c r="B5" s="2" t="s">
        <v>17</v>
      </c>
      <c r="C5" s="2" t="s">
        <v>18</v>
      </c>
      <c r="D5" s="5"/>
      <c r="E5" s="5"/>
    </row>
    <row r="6">
      <c r="A6" s="2" t="s">
        <v>19</v>
      </c>
      <c r="B6" s="2" t="s">
        <v>20</v>
      </c>
      <c r="C6" s="2" t="s">
        <v>21</v>
      </c>
      <c r="D6" s="5"/>
      <c r="E6" s="5"/>
    </row>
    <row r="7">
      <c r="A7" s="2" t="s">
        <v>22</v>
      </c>
      <c r="B7" s="2" t="s">
        <v>23</v>
      </c>
      <c r="C7" s="2" t="s">
        <v>24</v>
      </c>
      <c r="D7" s="5"/>
      <c r="E7" s="5"/>
    </row>
    <row r="8">
      <c r="A8" s="2" t="s">
        <v>25</v>
      </c>
      <c r="B8" s="2" t="s">
        <v>26</v>
      </c>
      <c r="C8" s="2" t="s">
        <v>27</v>
      </c>
      <c r="D8" s="5"/>
      <c r="E8" s="5"/>
    </row>
    <row r="9">
      <c r="A9" s="2" t="s">
        <v>28</v>
      </c>
      <c r="B9" s="2" t="s">
        <v>29</v>
      </c>
      <c r="C9" s="2" t="s">
        <v>30</v>
      </c>
      <c r="D9" s="5"/>
      <c r="E9" s="5"/>
    </row>
    <row r="10">
      <c r="A10" s="2" t="s">
        <v>31</v>
      </c>
      <c r="B10" s="2" t="s">
        <v>32</v>
      </c>
      <c r="C10" s="2" t="s">
        <v>33</v>
      </c>
      <c r="D10" s="5"/>
      <c r="E10" s="5"/>
    </row>
    <row r="11">
      <c r="A11" s="2" t="s">
        <v>34</v>
      </c>
      <c r="B11" s="2" t="s">
        <v>35</v>
      </c>
      <c r="C11" s="2" t="s">
        <v>34</v>
      </c>
      <c r="D11" s="5"/>
      <c r="E11" s="5"/>
    </row>
    <row r="12">
      <c r="A12" s="2" t="s">
        <v>36</v>
      </c>
      <c r="B12" s="2" t="s">
        <v>37</v>
      </c>
      <c r="C12" s="2" t="s">
        <v>38</v>
      </c>
      <c r="D12" s="5"/>
      <c r="E12" s="5"/>
    </row>
    <row r="13">
      <c r="A13" s="2" t="s">
        <v>39</v>
      </c>
      <c r="B13" s="2" t="s">
        <v>40</v>
      </c>
      <c r="C13" s="2" t="s">
        <v>41</v>
      </c>
      <c r="D13" s="5"/>
      <c r="E13" s="5"/>
    </row>
    <row r="14">
      <c r="A14" s="2" t="s">
        <v>42</v>
      </c>
      <c r="B14" s="2" t="s">
        <v>43</v>
      </c>
      <c r="C14" s="2" t="s">
        <v>42</v>
      </c>
      <c r="D14" s="5"/>
      <c r="E14" s="5"/>
    </row>
    <row r="15">
      <c r="A15" s="2" t="s">
        <v>44</v>
      </c>
      <c r="B15" s="2" t="s">
        <v>45</v>
      </c>
      <c r="C15" s="2" t="s">
        <v>46</v>
      </c>
      <c r="D15" s="5"/>
      <c r="E15" s="5"/>
    </row>
    <row r="16">
      <c r="A16" s="2" t="s">
        <v>47</v>
      </c>
      <c r="B16" s="2" t="s">
        <v>48</v>
      </c>
      <c r="C16" s="6" t="s">
        <v>49</v>
      </c>
      <c r="D16" s="7"/>
      <c r="E16" s="7"/>
    </row>
    <row r="17">
      <c r="A17" s="2" t="s">
        <v>50</v>
      </c>
      <c r="B17" s="2" t="s">
        <v>51</v>
      </c>
      <c r="C17" s="2" t="s">
        <v>52</v>
      </c>
      <c r="D17" s="5"/>
      <c r="E17" s="5"/>
    </row>
    <row r="18">
      <c r="A18" s="2" t="s">
        <v>53</v>
      </c>
      <c r="B18" s="2" t="s">
        <v>54</v>
      </c>
      <c r="C18" s="2" t="s">
        <v>55</v>
      </c>
      <c r="D18" s="5"/>
      <c r="E18" s="5"/>
    </row>
    <row r="19">
      <c r="A19" s="2" t="s">
        <v>56</v>
      </c>
      <c r="B19" s="2" t="s">
        <v>57</v>
      </c>
      <c r="C19" s="2" t="s">
        <v>58</v>
      </c>
      <c r="D19" s="5"/>
      <c r="E19" s="5"/>
    </row>
    <row r="20">
      <c r="A20" s="2" t="s">
        <v>59</v>
      </c>
      <c r="B20" s="2" t="s">
        <v>60</v>
      </c>
      <c r="C20" s="2" t="s">
        <v>61</v>
      </c>
      <c r="D20" s="5"/>
      <c r="E20" s="5"/>
    </row>
    <row r="21">
      <c r="A21" s="2" t="s">
        <v>62</v>
      </c>
      <c r="B21" s="2" t="s">
        <v>63</v>
      </c>
      <c r="C21" s="2" t="s">
        <v>64</v>
      </c>
      <c r="D21" s="5"/>
      <c r="E21" s="5"/>
    </row>
    <row r="22">
      <c r="A22" s="2" t="s">
        <v>65</v>
      </c>
      <c r="B22" s="2" t="s">
        <v>66</v>
      </c>
      <c r="C22" s="2" t="s">
        <v>67</v>
      </c>
      <c r="D22" s="5"/>
      <c r="E22" s="5"/>
    </row>
    <row r="23">
      <c r="A23" s="2" t="s">
        <v>68</v>
      </c>
      <c r="B23" s="2" t="s">
        <v>69</v>
      </c>
      <c r="C23" s="2" t="s">
        <v>70</v>
      </c>
      <c r="D23" s="5"/>
      <c r="E23" s="5"/>
    </row>
    <row r="24">
      <c r="A24" s="2" t="s">
        <v>71</v>
      </c>
      <c r="B24" s="2" t="s">
        <v>72</v>
      </c>
      <c r="C24" s="2" t="s">
        <v>73</v>
      </c>
      <c r="D24" s="5"/>
      <c r="E24" s="5"/>
    </row>
    <row r="25">
      <c r="A25" s="2" t="s">
        <v>74</v>
      </c>
      <c r="B25" s="2" t="s">
        <v>75</v>
      </c>
      <c r="C25" s="2" t="s">
        <v>76</v>
      </c>
      <c r="D25" s="5"/>
      <c r="E25" s="5"/>
    </row>
    <row r="26">
      <c r="A26" s="2" t="s">
        <v>77</v>
      </c>
      <c r="B26" s="2" t="s">
        <v>78</v>
      </c>
      <c r="C26" s="2" t="s">
        <v>79</v>
      </c>
      <c r="D26" s="5"/>
      <c r="E26" s="5"/>
    </row>
    <row r="27">
      <c r="A27" s="2" t="s">
        <v>80</v>
      </c>
      <c r="B27" s="2" t="s">
        <v>81</v>
      </c>
      <c r="C27" s="2" t="s">
        <v>82</v>
      </c>
      <c r="D27" s="5"/>
      <c r="E27" s="5"/>
    </row>
    <row r="28">
      <c r="A28" s="2" t="s">
        <v>83</v>
      </c>
      <c r="B28" s="2" t="s">
        <v>84</v>
      </c>
      <c r="C28" s="2" t="s">
        <v>85</v>
      </c>
      <c r="D28" s="5"/>
      <c r="E28" s="5"/>
    </row>
    <row r="29">
      <c r="A29" s="2" t="s">
        <v>86</v>
      </c>
      <c r="B29" s="2" t="s">
        <v>87</v>
      </c>
      <c r="C29" s="2" t="s">
        <v>88</v>
      </c>
      <c r="D29" s="5"/>
      <c r="E29" s="5"/>
    </row>
    <row r="30">
      <c r="A30" s="2" t="s">
        <v>89</v>
      </c>
      <c r="B30" s="2" t="s">
        <v>90</v>
      </c>
      <c r="C30" s="2" t="s">
        <v>91</v>
      </c>
      <c r="D30" s="5"/>
      <c r="E30" s="5"/>
    </row>
    <row r="31">
      <c r="A31" s="2" t="s">
        <v>92</v>
      </c>
      <c r="B31" s="2" t="s">
        <v>93</v>
      </c>
      <c r="C31" s="2" t="s">
        <v>94</v>
      </c>
      <c r="D31" s="5"/>
      <c r="E31" s="5"/>
    </row>
    <row r="32">
      <c r="A32" s="2" t="s">
        <v>95</v>
      </c>
      <c r="B32" s="2" t="s">
        <v>96</v>
      </c>
      <c r="C32" s="2" t="s">
        <v>97</v>
      </c>
      <c r="D32" s="5"/>
      <c r="E32" s="5"/>
    </row>
    <row r="33">
      <c r="A33" s="2" t="s">
        <v>98</v>
      </c>
      <c r="B33" s="2" t="s">
        <v>99</v>
      </c>
      <c r="C33" s="2" t="s">
        <v>100</v>
      </c>
      <c r="D33" s="5"/>
      <c r="E33" s="5"/>
    </row>
    <row r="34">
      <c r="A34" s="2" t="s">
        <v>101</v>
      </c>
      <c r="B34" s="2" t="s">
        <v>102</v>
      </c>
      <c r="C34" s="2" t="s">
        <v>103</v>
      </c>
      <c r="D34" s="5"/>
      <c r="E34" s="5"/>
    </row>
    <row r="35">
      <c r="A35" s="2" t="s">
        <v>104</v>
      </c>
      <c r="B35" s="2" t="s">
        <v>105</v>
      </c>
      <c r="C35" s="2" t="s">
        <v>104</v>
      </c>
      <c r="D35" s="5"/>
      <c r="E35" s="5"/>
    </row>
    <row r="36">
      <c r="A36" s="2" t="s">
        <v>106</v>
      </c>
      <c r="B36" s="2" t="s">
        <v>107</v>
      </c>
      <c r="C36" s="2" t="s">
        <v>108</v>
      </c>
      <c r="D36" s="5"/>
      <c r="E36" s="5"/>
    </row>
    <row r="37">
      <c r="A37" s="2" t="s">
        <v>109</v>
      </c>
      <c r="B37" s="2" t="s">
        <v>110</v>
      </c>
      <c r="C37" s="2" t="s">
        <v>111</v>
      </c>
      <c r="D37" s="5"/>
      <c r="E37" s="5"/>
    </row>
    <row r="38">
      <c r="A38" s="2" t="s">
        <v>112</v>
      </c>
      <c r="B38" s="2" t="s">
        <v>113</v>
      </c>
      <c r="C38" s="2" t="s">
        <v>114</v>
      </c>
      <c r="D38" s="5"/>
      <c r="E38" s="5"/>
    </row>
    <row r="39">
      <c r="A39" s="2" t="s">
        <v>115</v>
      </c>
      <c r="B39" s="2" t="s">
        <v>116</v>
      </c>
      <c r="C39" s="2" t="s">
        <v>117</v>
      </c>
      <c r="D39" s="5"/>
      <c r="E39" s="5"/>
    </row>
    <row r="40">
      <c r="A40" s="2" t="s">
        <v>118</v>
      </c>
      <c r="B40" s="2" t="s">
        <v>119</v>
      </c>
      <c r="C40" s="2" t="s">
        <v>120</v>
      </c>
      <c r="D40" s="5"/>
      <c r="E40" s="5"/>
    </row>
    <row r="41">
      <c r="A41" s="2" t="s">
        <v>121</v>
      </c>
      <c r="B41" s="2" t="s">
        <v>122</v>
      </c>
      <c r="C41" s="2" t="s">
        <v>123</v>
      </c>
      <c r="D41" s="5"/>
      <c r="E41" s="5"/>
    </row>
    <row r="42">
      <c r="A42" s="2" t="s">
        <v>124</v>
      </c>
      <c r="B42" s="2" t="s">
        <v>125</v>
      </c>
      <c r="C42" s="2" t="s">
        <v>126</v>
      </c>
      <c r="D42" s="5"/>
      <c r="E42" s="5"/>
    </row>
    <row r="43">
      <c r="A43" s="2" t="s">
        <v>127</v>
      </c>
      <c r="B43" s="2" t="s">
        <v>128</v>
      </c>
      <c r="C43" s="2" t="s">
        <v>129</v>
      </c>
      <c r="D43" s="5"/>
      <c r="E43" s="5"/>
    </row>
    <row r="44">
      <c r="A44" s="2" t="s">
        <v>130</v>
      </c>
      <c r="B44" s="2" t="s">
        <v>131</v>
      </c>
      <c r="C44" s="2" t="s">
        <v>132</v>
      </c>
      <c r="D44" s="5"/>
      <c r="E44" s="5"/>
    </row>
    <row r="45">
      <c r="A45" s="2" t="s">
        <v>133</v>
      </c>
      <c r="B45" s="2" t="s">
        <v>134</v>
      </c>
      <c r="C45" s="2" t="s">
        <v>135</v>
      </c>
      <c r="D45" s="5"/>
      <c r="E45" s="5"/>
    </row>
    <row r="46">
      <c r="A46" s="2" t="s">
        <v>136</v>
      </c>
      <c r="B46" s="2" t="s">
        <v>137</v>
      </c>
      <c r="C46" s="2" t="s">
        <v>138</v>
      </c>
      <c r="D46" s="5"/>
      <c r="E46" s="5"/>
    </row>
    <row r="47">
      <c r="A47" s="2" t="s">
        <v>139</v>
      </c>
      <c r="B47" s="2" t="s">
        <v>140</v>
      </c>
      <c r="C47" s="2" t="s">
        <v>141</v>
      </c>
      <c r="D47" s="5"/>
      <c r="E47" s="5"/>
    </row>
    <row r="48">
      <c r="A48" s="2" t="s">
        <v>142</v>
      </c>
      <c r="B48" s="2" t="s">
        <v>143</v>
      </c>
      <c r="C48" s="2" t="s">
        <v>144</v>
      </c>
      <c r="D48" s="5"/>
      <c r="E48" s="5"/>
    </row>
    <row r="49">
      <c r="A49" s="2" t="s">
        <v>145</v>
      </c>
      <c r="B49" s="2" t="s">
        <v>146</v>
      </c>
      <c r="C49" s="2" t="s">
        <v>147</v>
      </c>
      <c r="D49" s="5"/>
      <c r="E49" s="5"/>
    </row>
    <row r="50">
      <c r="A50" s="2" t="s">
        <v>148</v>
      </c>
      <c r="B50" s="2" t="s">
        <v>149</v>
      </c>
      <c r="C50" s="2" t="s">
        <v>150</v>
      </c>
      <c r="D50" s="5"/>
      <c r="E50" s="5"/>
    </row>
    <row r="51">
      <c r="A51" s="2" t="s">
        <v>151</v>
      </c>
      <c r="B51" s="2" t="s">
        <v>152</v>
      </c>
      <c r="C51" s="2" t="s">
        <v>153</v>
      </c>
      <c r="D51" s="5"/>
      <c r="E51" s="5"/>
    </row>
    <row r="52">
      <c r="A52" s="2" t="s">
        <v>154</v>
      </c>
      <c r="B52" s="2" t="s">
        <v>155</v>
      </c>
      <c r="C52" s="2" t="s">
        <v>156</v>
      </c>
      <c r="D52" s="5"/>
      <c r="E52" s="5"/>
    </row>
    <row r="53">
      <c r="A53" s="2" t="s">
        <v>157</v>
      </c>
      <c r="B53" s="2" t="s">
        <v>158</v>
      </c>
      <c r="C53" s="2" t="s">
        <v>159</v>
      </c>
      <c r="D53" s="5"/>
      <c r="E53" s="5"/>
    </row>
    <row r="54">
      <c r="A54" s="2" t="s">
        <v>160</v>
      </c>
      <c r="B54" s="2" t="s">
        <v>161</v>
      </c>
      <c r="C54" s="2" t="s">
        <v>162</v>
      </c>
      <c r="D54" s="5"/>
      <c r="E54" s="5"/>
    </row>
    <row r="55">
      <c r="A55" s="2" t="s">
        <v>163</v>
      </c>
      <c r="B55" s="2" t="s">
        <v>164</v>
      </c>
      <c r="C55" s="2" t="s">
        <v>165</v>
      </c>
      <c r="D55" s="5"/>
      <c r="E55" s="5"/>
    </row>
    <row r="56">
      <c r="A56" s="2" t="s">
        <v>166</v>
      </c>
      <c r="B56" s="2" t="s">
        <v>167</v>
      </c>
      <c r="C56" s="2" t="s">
        <v>168</v>
      </c>
      <c r="D56" s="5"/>
      <c r="E56" s="5"/>
    </row>
    <row r="57">
      <c r="A57" s="2" t="s">
        <v>169</v>
      </c>
      <c r="B57" s="2" t="s">
        <v>170</v>
      </c>
      <c r="C57" s="2" t="s">
        <v>169</v>
      </c>
      <c r="D57" s="5"/>
      <c r="E57" s="5"/>
    </row>
    <row r="58">
      <c r="A58" s="2" t="s">
        <v>171</v>
      </c>
      <c r="B58" s="2" t="s">
        <v>172</v>
      </c>
      <c r="C58" s="2" t="s">
        <v>173</v>
      </c>
      <c r="D58" s="5"/>
      <c r="E58" s="5"/>
    </row>
    <row r="59">
      <c r="A59" s="2" t="s">
        <v>174</v>
      </c>
      <c r="B59" s="2" t="s">
        <v>175</v>
      </c>
      <c r="C59" s="2" t="s">
        <v>176</v>
      </c>
      <c r="D59" s="5"/>
      <c r="E59" s="5"/>
    </row>
    <row r="60">
      <c r="A60" s="2" t="s">
        <v>177</v>
      </c>
      <c r="B60" s="2" t="s">
        <v>178</v>
      </c>
      <c r="C60" s="2" t="s">
        <v>179</v>
      </c>
      <c r="D60" s="5"/>
      <c r="E60" s="5"/>
    </row>
    <row r="61">
      <c r="A61" s="2" t="s">
        <v>180</v>
      </c>
      <c r="B61" s="2" t="s">
        <v>181</v>
      </c>
      <c r="C61" s="2" t="s">
        <v>49</v>
      </c>
      <c r="D61" s="5"/>
      <c r="E61" s="5"/>
    </row>
    <row r="62">
      <c r="A62" s="2" t="s">
        <v>182</v>
      </c>
      <c r="B62" s="2" t="s">
        <v>183</v>
      </c>
      <c r="C62" s="2" t="s">
        <v>184</v>
      </c>
      <c r="D62" s="5"/>
      <c r="E62" s="5"/>
    </row>
    <row r="63">
      <c r="A63" s="2" t="s">
        <v>185</v>
      </c>
      <c r="B63" s="2" t="s">
        <v>186</v>
      </c>
      <c r="C63" s="2" t="s">
        <v>187</v>
      </c>
      <c r="D63" s="5"/>
      <c r="E63" s="5"/>
    </row>
    <row r="64">
      <c r="A64" s="2" t="s">
        <v>188</v>
      </c>
      <c r="B64" s="2" t="s">
        <v>189</v>
      </c>
      <c r="C64" s="2" t="s">
        <v>190</v>
      </c>
      <c r="D64" s="5"/>
      <c r="E64" s="5"/>
    </row>
    <row r="65">
      <c r="A65" s="2" t="s">
        <v>191</v>
      </c>
      <c r="B65" s="2" t="s">
        <v>192</v>
      </c>
      <c r="C65" s="2" t="s">
        <v>193</v>
      </c>
      <c r="D65" s="5"/>
      <c r="E65" s="5"/>
    </row>
    <row r="66">
      <c r="A66" s="2" t="s">
        <v>194</v>
      </c>
      <c r="B66" s="2" t="s">
        <v>195</v>
      </c>
      <c r="C66" s="2" t="s">
        <v>196</v>
      </c>
      <c r="D66" s="5"/>
      <c r="E66" s="5"/>
    </row>
    <row r="67">
      <c r="A67" s="2" t="s">
        <v>197</v>
      </c>
      <c r="B67" s="2" t="s">
        <v>198</v>
      </c>
      <c r="C67" s="2" t="s">
        <v>196</v>
      </c>
      <c r="D67" s="5"/>
      <c r="E67" s="5"/>
    </row>
    <row r="68">
      <c r="A68" s="2" t="s">
        <v>199</v>
      </c>
      <c r="B68" s="2" t="s">
        <v>200</v>
      </c>
      <c r="C68" s="2" t="s">
        <v>201</v>
      </c>
      <c r="D68" s="5"/>
      <c r="E68" s="5"/>
    </row>
    <row r="69">
      <c r="A69" s="2" t="s">
        <v>202</v>
      </c>
      <c r="B69" s="2" t="s">
        <v>203</v>
      </c>
      <c r="C69" s="2" t="s">
        <v>204</v>
      </c>
      <c r="D69" s="5"/>
      <c r="E69" s="5"/>
    </row>
    <row r="70">
      <c r="A70" s="2" t="s">
        <v>205</v>
      </c>
      <c r="B70" s="2" t="s">
        <v>206</v>
      </c>
      <c r="C70" s="2" t="s">
        <v>207</v>
      </c>
      <c r="D70" s="5"/>
      <c r="E70" s="5"/>
    </row>
    <row r="71">
      <c r="A71" s="2" t="s">
        <v>208</v>
      </c>
      <c r="B71" s="2" t="s">
        <v>209</v>
      </c>
      <c r="C71" s="2" t="s">
        <v>208</v>
      </c>
      <c r="D71" s="5"/>
      <c r="E71" s="5"/>
    </row>
    <row r="72">
      <c r="A72" s="2" t="s">
        <v>210</v>
      </c>
      <c r="B72" s="2" t="s">
        <v>211</v>
      </c>
      <c r="C72" s="2" t="s">
        <v>212</v>
      </c>
      <c r="D72" s="5"/>
      <c r="E72" s="5"/>
    </row>
    <row r="73">
      <c r="A73" s="2" t="s">
        <v>213</v>
      </c>
      <c r="B73" s="2" t="s">
        <v>10</v>
      </c>
      <c r="C73" s="2" t="s">
        <v>11</v>
      </c>
      <c r="D73" s="5"/>
      <c r="E73" s="5"/>
    </row>
    <row r="74">
      <c r="A74" s="2" t="s">
        <v>214</v>
      </c>
      <c r="B74" s="2" t="s">
        <v>215</v>
      </c>
      <c r="C74" s="2" t="s">
        <v>216</v>
      </c>
      <c r="D74" s="5"/>
      <c r="E74" s="5"/>
    </row>
    <row r="75">
      <c r="A75" s="2" t="s">
        <v>217</v>
      </c>
      <c r="B75" s="2" t="s">
        <v>218</v>
      </c>
      <c r="C75" s="2" t="s">
        <v>219</v>
      </c>
      <c r="D75" s="5"/>
      <c r="E75" s="5"/>
    </row>
    <row r="76">
      <c r="A76" s="2" t="s">
        <v>220</v>
      </c>
      <c r="B76" s="2" t="s">
        <v>221</v>
      </c>
      <c r="C76" s="2" t="s">
        <v>222</v>
      </c>
      <c r="D76" s="5"/>
      <c r="E76" s="5"/>
    </row>
    <row r="77">
      <c r="A77" s="2" t="s">
        <v>223</v>
      </c>
      <c r="B77" s="2" t="s">
        <v>224</v>
      </c>
      <c r="C77" s="2" t="s">
        <v>225</v>
      </c>
      <c r="D77" s="5"/>
      <c r="E77" s="5"/>
    </row>
    <row r="78">
      <c r="A78" s="2" t="s">
        <v>226</v>
      </c>
      <c r="B78" s="2" t="s">
        <v>227</v>
      </c>
      <c r="C78" s="2" t="s">
        <v>228</v>
      </c>
      <c r="D78" s="5"/>
      <c r="E78" s="5"/>
    </row>
    <row r="79">
      <c r="A79" s="2" t="s">
        <v>229</v>
      </c>
      <c r="B79" s="2" t="s">
        <v>230</v>
      </c>
      <c r="C79" s="2" t="s">
        <v>231</v>
      </c>
      <c r="D79" s="5"/>
      <c r="E79" s="5"/>
    </row>
    <row r="80">
      <c r="A80" s="2" t="s">
        <v>232</v>
      </c>
      <c r="B80" s="2" t="s">
        <v>233</v>
      </c>
      <c r="C80" s="2" t="s">
        <v>234</v>
      </c>
      <c r="D80" s="5"/>
      <c r="E80" s="5"/>
    </row>
    <row r="81">
      <c r="A81" s="2" t="s">
        <v>235</v>
      </c>
      <c r="B81" s="2" t="s">
        <v>236</v>
      </c>
      <c r="C81" s="2" t="s">
        <v>237</v>
      </c>
      <c r="D81" s="5"/>
      <c r="E81" s="5"/>
    </row>
    <row r="82">
      <c r="A82" s="2" t="s">
        <v>238</v>
      </c>
      <c r="B82" s="2" t="s">
        <v>239</v>
      </c>
      <c r="C82" s="2" t="s">
        <v>49</v>
      </c>
      <c r="D82" s="5"/>
      <c r="E82" s="5"/>
    </row>
    <row r="83">
      <c r="A83" s="2" t="s">
        <v>240</v>
      </c>
      <c r="B83" s="2" t="s">
        <v>241</v>
      </c>
      <c r="C83" s="2" t="s">
        <v>242</v>
      </c>
      <c r="D83" s="5"/>
      <c r="E83" s="5"/>
    </row>
    <row r="84">
      <c r="A84" s="2" t="s">
        <v>243</v>
      </c>
      <c r="B84" s="2" t="s">
        <v>244</v>
      </c>
      <c r="C84" s="2" t="s">
        <v>245</v>
      </c>
      <c r="D84" s="5"/>
      <c r="E84" s="5"/>
    </row>
    <row r="85">
      <c r="A85" s="2" t="s">
        <v>246</v>
      </c>
      <c r="B85" s="2" t="s">
        <v>247</v>
      </c>
      <c r="C85" s="2" t="s">
        <v>248</v>
      </c>
      <c r="D85" s="5"/>
      <c r="E85" s="5"/>
    </row>
    <row r="86">
      <c r="A86" s="2" t="s">
        <v>249</v>
      </c>
      <c r="B86" s="2" t="s">
        <v>250</v>
      </c>
      <c r="C86" s="2" t="s">
        <v>251</v>
      </c>
      <c r="D86" s="5"/>
      <c r="E86" s="5"/>
    </row>
    <row r="87">
      <c r="A87" s="2" t="s">
        <v>252</v>
      </c>
      <c r="B87" s="2" t="s">
        <v>253</v>
      </c>
      <c r="C87" s="2" t="s">
        <v>254</v>
      </c>
      <c r="D87" s="5"/>
      <c r="E87" s="5"/>
    </row>
    <row r="88">
      <c r="A88" s="2" t="s">
        <v>255</v>
      </c>
      <c r="B88" s="2" t="s">
        <v>256</v>
      </c>
      <c r="C88" s="2" t="s">
        <v>257</v>
      </c>
      <c r="D88" s="5"/>
      <c r="E88" s="5"/>
    </row>
    <row r="89">
      <c r="A89" s="2" t="s">
        <v>258</v>
      </c>
      <c r="B89" s="2" t="s">
        <v>259</v>
      </c>
      <c r="C89" s="2" t="s">
        <v>260</v>
      </c>
      <c r="D89" s="5"/>
      <c r="E89" s="5"/>
    </row>
    <row r="90">
      <c r="A90" s="2" t="s">
        <v>261</v>
      </c>
      <c r="B90" s="2" t="s">
        <v>262</v>
      </c>
      <c r="C90" s="2" t="s">
        <v>263</v>
      </c>
      <c r="D90" s="5"/>
      <c r="E90" s="5"/>
    </row>
    <row r="91">
      <c r="A91" s="2" t="s">
        <v>264</v>
      </c>
      <c r="B91" s="2" t="s">
        <v>265</v>
      </c>
      <c r="C91" s="2" t="s">
        <v>266</v>
      </c>
      <c r="D91" s="5"/>
      <c r="E91" s="5"/>
    </row>
    <row r="92">
      <c r="A92" s="2" t="s">
        <v>267</v>
      </c>
      <c r="B92" s="2" t="s">
        <v>268</v>
      </c>
      <c r="C92" s="2" t="s">
        <v>269</v>
      </c>
      <c r="D92" s="5"/>
      <c r="E92" s="5"/>
    </row>
    <row r="93">
      <c r="A93" s="2" t="s">
        <v>270</v>
      </c>
      <c r="B93" s="2" t="s">
        <v>271</v>
      </c>
      <c r="C93" s="2" t="s">
        <v>272</v>
      </c>
      <c r="D93" s="5"/>
      <c r="E93" s="5"/>
    </row>
    <row r="94">
      <c r="A94" s="2" t="s">
        <v>273</v>
      </c>
      <c r="B94" s="2" t="s">
        <v>274</v>
      </c>
      <c r="C94" s="2" t="s">
        <v>275</v>
      </c>
      <c r="D94" s="5"/>
      <c r="E94" s="5"/>
    </row>
    <row r="95">
      <c r="A95" s="2" t="s">
        <v>276</v>
      </c>
      <c r="B95" s="2" t="s">
        <v>277</v>
      </c>
      <c r="C95" s="2" t="s">
        <v>278</v>
      </c>
      <c r="D95" s="5"/>
      <c r="E95" s="5"/>
    </row>
    <row r="96">
      <c r="A96" s="2" t="s">
        <v>279</v>
      </c>
      <c r="B96" s="2" t="s">
        <v>280</v>
      </c>
      <c r="C96" s="2" t="s">
        <v>281</v>
      </c>
      <c r="D96" s="5"/>
      <c r="E96" s="5"/>
    </row>
    <row r="97">
      <c r="A97" s="2" t="s">
        <v>282</v>
      </c>
      <c r="B97" s="2" t="s">
        <v>283</v>
      </c>
      <c r="C97" s="2" t="s">
        <v>284</v>
      </c>
      <c r="D97" s="5"/>
      <c r="E97" s="5"/>
    </row>
    <row r="98">
      <c r="A98" s="2" t="s">
        <v>285</v>
      </c>
      <c r="B98" s="2" t="s">
        <v>286</v>
      </c>
      <c r="C98" s="2" t="s">
        <v>285</v>
      </c>
      <c r="D98" s="5"/>
      <c r="E98" s="5"/>
    </row>
    <row r="99">
      <c r="A99" s="2" t="s">
        <v>287</v>
      </c>
      <c r="B99" s="2" t="s">
        <v>288</v>
      </c>
      <c r="C99" s="2" t="s">
        <v>289</v>
      </c>
      <c r="D99" s="5"/>
      <c r="E99" s="5"/>
    </row>
    <row r="100">
      <c r="A100" s="2" t="s">
        <v>290</v>
      </c>
      <c r="B100" s="2" t="s">
        <v>291</v>
      </c>
      <c r="C100" s="2" t="s">
        <v>292</v>
      </c>
      <c r="D100" s="5"/>
      <c r="E100" s="5"/>
    </row>
    <row r="101">
      <c r="A101" s="2" t="s">
        <v>293</v>
      </c>
      <c r="B101" s="2" t="s">
        <v>294</v>
      </c>
      <c r="C101" s="2" t="s">
        <v>295</v>
      </c>
      <c r="D101" s="5"/>
      <c r="E101" s="5"/>
    </row>
    <row r="102">
      <c r="A102" s="2" t="s">
        <v>296</v>
      </c>
      <c r="B102" s="2" t="s">
        <v>297</v>
      </c>
      <c r="C102" s="2" t="s">
        <v>298</v>
      </c>
      <c r="D102" s="5"/>
      <c r="E102" s="5"/>
    </row>
    <row r="103">
      <c r="A103" s="2" t="s">
        <v>299</v>
      </c>
      <c r="B103" s="2" t="s">
        <v>300</v>
      </c>
      <c r="C103" s="2" t="s">
        <v>301</v>
      </c>
      <c r="D103" s="5"/>
      <c r="E103" s="5"/>
    </row>
    <row r="104">
      <c r="A104" s="2" t="s">
        <v>302</v>
      </c>
      <c r="B104" s="2" t="s">
        <v>303</v>
      </c>
      <c r="C104" s="2" t="s">
        <v>304</v>
      </c>
      <c r="D104" s="5"/>
      <c r="E104" s="5"/>
    </row>
    <row r="105">
      <c r="A105" s="2" t="s">
        <v>305</v>
      </c>
      <c r="B105" s="2" t="s">
        <v>306</v>
      </c>
      <c r="C105" s="2" t="s">
        <v>307</v>
      </c>
      <c r="D105" s="5"/>
      <c r="E105" s="5"/>
    </row>
    <row r="106">
      <c r="A106" s="2" t="s">
        <v>308</v>
      </c>
      <c r="B106" s="2" t="s">
        <v>309</v>
      </c>
      <c r="C106" s="2" t="s">
        <v>310</v>
      </c>
      <c r="D106" s="5"/>
      <c r="E106" s="5"/>
    </row>
    <row r="107">
      <c r="A107" s="2" t="s">
        <v>311</v>
      </c>
      <c r="B107" s="2" t="s">
        <v>312</v>
      </c>
      <c r="C107" s="2" t="s">
        <v>313</v>
      </c>
      <c r="D107" s="5"/>
      <c r="E107" s="5"/>
    </row>
    <row r="108">
      <c r="A108" s="2" t="s">
        <v>314</v>
      </c>
      <c r="B108" s="2" t="s">
        <v>315</v>
      </c>
      <c r="C108" s="2" t="s">
        <v>316</v>
      </c>
      <c r="D108" s="5"/>
      <c r="E108" s="5"/>
    </row>
    <row r="109">
      <c r="A109" s="2" t="s">
        <v>317</v>
      </c>
      <c r="B109" s="2" t="s">
        <v>318</v>
      </c>
      <c r="C109" s="2" t="s">
        <v>319</v>
      </c>
      <c r="D109" s="5"/>
      <c r="E109" s="5"/>
    </row>
    <row r="110">
      <c r="A110" s="2" t="s">
        <v>320</v>
      </c>
      <c r="B110" s="2" t="s">
        <v>321</v>
      </c>
      <c r="C110" s="2" t="s">
        <v>322</v>
      </c>
      <c r="D110" s="5"/>
      <c r="E110" s="5"/>
    </row>
    <row r="111">
      <c r="A111" s="2" t="s">
        <v>323</v>
      </c>
      <c r="B111" s="2" t="s">
        <v>324</v>
      </c>
      <c r="C111" s="2" t="s">
        <v>325</v>
      </c>
      <c r="D111" s="5"/>
      <c r="E111" s="5"/>
    </row>
    <row r="112">
      <c r="A112" s="2" t="s">
        <v>326</v>
      </c>
      <c r="B112" s="2" t="s">
        <v>327</v>
      </c>
      <c r="C112" s="2" t="s">
        <v>328</v>
      </c>
      <c r="D112" s="5"/>
      <c r="E112" s="5"/>
    </row>
    <row r="113">
      <c r="A113" s="2" t="s">
        <v>329</v>
      </c>
      <c r="B113" s="2" t="s">
        <v>330</v>
      </c>
      <c r="C113" s="2" t="s">
        <v>331</v>
      </c>
      <c r="D113" s="5"/>
      <c r="E113" s="5"/>
    </row>
    <row r="114">
      <c r="A114" s="2" t="s">
        <v>332</v>
      </c>
      <c r="B114" s="2" t="s">
        <v>333</v>
      </c>
      <c r="C114" s="2" t="s">
        <v>334</v>
      </c>
      <c r="D114" s="5"/>
      <c r="E114" s="5"/>
    </row>
    <row r="115">
      <c r="A115" s="2" t="s">
        <v>335</v>
      </c>
      <c r="B115" s="2" t="s">
        <v>336</v>
      </c>
      <c r="C115" s="2" t="s">
        <v>85</v>
      </c>
      <c r="D115" s="5"/>
      <c r="E115" s="5"/>
    </row>
    <row r="116">
      <c r="A116" s="2" t="s">
        <v>337</v>
      </c>
      <c r="B116" s="2" t="s">
        <v>338</v>
      </c>
      <c r="C116" s="2" t="s">
        <v>339</v>
      </c>
      <c r="D116" s="5"/>
      <c r="E116" s="5"/>
    </row>
    <row r="117">
      <c r="A117" s="2" t="s">
        <v>340</v>
      </c>
      <c r="B117" s="2" t="s">
        <v>341</v>
      </c>
      <c r="C117" s="2" t="s">
        <v>342</v>
      </c>
      <c r="D117" s="5"/>
      <c r="E117" s="5"/>
    </row>
    <row r="118">
      <c r="A118" s="2" t="s">
        <v>343</v>
      </c>
      <c r="B118" s="2" t="s">
        <v>344</v>
      </c>
      <c r="C118" s="2" t="s">
        <v>345</v>
      </c>
      <c r="D118" s="5"/>
      <c r="E118" s="5"/>
    </row>
    <row r="119">
      <c r="A119" s="2" t="s">
        <v>346</v>
      </c>
      <c r="B119" s="2" t="s">
        <v>347</v>
      </c>
      <c r="C119" s="2" t="s">
        <v>348</v>
      </c>
      <c r="D119" s="5"/>
      <c r="E119" s="5"/>
    </row>
    <row r="120">
      <c r="A120" s="2" t="s">
        <v>349</v>
      </c>
      <c r="B120" s="2" t="s">
        <v>350</v>
      </c>
      <c r="C120" s="2" t="s">
        <v>351</v>
      </c>
      <c r="D120" s="5"/>
      <c r="E120" s="5"/>
    </row>
    <row r="121">
      <c r="A121" s="2" t="s">
        <v>352</v>
      </c>
      <c r="B121" s="2" t="s">
        <v>353</v>
      </c>
      <c r="C121" s="2" t="s">
        <v>354</v>
      </c>
      <c r="D121" s="5"/>
      <c r="E121" s="5"/>
    </row>
    <row r="122">
      <c r="A122" s="2" t="s">
        <v>355</v>
      </c>
      <c r="B122" s="2" t="s">
        <v>356</v>
      </c>
      <c r="C122" s="2" t="s">
        <v>357</v>
      </c>
      <c r="D122" s="5"/>
      <c r="E122" s="5"/>
    </row>
    <row r="123">
      <c r="A123" s="2" t="s">
        <v>358</v>
      </c>
      <c r="B123" s="2" t="s">
        <v>37</v>
      </c>
      <c r="C123" s="2" t="s">
        <v>38</v>
      </c>
      <c r="D123" s="5"/>
      <c r="E123" s="5"/>
    </row>
    <row r="124">
      <c r="A124" s="2" t="s">
        <v>359</v>
      </c>
      <c r="B124" s="2" t="s">
        <v>360</v>
      </c>
      <c r="C124" s="2" t="s">
        <v>361</v>
      </c>
      <c r="D124" s="5"/>
      <c r="E124" s="5"/>
    </row>
    <row r="125">
      <c r="A125" s="2" t="s">
        <v>362</v>
      </c>
      <c r="B125" s="2" t="s">
        <v>363</v>
      </c>
      <c r="C125" s="2" t="s">
        <v>364</v>
      </c>
      <c r="D125" s="5"/>
      <c r="E125" s="5"/>
    </row>
    <row r="126">
      <c r="A126" s="2" t="s">
        <v>365</v>
      </c>
      <c r="B126" s="2" t="s">
        <v>366</v>
      </c>
      <c r="C126" s="2" t="s">
        <v>367</v>
      </c>
      <c r="D126" s="5"/>
      <c r="E126" s="5"/>
    </row>
    <row r="127">
      <c r="A127" s="2" t="s">
        <v>368</v>
      </c>
      <c r="B127" s="2" t="s">
        <v>369</v>
      </c>
      <c r="C127" s="2" t="s">
        <v>370</v>
      </c>
      <c r="D127" s="5"/>
      <c r="E127" s="5"/>
    </row>
    <row r="128">
      <c r="A128" s="2" t="s">
        <v>371</v>
      </c>
      <c r="B128" s="2" t="s">
        <v>372</v>
      </c>
      <c r="C128" s="2" t="s">
        <v>373</v>
      </c>
      <c r="D128" s="5"/>
      <c r="E128" s="5"/>
    </row>
    <row r="129">
      <c r="A129" s="2" t="s">
        <v>374</v>
      </c>
      <c r="B129" s="2" t="s">
        <v>375</v>
      </c>
      <c r="C129" s="2" t="s">
        <v>49</v>
      </c>
      <c r="D129" s="5"/>
      <c r="E129" s="5"/>
    </row>
    <row r="130">
      <c r="A130" s="2" t="s">
        <v>376</v>
      </c>
      <c r="B130" s="2" t="s">
        <v>377</v>
      </c>
      <c r="C130" s="2" t="s">
        <v>378</v>
      </c>
      <c r="D130" s="5"/>
      <c r="E130" s="5"/>
    </row>
    <row r="131">
      <c r="A131" s="2" t="s">
        <v>379</v>
      </c>
      <c r="B131" s="2" t="s">
        <v>380</v>
      </c>
      <c r="C131" s="2" t="s">
        <v>381</v>
      </c>
      <c r="D131" s="5"/>
      <c r="E131" s="5"/>
    </row>
    <row r="132">
      <c r="A132" s="2" t="s">
        <v>382</v>
      </c>
      <c r="B132" s="2" t="s">
        <v>383</v>
      </c>
      <c r="C132" s="2" t="s">
        <v>384</v>
      </c>
      <c r="D132" s="5"/>
      <c r="E132" s="5"/>
    </row>
    <row r="133">
      <c r="A133" s="2" t="s">
        <v>385</v>
      </c>
      <c r="B133" s="2" t="s">
        <v>386</v>
      </c>
      <c r="C133" s="2" t="s">
        <v>387</v>
      </c>
      <c r="D133" s="5"/>
      <c r="E133" s="5"/>
    </row>
    <row r="134">
      <c r="A134" s="2" t="s">
        <v>388</v>
      </c>
      <c r="B134" s="2" t="s">
        <v>389</v>
      </c>
      <c r="C134" s="2" t="s">
        <v>390</v>
      </c>
      <c r="D134" s="5"/>
      <c r="E134" s="5"/>
    </row>
    <row r="135">
      <c r="A135" s="2" t="s">
        <v>391</v>
      </c>
      <c r="B135" s="2" t="s">
        <v>392</v>
      </c>
      <c r="C135" s="2" t="s">
        <v>393</v>
      </c>
      <c r="D135" s="5"/>
      <c r="E135" s="5"/>
    </row>
    <row r="136">
      <c r="A136" s="2" t="s">
        <v>394</v>
      </c>
      <c r="B136" s="2" t="s">
        <v>395</v>
      </c>
      <c r="C136" s="2" t="s">
        <v>396</v>
      </c>
      <c r="D136" s="5"/>
      <c r="E136" s="5"/>
    </row>
    <row r="137">
      <c r="A137" s="2" t="s">
        <v>397</v>
      </c>
      <c r="B137" s="2" t="s">
        <v>398</v>
      </c>
      <c r="C137" s="2" t="s">
        <v>399</v>
      </c>
      <c r="D137" s="5"/>
      <c r="E137" s="5"/>
    </row>
    <row r="138">
      <c r="A138" s="2" t="s">
        <v>400</v>
      </c>
      <c r="B138" s="2" t="s">
        <v>401</v>
      </c>
      <c r="C138" s="2" t="s">
        <v>402</v>
      </c>
      <c r="D138" s="5"/>
      <c r="E138" s="5"/>
    </row>
    <row r="139">
      <c r="A139" s="2" t="s">
        <v>403</v>
      </c>
      <c r="B139" s="2" t="s">
        <v>404</v>
      </c>
      <c r="C139" s="2" t="s">
        <v>405</v>
      </c>
      <c r="D139" s="5"/>
      <c r="E139" s="5"/>
    </row>
    <row r="140">
      <c r="A140" s="2" t="s">
        <v>406</v>
      </c>
      <c r="B140" s="2" t="s">
        <v>407</v>
      </c>
      <c r="C140" s="2" t="s">
        <v>49</v>
      </c>
      <c r="D140" s="5"/>
      <c r="E140" s="5"/>
    </row>
    <row r="141">
      <c r="A141" s="2" t="s">
        <v>408</v>
      </c>
      <c r="B141" s="2" t="s">
        <v>409</v>
      </c>
      <c r="C141" s="2" t="s">
        <v>410</v>
      </c>
      <c r="D141" s="5"/>
      <c r="E141" s="5"/>
    </row>
    <row r="142">
      <c r="A142" s="2" t="s">
        <v>411</v>
      </c>
      <c r="B142" s="2" t="s">
        <v>412</v>
      </c>
      <c r="C142" s="2" t="s">
        <v>413</v>
      </c>
      <c r="D142" s="5"/>
      <c r="E142" s="5"/>
    </row>
    <row r="143">
      <c r="A143" s="2" t="s">
        <v>414</v>
      </c>
      <c r="B143" s="2" t="s">
        <v>415</v>
      </c>
      <c r="C143" s="2" t="s">
        <v>416</v>
      </c>
      <c r="D143" s="5"/>
      <c r="E143" s="5"/>
    </row>
    <row r="144">
      <c r="A144" s="2" t="s">
        <v>417</v>
      </c>
      <c r="B144" s="2" t="s">
        <v>418</v>
      </c>
      <c r="C144" s="2" t="s">
        <v>419</v>
      </c>
      <c r="D144" s="5"/>
      <c r="E144" s="5"/>
    </row>
    <row r="145">
      <c r="A145" s="2" t="s">
        <v>417</v>
      </c>
      <c r="B145" s="2" t="s">
        <v>420</v>
      </c>
      <c r="C145" s="2" t="s">
        <v>421</v>
      </c>
      <c r="D145" s="5"/>
      <c r="E145" s="5"/>
    </row>
    <row r="146">
      <c r="A146" s="2" t="s">
        <v>422</v>
      </c>
      <c r="B146" s="2" t="s">
        <v>423</v>
      </c>
      <c r="C146" s="2" t="s">
        <v>49</v>
      </c>
      <c r="D146" s="5"/>
      <c r="E146" s="5"/>
    </row>
    <row r="147">
      <c r="A147" s="2" t="s">
        <v>424</v>
      </c>
      <c r="B147" s="2" t="s">
        <v>425</v>
      </c>
      <c r="C147" s="2" t="s">
        <v>426</v>
      </c>
      <c r="D147" s="5"/>
      <c r="E147" s="5"/>
    </row>
    <row r="148">
      <c r="A148" s="2" t="s">
        <v>427</v>
      </c>
      <c r="B148" s="2" t="s">
        <v>428</v>
      </c>
      <c r="C148" s="2" t="s">
        <v>49</v>
      </c>
      <c r="D148" s="5"/>
      <c r="E148" s="5"/>
    </row>
    <row r="149">
      <c r="A149" s="2" t="s">
        <v>429</v>
      </c>
      <c r="B149" s="2" t="s">
        <v>430</v>
      </c>
      <c r="C149" s="2" t="s">
        <v>431</v>
      </c>
      <c r="D149" s="5"/>
      <c r="E149" s="5"/>
    </row>
    <row r="150">
      <c r="A150" s="2" t="s">
        <v>432</v>
      </c>
      <c r="B150" s="2" t="s">
        <v>433</v>
      </c>
      <c r="C150" s="2" t="s">
        <v>434</v>
      </c>
      <c r="D150" s="5"/>
      <c r="E150" s="5"/>
    </row>
    <row r="151">
      <c r="A151" s="2" t="s">
        <v>435</v>
      </c>
      <c r="B151" s="2" t="s">
        <v>436</v>
      </c>
      <c r="C151" s="2" t="s">
        <v>437</v>
      </c>
      <c r="D151" s="5"/>
      <c r="E151" s="5"/>
    </row>
    <row r="152">
      <c r="A152" s="2" t="s">
        <v>438</v>
      </c>
      <c r="B152" s="2" t="s">
        <v>439</v>
      </c>
      <c r="C152" s="2" t="s">
        <v>440</v>
      </c>
      <c r="D152" s="5"/>
      <c r="E152" s="5"/>
    </row>
    <row r="153">
      <c r="A153" s="2" t="s">
        <v>441</v>
      </c>
      <c r="B153" s="2" t="s">
        <v>442</v>
      </c>
      <c r="C153" s="2" t="s">
        <v>443</v>
      </c>
      <c r="D153" s="5"/>
      <c r="E153" s="5"/>
    </row>
    <row r="154">
      <c r="A154" s="2" t="s">
        <v>444</v>
      </c>
      <c r="B154" s="2" t="s">
        <v>445</v>
      </c>
      <c r="C154" s="2" t="s">
        <v>446</v>
      </c>
      <c r="D154" s="5"/>
      <c r="E154" s="5"/>
    </row>
    <row r="155">
      <c r="A155" s="2" t="s">
        <v>447</v>
      </c>
      <c r="B155" s="2" t="s">
        <v>448</v>
      </c>
      <c r="C155" s="2" t="s">
        <v>449</v>
      </c>
      <c r="D155" s="5"/>
      <c r="E155" s="5"/>
    </row>
    <row r="156">
      <c r="A156" s="2" t="s">
        <v>450</v>
      </c>
      <c r="B156" s="2" t="s">
        <v>451</v>
      </c>
      <c r="C156" s="2" t="s">
        <v>452</v>
      </c>
      <c r="D156" s="5"/>
      <c r="E156" s="5"/>
    </row>
    <row r="157">
      <c r="A157" s="2" t="s">
        <v>453</v>
      </c>
      <c r="B157" s="2" t="s">
        <v>454</v>
      </c>
      <c r="C157" s="2" t="s">
        <v>455</v>
      </c>
      <c r="D157" s="5"/>
      <c r="E157" s="5"/>
    </row>
    <row r="158">
      <c r="A158" s="2" t="s">
        <v>456</v>
      </c>
      <c r="B158" s="2" t="s">
        <v>457</v>
      </c>
      <c r="C158" s="2" t="s">
        <v>458</v>
      </c>
      <c r="D158" s="5"/>
      <c r="E158" s="5"/>
    </row>
    <row r="159">
      <c r="A159" s="2" t="s">
        <v>459</v>
      </c>
      <c r="B159" s="2" t="s">
        <v>460</v>
      </c>
      <c r="C159" s="2" t="s">
        <v>461</v>
      </c>
      <c r="D159" s="5"/>
      <c r="E159" s="5"/>
    </row>
    <row r="160">
      <c r="A160" s="2" t="s">
        <v>462</v>
      </c>
      <c r="B160" s="2" t="s">
        <v>463</v>
      </c>
      <c r="C160" s="2" t="s">
        <v>464</v>
      </c>
      <c r="D160" s="5"/>
      <c r="E160" s="5"/>
    </row>
    <row r="161">
      <c r="A161" s="2" t="s">
        <v>465</v>
      </c>
      <c r="B161" s="2" t="s">
        <v>466</v>
      </c>
      <c r="C161" s="2" t="s">
        <v>49</v>
      </c>
      <c r="D161" s="5"/>
      <c r="E161" s="5"/>
    </row>
    <row r="162">
      <c r="A162" s="2" t="s">
        <v>467</v>
      </c>
      <c r="B162" s="2" t="s">
        <v>468</v>
      </c>
      <c r="C162" s="2" t="s">
        <v>469</v>
      </c>
      <c r="D162" s="5"/>
      <c r="E162" s="5"/>
    </row>
    <row r="163">
      <c r="A163" s="2" t="s">
        <v>470</v>
      </c>
      <c r="B163" s="2" t="s">
        <v>471</v>
      </c>
      <c r="C163" s="2" t="s">
        <v>472</v>
      </c>
      <c r="D163" s="5"/>
      <c r="E163" s="5"/>
    </row>
    <row r="164">
      <c r="A164" s="2" t="s">
        <v>473</v>
      </c>
      <c r="B164" s="2" t="s">
        <v>474</v>
      </c>
      <c r="C164" s="2" t="s">
        <v>475</v>
      </c>
      <c r="D164" s="5"/>
      <c r="E164" s="5"/>
    </row>
    <row r="165">
      <c r="A165" s="2" t="s">
        <v>476</v>
      </c>
      <c r="B165" s="2" t="s">
        <v>54</v>
      </c>
      <c r="C165" s="2" t="s">
        <v>477</v>
      </c>
      <c r="D165" s="5"/>
      <c r="E165" s="5"/>
    </row>
    <row r="166">
      <c r="A166" s="2" t="s">
        <v>478</v>
      </c>
      <c r="B166" s="2" t="s">
        <v>479</v>
      </c>
      <c r="C166" s="2" t="s">
        <v>472</v>
      </c>
      <c r="D166" s="5"/>
      <c r="E166" s="5"/>
    </row>
    <row r="167">
      <c r="A167" s="2" t="s">
        <v>480</v>
      </c>
      <c r="B167" s="2" t="s">
        <v>481</v>
      </c>
      <c r="C167" s="2" t="s">
        <v>482</v>
      </c>
      <c r="D167" s="5"/>
      <c r="E167" s="5"/>
    </row>
    <row r="168">
      <c r="A168" s="2" t="s">
        <v>483</v>
      </c>
      <c r="B168" s="2" t="s">
        <v>484</v>
      </c>
      <c r="C168" s="2" t="s">
        <v>485</v>
      </c>
      <c r="D168" s="5"/>
      <c r="E168" s="5"/>
    </row>
    <row r="169">
      <c r="A169" s="2" t="s">
        <v>486</v>
      </c>
      <c r="B169" s="2" t="s">
        <v>487</v>
      </c>
      <c r="C169" s="2" t="s">
        <v>488</v>
      </c>
      <c r="D169" s="5"/>
      <c r="E169" s="5"/>
    </row>
    <row r="170">
      <c r="A170" s="2" t="s">
        <v>489</v>
      </c>
      <c r="B170" s="2" t="s">
        <v>490</v>
      </c>
      <c r="C170" s="2" t="s">
        <v>491</v>
      </c>
      <c r="D170" s="5"/>
      <c r="E170" s="5"/>
    </row>
    <row r="171">
      <c r="A171" s="2" t="s">
        <v>492</v>
      </c>
      <c r="B171" s="2" t="s">
        <v>493</v>
      </c>
      <c r="C171" s="2" t="s">
        <v>494</v>
      </c>
      <c r="D171" s="5"/>
      <c r="E171" s="5"/>
    </row>
    <row r="172">
      <c r="A172" s="2" t="s">
        <v>495</v>
      </c>
      <c r="B172" s="2" t="s">
        <v>496</v>
      </c>
      <c r="C172" s="2" t="s">
        <v>497</v>
      </c>
      <c r="D172" s="5"/>
      <c r="E172" s="5"/>
    </row>
    <row r="173">
      <c r="A173" s="2" t="s">
        <v>498</v>
      </c>
      <c r="B173" s="2" t="s">
        <v>499</v>
      </c>
      <c r="C173" s="2" t="s">
        <v>500</v>
      </c>
      <c r="D173" s="5"/>
      <c r="E173" s="5"/>
    </row>
    <row r="174">
      <c r="A174" s="2" t="s">
        <v>501</v>
      </c>
      <c r="B174" s="2" t="s">
        <v>502</v>
      </c>
      <c r="C174" s="2" t="s">
        <v>503</v>
      </c>
      <c r="D174" s="5"/>
      <c r="E174" s="5"/>
    </row>
    <row r="175">
      <c r="A175" s="2" t="s">
        <v>504</v>
      </c>
      <c r="B175" s="2" t="s">
        <v>505</v>
      </c>
      <c r="C175" s="2" t="s">
        <v>506</v>
      </c>
      <c r="D175" s="5"/>
      <c r="E175" s="5"/>
    </row>
    <row r="176">
      <c r="A176" s="2" t="s">
        <v>507</v>
      </c>
      <c r="B176" s="2" t="s">
        <v>508</v>
      </c>
      <c r="C176" s="2" t="s">
        <v>509</v>
      </c>
      <c r="D176" s="5"/>
      <c r="E176" s="5"/>
    </row>
    <row r="177">
      <c r="A177" s="2" t="s">
        <v>510</v>
      </c>
      <c r="B177" s="2" t="s">
        <v>511</v>
      </c>
      <c r="C177" s="2" t="s">
        <v>512</v>
      </c>
      <c r="D177" s="5"/>
      <c r="E177" s="5"/>
    </row>
    <row r="178">
      <c r="A178" s="2" t="s">
        <v>513</v>
      </c>
      <c r="B178" s="2" t="s">
        <v>514</v>
      </c>
      <c r="C178" s="2" t="s">
        <v>515</v>
      </c>
      <c r="D178" s="5"/>
      <c r="E178" s="5"/>
    </row>
    <row r="179">
      <c r="A179" s="2" t="s">
        <v>516</v>
      </c>
      <c r="B179" s="2" t="s">
        <v>517</v>
      </c>
      <c r="C179" s="2" t="s">
        <v>518</v>
      </c>
      <c r="D179" s="5"/>
      <c r="E179" s="5"/>
    </row>
    <row r="180">
      <c r="A180" s="2" t="s">
        <v>519</v>
      </c>
      <c r="B180" s="2" t="s">
        <v>520</v>
      </c>
      <c r="C180" s="2" t="s">
        <v>521</v>
      </c>
      <c r="D180" s="5"/>
      <c r="E180" s="5"/>
    </row>
    <row r="181">
      <c r="A181" s="2" t="s">
        <v>522</v>
      </c>
      <c r="B181" s="2" t="s">
        <v>523</v>
      </c>
      <c r="C181" s="2" t="s">
        <v>524</v>
      </c>
      <c r="D181" s="5"/>
      <c r="E181" s="5"/>
    </row>
    <row r="182">
      <c r="A182" s="2" t="s">
        <v>525</v>
      </c>
      <c r="B182" s="2" t="s">
        <v>526</v>
      </c>
      <c r="C182" s="2" t="s">
        <v>527</v>
      </c>
      <c r="D182" s="5"/>
      <c r="E182" s="5"/>
    </row>
    <row r="183">
      <c r="A183" s="2" t="s">
        <v>528</v>
      </c>
      <c r="B183" s="2" t="s">
        <v>529</v>
      </c>
      <c r="C183" s="2" t="s">
        <v>530</v>
      </c>
      <c r="D183" s="5"/>
      <c r="E183" s="5"/>
    </row>
    <row r="184">
      <c r="A184" s="2" t="s">
        <v>531</v>
      </c>
      <c r="B184" s="2" t="s">
        <v>532</v>
      </c>
      <c r="C184" s="2" t="s">
        <v>533</v>
      </c>
      <c r="D184" s="5"/>
      <c r="E184" s="5"/>
    </row>
    <row r="185">
      <c r="A185" s="2" t="s">
        <v>534</v>
      </c>
      <c r="B185" s="2" t="s">
        <v>535</v>
      </c>
      <c r="C185" s="2" t="s">
        <v>49</v>
      </c>
      <c r="D185" s="5"/>
      <c r="E185" s="5"/>
    </row>
    <row r="186">
      <c r="A186" s="2" t="s">
        <v>536</v>
      </c>
      <c r="B186" s="2" t="s">
        <v>537</v>
      </c>
      <c r="C186" s="2" t="s">
        <v>538</v>
      </c>
      <c r="D186" s="5"/>
      <c r="E186" s="5"/>
    </row>
    <row r="187">
      <c r="A187" s="2" t="s">
        <v>539</v>
      </c>
      <c r="B187" s="2" t="s">
        <v>540</v>
      </c>
      <c r="C187" s="2" t="s">
        <v>541</v>
      </c>
      <c r="D187" s="5"/>
      <c r="E187" s="5"/>
    </row>
    <row r="188">
      <c r="A188" s="2" t="s">
        <v>542</v>
      </c>
      <c r="B188" s="2" t="s">
        <v>543</v>
      </c>
      <c r="C188" s="2" t="s">
        <v>544</v>
      </c>
      <c r="D188" s="5"/>
      <c r="E188" s="5"/>
    </row>
    <row r="189">
      <c r="A189" s="2" t="s">
        <v>545</v>
      </c>
      <c r="B189" s="2" t="s">
        <v>546</v>
      </c>
      <c r="C189" s="2" t="s">
        <v>547</v>
      </c>
      <c r="D189" s="5"/>
      <c r="E189" s="5"/>
    </row>
    <row r="190">
      <c r="A190" s="2" t="s">
        <v>548</v>
      </c>
      <c r="B190" s="2" t="s">
        <v>549</v>
      </c>
      <c r="C190" s="2" t="s">
        <v>550</v>
      </c>
      <c r="D190" s="5"/>
      <c r="E190" s="5"/>
    </row>
    <row r="191">
      <c r="A191" s="2" t="s">
        <v>551</v>
      </c>
      <c r="B191" s="2" t="s">
        <v>552</v>
      </c>
      <c r="C191" s="2" t="s">
        <v>553</v>
      </c>
      <c r="D191" s="5"/>
      <c r="E191" s="5"/>
    </row>
    <row r="192">
      <c r="A192" s="2" t="s">
        <v>554</v>
      </c>
      <c r="B192" s="2" t="s">
        <v>555</v>
      </c>
      <c r="C192" s="2" t="s">
        <v>556</v>
      </c>
      <c r="D192" s="5"/>
      <c r="E192" s="5"/>
    </row>
    <row r="193">
      <c r="A193" s="2" t="s">
        <v>557</v>
      </c>
      <c r="B193" s="2" t="s">
        <v>558</v>
      </c>
      <c r="C193" s="2" t="s">
        <v>559</v>
      </c>
      <c r="D193" s="5"/>
      <c r="E193" s="5"/>
    </row>
    <row r="194">
      <c r="A194" s="2" t="s">
        <v>560</v>
      </c>
      <c r="B194" s="2" t="s">
        <v>561</v>
      </c>
      <c r="C194" s="2" t="s">
        <v>562</v>
      </c>
      <c r="D194" s="5"/>
      <c r="E194" s="5"/>
    </row>
    <row r="195">
      <c r="A195" s="2" t="s">
        <v>563</v>
      </c>
      <c r="B195" s="2" t="s">
        <v>564</v>
      </c>
      <c r="C195" s="2" t="s">
        <v>565</v>
      </c>
      <c r="D195" s="5"/>
      <c r="E195" s="5"/>
    </row>
    <row r="196">
      <c r="A196" s="2" t="s">
        <v>566</v>
      </c>
      <c r="B196" s="2" t="s">
        <v>567</v>
      </c>
      <c r="C196" s="2" t="s">
        <v>49</v>
      </c>
      <c r="D196" s="5"/>
      <c r="E196" s="5"/>
    </row>
    <row r="197">
      <c r="A197" s="2" t="s">
        <v>568</v>
      </c>
      <c r="B197" s="2" t="s">
        <v>569</v>
      </c>
      <c r="C197" s="2" t="s">
        <v>49</v>
      </c>
      <c r="D197" s="5"/>
      <c r="E197" s="5"/>
    </row>
    <row r="198">
      <c r="A198" s="2" t="s">
        <v>570</v>
      </c>
      <c r="B198" s="2" t="s">
        <v>571</v>
      </c>
      <c r="C198" s="2" t="s">
        <v>49</v>
      </c>
      <c r="D198" s="5"/>
      <c r="E198" s="5"/>
    </row>
    <row r="199">
      <c r="A199" s="2" t="s">
        <v>572</v>
      </c>
      <c r="B199" s="2" t="s">
        <v>573</v>
      </c>
      <c r="C199" s="2" t="s">
        <v>574</v>
      </c>
      <c r="D199" s="5"/>
      <c r="E199" s="5"/>
    </row>
    <row r="200">
      <c r="A200" s="2" t="s">
        <v>575</v>
      </c>
      <c r="B200" s="2" t="s">
        <v>576</v>
      </c>
      <c r="C200" s="2" t="s">
        <v>577</v>
      </c>
      <c r="D200" s="5"/>
      <c r="E200" s="5"/>
    </row>
    <row r="201">
      <c r="A201" s="2" t="s">
        <v>578</v>
      </c>
      <c r="B201" s="2" t="s">
        <v>579</v>
      </c>
      <c r="C201" s="2" t="s">
        <v>580</v>
      </c>
      <c r="D201" s="5"/>
      <c r="E201" s="5"/>
    </row>
    <row r="202">
      <c r="A202" s="2" t="s">
        <v>581</v>
      </c>
      <c r="B202" s="2" t="s">
        <v>582</v>
      </c>
      <c r="C202" s="2" t="s">
        <v>583</v>
      </c>
      <c r="D202" s="5"/>
      <c r="E202" s="5"/>
    </row>
    <row r="203">
      <c r="A203" s="2" t="s">
        <v>584</v>
      </c>
      <c r="B203" s="2" t="s">
        <v>585</v>
      </c>
      <c r="C203" s="2" t="s">
        <v>586</v>
      </c>
      <c r="D203" s="5"/>
      <c r="E203" s="5"/>
    </row>
    <row r="204">
      <c r="A204" s="2" t="s">
        <v>587</v>
      </c>
      <c r="B204" s="2" t="s">
        <v>588</v>
      </c>
      <c r="C204" s="2" t="s">
        <v>49</v>
      </c>
      <c r="D204" s="5"/>
      <c r="E204" s="5"/>
    </row>
    <row r="205">
      <c r="A205" s="2" t="s">
        <v>589</v>
      </c>
      <c r="B205" s="2" t="s">
        <v>590</v>
      </c>
      <c r="C205" s="2" t="s">
        <v>591</v>
      </c>
      <c r="D205" s="5"/>
      <c r="E205" s="5"/>
    </row>
    <row r="206">
      <c r="A206" s="2" t="s">
        <v>592</v>
      </c>
      <c r="B206" s="2" t="s">
        <v>593</v>
      </c>
      <c r="C206" s="2" t="s">
        <v>594</v>
      </c>
      <c r="D206" s="5"/>
      <c r="E206" s="5"/>
    </row>
    <row r="207">
      <c r="A207" s="2" t="s">
        <v>595</v>
      </c>
      <c r="B207" s="2" t="s">
        <v>596</v>
      </c>
      <c r="C207" s="2" t="s">
        <v>597</v>
      </c>
      <c r="D207" s="5"/>
      <c r="E207" s="5"/>
    </row>
    <row r="208">
      <c r="A208" s="2" t="s">
        <v>598</v>
      </c>
      <c r="B208" s="2" t="s">
        <v>599</v>
      </c>
      <c r="C208" s="2" t="s">
        <v>600</v>
      </c>
      <c r="D208" s="5"/>
      <c r="E208" s="5"/>
    </row>
    <row r="209">
      <c r="A209" s="2" t="s">
        <v>601</v>
      </c>
      <c r="B209" s="2" t="s">
        <v>602</v>
      </c>
      <c r="C209" s="2" t="s">
        <v>603</v>
      </c>
      <c r="D209" s="5"/>
      <c r="E209" s="5"/>
    </row>
    <row r="210">
      <c r="A210" s="2" t="s">
        <v>604</v>
      </c>
      <c r="B210" s="2" t="s">
        <v>605</v>
      </c>
      <c r="C210" s="2" t="s">
        <v>606</v>
      </c>
      <c r="D210" s="5"/>
      <c r="E210" s="5"/>
    </row>
    <row r="211">
      <c r="A211" s="2" t="s">
        <v>607</v>
      </c>
      <c r="B211" s="2" t="s">
        <v>608</v>
      </c>
      <c r="C211" s="2" t="s">
        <v>609</v>
      </c>
      <c r="D211" s="5"/>
      <c r="E211" s="5"/>
    </row>
    <row r="212">
      <c r="A212" s="2" t="s">
        <v>610</v>
      </c>
      <c r="B212" s="2" t="s">
        <v>611</v>
      </c>
      <c r="C212" s="2" t="s">
        <v>610</v>
      </c>
      <c r="D212" s="5"/>
      <c r="E212" s="5"/>
    </row>
    <row r="213">
      <c r="A213" s="2" t="s">
        <v>612</v>
      </c>
      <c r="B213" s="2" t="s">
        <v>613</v>
      </c>
      <c r="C213" s="2" t="s">
        <v>614</v>
      </c>
      <c r="D213" s="5"/>
      <c r="E213" s="5"/>
    </row>
    <row r="214">
      <c r="A214" s="2" t="s">
        <v>615</v>
      </c>
      <c r="B214" s="2" t="s">
        <v>616</v>
      </c>
      <c r="C214" s="2" t="s">
        <v>617</v>
      </c>
      <c r="D214" s="5"/>
      <c r="E214" s="5"/>
    </row>
    <row r="215">
      <c r="A215" s="2" t="s">
        <v>618</v>
      </c>
      <c r="B215" s="2" t="s">
        <v>619</v>
      </c>
      <c r="C215" s="2" t="s">
        <v>620</v>
      </c>
      <c r="D215" s="5"/>
      <c r="E215" s="5"/>
    </row>
    <row r="216">
      <c r="A216" s="2" t="s">
        <v>621</v>
      </c>
      <c r="B216" s="2" t="s">
        <v>622</v>
      </c>
      <c r="C216" s="2" t="s">
        <v>623</v>
      </c>
      <c r="D216" s="5"/>
      <c r="E216" s="5"/>
    </row>
    <row r="217">
      <c r="A217" s="2" t="s">
        <v>624</v>
      </c>
      <c r="B217" s="2" t="s">
        <v>625</v>
      </c>
      <c r="C217" s="2" t="s">
        <v>626</v>
      </c>
      <c r="D217" s="5"/>
      <c r="E217" s="5"/>
    </row>
    <row r="218">
      <c r="A218" s="2" t="s">
        <v>627</v>
      </c>
      <c r="B218" s="2" t="s">
        <v>628</v>
      </c>
      <c r="C218" s="2" t="s">
        <v>629</v>
      </c>
      <c r="D218" s="5"/>
      <c r="E218" s="5"/>
    </row>
    <row r="219">
      <c r="A219" s="2" t="s">
        <v>630</v>
      </c>
      <c r="B219" s="2" t="s">
        <v>631</v>
      </c>
      <c r="C219" s="2" t="s">
        <v>632</v>
      </c>
      <c r="D219" s="5"/>
      <c r="E219" s="5"/>
    </row>
    <row r="220">
      <c r="A220" s="2" t="s">
        <v>633</v>
      </c>
      <c r="B220" s="2" t="s">
        <v>634</v>
      </c>
      <c r="C220" s="2" t="s">
        <v>635</v>
      </c>
      <c r="D220" s="5"/>
      <c r="E220" s="5"/>
    </row>
    <row r="221">
      <c r="A221" s="2" t="s">
        <v>636</v>
      </c>
      <c r="B221" s="2" t="s">
        <v>637</v>
      </c>
      <c r="C221" s="2" t="s">
        <v>638</v>
      </c>
      <c r="D221" s="5"/>
      <c r="E221" s="5"/>
    </row>
    <row r="222">
      <c r="A222" s="2" t="s">
        <v>639</v>
      </c>
      <c r="B222" s="2" t="s">
        <v>640</v>
      </c>
      <c r="C222" s="2" t="s">
        <v>639</v>
      </c>
      <c r="D222" s="5"/>
      <c r="E222" s="5"/>
    </row>
    <row r="223">
      <c r="A223" s="2" t="s">
        <v>641</v>
      </c>
      <c r="B223" s="2" t="s">
        <v>642</v>
      </c>
      <c r="C223" s="2" t="s">
        <v>643</v>
      </c>
      <c r="D223" s="5"/>
      <c r="E223" s="5"/>
    </row>
    <row r="224">
      <c r="A224" s="2" t="s">
        <v>644</v>
      </c>
      <c r="B224" s="2" t="s">
        <v>645</v>
      </c>
      <c r="C224" s="2" t="s">
        <v>646</v>
      </c>
      <c r="D224" s="5"/>
      <c r="E224" s="5"/>
    </row>
    <row r="225">
      <c r="A225" s="2" t="s">
        <v>647</v>
      </c>
      <c r="B225" s="2" t="s">
        <v>648</v>
      </c>
      <c r="C225" s="2" t="s">
        <v>649</v>
      </c>
      <c r="D225" s="5"/>
      <c r="E225" s="5"/>
    </row>
    <row r="226">
      <c r="A226" s="2" t="s">
        <v>650</v>
      </c>
      <c r="B226" s="2" t="s">
        <v>651</v>
      </c>
      <c r="C226" s="2" t="s">
        <v>652</v>
      </c>
      <c r="D226" s="5"/>
      <c r="E226" s="5"/>
    </row>
    <row r="227">
      <c r="A227" s="2" t="s">
        <v>653</v>
      </c>
      <c r="B227" s="2" t="s">
        <v>654</v>
      </c>
      <c r="C227" s="2" t="s">
        <v>655</v>
      </c>
      <c r="D227" s="5"/>
      <c r="E227" s="5"/>
    </row>
    <row r="228">
      <c r="A228" s="2" t="s">
        <v>656</v>
      </c>
      <c r="B228" s="2" t="s">
        <v>657</v>
      </c>
      <c r="C228" s="2" t="s">
        <v>658</v>
      </c>
      <c r="D228" s="5"/>
      <c r="E228" s="5"/>
    </row>
    <row r="229">
      <c r="A229" s="2" t="s">
        <v>659</v>
      </c>
      <c r="B229" s="2" t="s">
        <v>564</v>
      </c>
      <c r="C229" s="2" t="s">
        <v>565</v>
      </c>
      <c r="D229" s="5"/>
      <c r="E229" s="5"/>
    </row>
    <row r="230">
      <c r="A230" s="2" t="s">
        <v>660</v>
      </c>
      <c r="B230" s="2" t="s">
        <v>661</v>
      </c>
      <c r="C230" s="2" t="s">
        <v>662</v>
      </c>
      <c r="D230" s="5"/>
      <c r="E230" s="5"/>
    </row>
    <row r="231">
      <c r="A231" s="2" t="s">
        <v>663</v>
      </c>
      <c r="B231" s="2" t="s">
        <v>664</v>
      </c>
      <c r="C231" s="2" t="s">
        <v>665</v>
      </c>
      <c r="D231" s="5"/>
      <c r="E231" s="5"/>
    </row>
    <row r="232">
      <c r="A232" s="2" t="s">
        <v>666</v>
      </c>
      <c r="B232" s="2" t="s">
        <v>667</v>
      </c>
      <c r="C232" s="2" t="s">
        <v>666</v>
      </c>
      <c r="D232" s="5"/>
      <c r="E232" s="5"/>
    </row>
    <row r="233">
      <c r="A233" s="2" t="s">
        <v>668</v>
      </c>
      <c r="B233" s="2" t="s">
        <v>669</v>
      </c>
      <c r="C233" s="2" t="s">
        <v>668</v>
      </c>
      <c r="D233" s="5"/>
      <c r="E233" s="5"/>
    </row>
    <row r="234">
      <c r="A234" s="2" t="s">
        <v>670</v>
      </c>
      <c r="B234" s="2" t="s">
        <v>671</v>
      </c>
      <c r="C234" s="2" t="s">
        <v>672</v>
      </c>
      <c r="D234" s="5"/>
      <c r="E234" s="5"/>
    </row>
    <row r="235">
      <c r="A235" s="2" t="s">
        <v>673</v>
      </c>
      <c r="B235" s="2" t="s">
        <v>674</v>
      </c>
      <c r="C235" s="2" t="s">
        <v>675</v>
      </c>
      <c r="D235" s="5"/>
      <c r="E235" s="5"/>
    </row>
    <row r="236">
      <c r="A236" s="2" t="s">
        <v>676</v>
      </c>
      <c r="B236" s="2" t="s">
        <v>677</v>
      </c>
      <c r="C236" s="2" t="s">
        <v>676</v>
      </c>
      <c r="D236" s="5"/>
      <c r="E236" s="5"/>
    </row>
    <row r="237">
      <c r="A237" s="2" t="s">
        <v>678</v>
      </c>
      <c r="B237" s="2" t="s">
        <v>679</v>
      </c>
      <c r="C237" s="2" t="s">
        <v>680</v>
      </c>
      <c r="D237" s="5"/>
      <c r="E237" s="5"/>
    </row>
    <row r="238">
      <c r="A238" s="2" t="s">
        <v>681</v>
      </c>
      <c r="B238" s="2" t="s">
        <v>682</v>
      </c>
      <c r="C238" s="2" t="s">
        <v>683</v>
      </c>
      <c r="D238" s="5"/>
      <c r="E238" s="5"/>
    </row>
    <row r="239">
      <c r="A239" s="2" t="s">
        <v>684</v>
      </c>
      <c r="B239" s="2" t="s">
        <v>685</v>
      </c>
      <c r="C239" s="2" t="s">
        <v>686</v>
      </c>
      <c r="D239" s="5"/>
      <c r="E239" s="5"/>
    </row>
    <row r="240">
      <c r="A240" s="2" t="s">
        <v>687</v>
      </c>
      <c r="B240" s="2" t="s">
        <v>688</v>
      </c>
      <c r="C240" s="2" t="s">
        <v>689</v>
      </c>
      <c r="D240" s="5"/>
      <c r="E240" s="5"/>
    </row>
    <row r="241">
      <c r="A241" s="2" t="s">
        <v>690</v>
      </c>
      <c r="B241" s="2" t="s">
        <v>691</v>
      </c>
      <c r="C241" s="2" t="s">
        <v>692</v>
      </c>
      <c r="D241" s="5"/>
      <c r="E241" s="5"/>
    </row>
    <row r="242">
      <c r="A242" s="2" t="s">
        <v>693</v>
      </c>
      <c r="B242" s="2" t="s">
        <v>694</v>
      </c>
      <c r="C242" s="2" t="s">
        <v>695</v>
      </c>
      <c r="D242" s="5"/>
      <c r="E242" s="5"/>
    </row>
    <row r="243">
      <c r="A243" s="2" t="s">
        <v>696</v>
      </c>
      <c r="B243" s="2" t="s">
        <v>697</v>
      </c>
      <c r="C243" s="2" t="s">
        <v>696</v>
      </c>
      <c r="D243" s="5"/>
      <c r="E243" s="5"/>
    </row>
    <row r="244">
      <c r="A244" s="2" t="s">
        <v>698</v>
      </c>
      <c r="B244" s="2" t="s">
        <v>699</v>
      </c>
      <c r="C244" s="2" t="s">
        <v>698</v>
      </c>
      <c r="D244" s="5"/>
      <c r="E244" s="5"/>
    </row>
    <row r="245">
      <c r="A245" s="2" t="s">
        <v>700</v>
      </c>
      <c r="B245" s="2" t="s">
        <v>701</v>
      </c>
      <c r="C245" s="2" t="s">
        <v>702</v>
      </c>
      <c r="D245" s="5"/>
      <c r="E245" s="5"/>
    </row>
    <row r="246">
      <c r="A246" s="2" t="s">
        <v>703</v>
      </c>
      <c r="B246" s="2" t="s">
        <v>704</v>
      </c>
      <c r="C246" s="2" t="s">
        <v>705</v>
      </c>
      <c r="D246" s="5"/>
      <c r="E246" s="5"/>
    </row>
    <row r="247">
      <c r="A247" s="2" t="s">
        <v>706</v>
      </c>
      <c r="B247" s="2" t="s">
        <v>707</v>
      </c>
      <c r="C247" s="2" t="s">
        <v>708</v>
      </c>
      <c r="D247" s="5"/>
      <c r="E247" s="5"/>
    </row>
    <row r="248">
      <c r="A248" s="2" t="s">
        <v>709</v>
      </c>
      <c r="B248" s="2" t="s">
        <v>710</v>
      </c>
      <c r="C248" s="2" t="s">
        <v>711</v>
      </c>
      <c r="D248" s="5"/>
      <c r="E248" s="5"/>
    </row>
    <row r="249">
      <c r="A249" s="2" t="s">
        <v>712</v>
      </c>
      <c r="B249" s="2" t="s">
        <v>713</v>
      </c>
      <c r="C249" s="2" t="s">
        <v>714</v>
      </c>
      <c r="D249" s="5"/>
      <c r="E249" s="5"/>
    </row>
    <row r="250">
      <c r="A250" s="2" t="s">
        <v>715</v>
      </c>
      <c r="B250" s="2" t="s">
        <v>716</v>
      </c>
      <c r="C250" s="2" t="s">
        <v>717</v>
      </c>
      <c r="D250" s="5"/>
      <c r="E250" s="5"/>
    </row>
    <row r="251">
      <c r="A251" s="2" t="s">
        <v>718</v>
      </c>
      <c r="B251" s="2" t="s">
        <v>719</v>
      </c>
      <c r="C251" s="2" t="s">
        <v>720</v>
      </c>
      <c r="D251" s="5"/>
      <c r="E251" s="5"/>
    </row>
    <row r="252">
      <c r="A252" s="2" t="s">
        <v>721</v>
      </c>
      <c r="B252" s="2" t="s">
        <v>722</v>
      </c>
      <c r="C252" s="2" t="s">
        <v>723</v>
      </c>
      <c r="D252" s="5"/>
      <c r="E252" s="5"/>
    </row>
    <row r="253">
      <c r="A253" s="2" t="s">
        <v>724</v>
      </c>
      <c r="B253" s="2" t="s">
        <v>725</v>
      </c>
      <c r="C253" s="2" t="s">
        <v>726</v>
      </c>
      <c r="D253" s="5"/>
      <c r="E253" s="5"/>
    </row>
    <row r="254">
      <c r="A254" s="2" t="s">
        <v>727</v>
      </c>
      <c r="B254" s="2" t="s">
        <v>728</v>
      </c>
      <c r="C254" s="2" t="s">
        <v>729</v>
      </c>
      <c r="D254" s="5"/>
      <c r="E254" s="5"/>
    </row>
    <row r="255">
      <c r="A255" s="2" t="s">
        <v>730</v>
      </c>
      <c r="B255" s="2" t="s">
        <v>731</v>
      </c>
      <c r="C255" s="2" t="s">
        <v>732</v>
      </c>
      <c r="D255" s="5"/>
      <c r="E255" s="5"/>
    </row>
    <row r="256">
      <c r="A256" s="2" t="s">
        <v>733</v>
      </c>
      <c r="B256" s="2" t="s">
        <v>734</v>
      </c>
      <c r="C256" s="2" t="s">
        <v>735</v>
      </c>
      <c r="D256" s="5"/>
      <c r="E256" s="5"/>
    </row>
    <row r="257">
      <c r="A257" s="2" t="s">
        <v>736</v>
      </c>
      <c r="B257" s="2" t="s">
        <v>737</v>
      </c>
      <c r="C257" s="2" t="s">
        <v>738</v>
      </c>
      <c r="D257" s="5"/>
      <c r="E257" s="5"/>
    </row>
    <row r="258">
      <c r="A258" s="2" t="s">
        <v>739</v>
      </c>
      <c r="B258" s="2" t="s">
        <v>740</v>
      </c>
      <c r="C258" s="2" t="s">
        <v>741</v>
      </c>
      <c r="D258" s="5"/>
      <c r="E258" s="5"/>
    </row>
    <row r="259">
      <c r="A259" s="2" t="s">
        <v>742</v>
      </c>
      <c r="B259" s="2" t="s">
        <v>743</v>
      </c>
      <c r="C259" s="2" t="s">
        <v>744</v>
      </c>
      <c r="D259" s="5"/>
      <c r="E259" s="5"/>
    </row>
    <row r="260">
      <c r="A260" s="2" t="s">
        <v>745</v>
      </c>
      <c r="B260" s="2" t="s">
        <v>746</v>
      </c>
      <c r="C260" s="2" t="s">
        <v>747</v>
      </c>
      <c r="D260" s="5"/>
      <c r="E260" s="5"/>
    </row>
    <row r="261">
      <c r="A261" s="2" t="s">
        <v>748</v>
      </c>
      <c r="B261" s="2" t="s">
        <v>749</v>
      </c>
      <c r="C261" s="2" t="s">
        <v>750</v>
      </c>
      <c r="D261" s="5"/>
      <c r="E261" s="5"/>
    </row>
    <row r="262">
      <c r="A262" s="2" t="s">
        <v>751</v>
      </c>
      <c r="B262" s="2" t="s">
        <v>752</v>
      </c>
      <c r="C262" s="2" t="s">
        <v>753</v>
      </c>
      <c r="D262" s="5"/>
      <c r="E262" s="5"/>
    </row>
    <row r="263">
      <c r="A263" s="2" t="s">
        <v>754</v>
      </c>
      <c r="B263" s="2" t="s">
        <v>755</v>
      </c>
      <c r="C263" s="2" t="s">
        <v>756</v>
      </c>
      <c r="D263" s="5"/>
      <c r="E263" s="5"/>
    </row>
    <row r="264">
      <c r="A264" s="2" t="s">
        <v>757</v>
      </c>
      <c r="B264" s="2" t="s">
        <v>758</v>
      </c>
      <c r="C264" s="2" t="s">
        <v>759</v>
      </c>
      <c r="D264" s="5"/>
      <c r="E264" s="5"/>
    </row>
    <row r="265">
      <c r="A265" s="2" t="s">
        <v>760</v>
      </c>
      <c r="B265" s="2" t="s">
        <v>761</v>
      </c>
      <c r="C265" s="2" t="s">
        <v>762</v>
      </c>
      <c r="D265" s="5"/>
      <c r="E265" s="5"/>
    </row>
    <row r="266">
      <c r="A266" s="2" t="s">
        <v>763</v>
      </c>
      <c r="B266" s="2" t="s">
        <v>764</v>
      </c>
      <c r="C266" s="2" t="s">
        <v>763</v>
      </c>
      <c r="D266" s="5"/>
      <c r="E266" s="5"/>
    </row>
    <row r="267">
      <c r="A267" s="2" t="s">
        <v>765</v>
      </c>
      <c r="B267" s="2" t="s">
        <v>766</v>
      </c>
      <c r="C267" s="2" t="s">
        <v>767</v>
      </c>
      <c r="D267" s="5"/>
      <c r="E267" s="5"/>
    </row>
    <row r="268">
      <c r="A268" s="2" t="s">
        <v>768</v>
      </c>
      <c r="B268" s="2" t="s">
        <v>769</v>
      </c>
      <c r="C268" s="2" t="s">
        <v>770</v>
      </c>
      <c r="D268" s="5"/>
      <c r="E268" s="5"/>
    </row>
    <row r="269">
      <c r="A269" s="2" t="s">
        <v>771</v>
      </c>
      <c r="B269" s="2" t="s">
        <v>772</v>
      </c>
      <c r="C269" s="2" t="s">
        <v>773</v>
      </c>
      <c r="D269" s="5"/>
      <c r="E269" s="5"/>
    </row>
    <row r="270">
      <c r="A270" s="2" t="s">
        <v>774</v>
      </c>
      <c r="B270" s="2" t="s">
        <v>775</v>
      </c>
      <c r="C270" s="2" t="s">
        <v>776</v>
      </c>
      <c r="D270" s="5"/>
      <c r="E270" s="5"/>
    </row>
    <row r="271">
      <c r="A271" s="2" t="s">
        <v>777</v>
      </c>
      <c r="B271" s="2" t="s">
        <v>778</v>
      </c>
      <c r="C271" s="2" t="s">
        <v>779</v>
      </c>
      <c r="D271" s="5"/>
      <c r="E271" s="5"/>
    </row>
    <row r="272">
      <c r="A272" s="2" t="s">
        <v>780</v>
      </c>
      <c r="B272" s="2" t="s">
        <v>781</v>
      </c>
      <c r="C272" s="2" t="s">
        <v>782</v>
      </c>
      <c r="D272" s="5"/>
      <c r="E272" s="5"/>
    </row>
    <row r="273">
      <c r="A273" s="2" t="s">
        <v>783</v>
      </c>
      <c r="B273" s="2" t="s">
        <v>784</v>
      </c>
      <c r="C273" s="7"/>
      <c r="D273" s="7"/>
      <c r="E273" s="7"/>
    </row>
    <row r="274">
      <c r="A274" s="2" t="s">
        <v>785</v>
      </c>
      <c r="B274" s="2" t="s">
        <v>786</v>
      </c>
      <c r="C274" s="2" t="s">
        <v>787</v>
      </c>
      <c r="D274" s="5"/>
      <c r="E274" s="5"/>
    </row>
    <row r="275">
      <c r="A275" s="2" t="s">
        <v>788</v>
      </c>
      <c r="B275" s="2" t="s">
        <v>789</v>
      </c>
      <c r="C275" s="2" t="s">
        <v>790</v>
      </c>
      <c r="D275" s="5"/>
      <c r="E275" s="5"/>
    </row>
    <row r="276">
      <c r="A276" s="2" t="s">
        <v>791</v>
      </c>
      <c r="B276" s="2" t="s">
        <v>792</v>
      </c>
      <c r="C276" s="2" t="s">
        <v>793</v>
      </c>
      <c r="D276" s="5"/>
      <c r="E276" s="5"/>
    </row>
    <row r="277">
      <c r="A277" s="2" t="s">
        <v>791</v>
      </c>
      <c r="B277" s="2" t="s">
        <v>792</v>
      </c>
      <c r="C277" s="2" t="s">
        <v>49</v>
      </c>
      <c r="D277" s="5"/>
      <c r="E277" s="5"/>
    </row>
    <row r="278">
      <c r="A278" s="2" t="s">
        <v>794</v>
      </c>
      <c r="B278" s="2" t="s">
        <v>795</v>
      </c>
      <c r="C278" s="2" t="s">
        <v>796</v>
      </c>
      <c r="D278" s="5"/>
      <c r="E278" s="5"/>
    </row>
    <row r="279">
      <c r="A279" s="2" t="s">
        <v>797</v>
      </c>
      <c r="B279" s="2" t="s">
        <v>798</v>
      </c>
      <c r="C279" s="2" t="s">
        <v>799</v>
      </c>
      <c r="D279" s="5"/>
      <c r="E279" s="5"/>
    </row>
    <row r="280">
      <c r="A280" s="2" t="s">
        <v>800</v>
      </c>
      <c r="B280" s="2" t="s">
        <v>801</v>
      </c>
      <c r="C280" s="2" t="s">
        <v>802</v>
      </c>
      <c r="D280" s="5"/>
      <c r="E280" s="5"/>
    </row>
    <row r="281">
      <c r="A281" s="2" t="s">
        <v>803</v>
      </c>
      <c r="B281" s="2" t="s">
        <v>804</v>
      </c>
      <c r="C281" s="2" t="s">
        <v>805</v>
      </c>
      <c r="D281" s="5"/>
      <c r="E281" s="5"/>
    </row>
    <row r="282">
      <c r="A282" s="2" t="s">
        <v>806</v>
      </c>
      <c r="B282" s="2" t="s">
        <v>807</v>
      </c>
      <c r="C282" s="2" t="s">
        <v>808</v>
      </c>
      <c r="D282" s="5"/>
      <c r="E282" s="5"/>
    </row>
    <row r="283">
      <c r="A283" s="2" t="s">
        <v>809</v>
      </c>
      <c r="B283" s="2" t="s">
        <v>810</v>
      </c>
      <c r="C283" s="2" t="s">
        <v>811</v>
      </c>
      <c r="D283" s="5"/>
      <c r="E283" s="5"/>
    </row>
    <row r="284">
      <c r="A284" s="2" t="s">
        <v>812</v>
      </c>
      <c r="B284" s="2" t="s">
        <v>813</v>
      </c>
      <c r="C284" s="2" t="s">
        <v>814</v>
      </c>
      <c r="D284" s="5"/>
      <c r="E284" s="5"/>
    </row>
    <row r="285">
      <c r="A285" s="2" t="s">
        <v>815</v>
      </c>
      <c r="B285" s="2" t="s">
        <v>816</v>
      </c>
      <c r="C285" s="2" t="s">
        <v>817</v>
      </c>
      <c r="D285" s="5"/>
      <c r="E285" s="5"/>
    </row>
    <row r="286">
      <c r="A286" s="2" t="s">
        <v>818</v>
      </c>
      <c r="B286" s="2" t="s">
        <v>819</v>
      </c>
      <c r="C286" s="2" t="s">
        <v>818</v>
      </c>
      <c r="D286" s="5"/>
      <c r="E286" s="5"/>
    </row>
    <row r="287">
      <c r="A287" s="2" t="s">
        <v>820</v>
      </c>
      <c r="B287" s="2" t="s">
        <v>821</v>
      </c>
      <c r="C287" s="2" t="s">
        <v>822</v>
      </c>
      <c r="D287" s="5"/>
      <c r="E287" s="5"/>
    </row>
    <row r="288">
      <c r="A288" s="2" t="s">
        <v>823</v>
      </c>
      <c r="B288" s="2" t="s">
        <v>824</v>
      </c>
      <c r="C288" s="2" t="s">
        <v>49</v>
      </c>
      <c r="D288" s="5"/>
      <c r="E288" s="5"/>
    </row>
    <row r="289">
      <c r="A289" s="2" t="s">
        <v>825</v>
      </c>
      <c r="B289" s="2" t="s">
        <v>826</v>
      </c>
      <c r="C289" s="2" t="s">
        <v>827</v>
      </c>
      <c r="D289" s="5"/>
      <c r="E289" s="5"/>
    </row>
    <row r="290">
      <c r="A290" s="2" t="s">
        <v>828</v>
      </c>
      <c r="B290" s="2" t="s">
        <v>829</v>
      </c>
      <c r="C290" s="2" t="s">
        <v>830</v>
      </c>
      <c r="D290" s="5"/>
      <c r="E290" s="5"/>
    </row>
    <row r="291">
      <c r="A291" s="2" t="s">
        <v>831</v>
      </c>
      <c r="B291" s="2" t="s">
        <v>832</v>
      </c>
      <c r="C291" s="2" t="s">
        <v>833</v>
      </c>
      <c r="D291" s="5"/>
      <c r="E291" s="5"/>
    </row>
    <row r="292">
      <c r="A292" s="2" t="s">
        <v>834</v>
      </c>
      <c r="B292" s="2" t="s">
        <v>835</v>
      </c>
      <c r="C292" s="2" t="s">
        <v>836</v>
      </c>
      <c r="D292" s="5"/>
      <c r="E292" s="5"/>
    </row>
    <row r="293">
      <c r="A293" s="2" t="s">
        <v>837</v>
      </c>
      <c r="B293" s="2" t="s">
        <v>838</v>
      </c>
      <c r="C293" s="2" t="s">
        <v>839</v>
      </c>
      <c r="D293" s="5"/>
      <c r="E293" s="5"/>
    </row>
    <row r="294">
      <c r="A294" s="2" t="s">
        <v>840</v>
      </c>
      <c r="B294" s="2" t="s">
        <v>841</v>
      </c>
      <c r="C294" s="2" t="s">
        <v>808</v>
      </c>
      <c r="D294" s="5"/>
      <c r="E294" s="5"/>
    </row>
    <row r="295">
      <c r="A295" s="2" t="s">
        <v>842</v>
      </c>
      <c r="B295" s="2" t="s">
        <v>564</v>
      </c>
      <c r="C295" s="2" t="s">
        <v>565</v>
      </c>
      <c r="D295" s="5"/>
      <c r="E295" s="5"/>
    </row>
    <row r="296">
      <c r="A296" s="2" t="s">
        <v>843</v>
      </c>
      <c r="B296" s="2" t="s">
        <v>844</v>
      </c>
      <c r="C296" s="2" t="s">
        <v>845</v>
      </c>
      <c r="D296" s="5"/>
      <c r="E296" s="5"/>
    </row>
    <row r="297">
      <c r="A297" s="2" t="s">
        <v>846</v>
      </c>
      <c r="B297" s="2" t="s">
        <v>847</v>
      </c>
      <c r="C297" s="2" t="s">
        <v>848</v>
      </c>
      <c r="D297" s="5"/>
      <c r="E297" s="5"/>
    </row>
    <row r="298">
      <c r="A298" s="2" t="s">
        <v>849</v>
      </c>
      <c r="B298" s="2" t="s">
        <v>850</v>
      </c>
      <c r="C298" s="2" t="s">
        <v>49</v>
      </c>
      <c r="D298" s="5"/>
      <c r="E298" s="5"/>
    </row>
    <row r="299">
      <c r="A299" s="2" t="s">
        <v>851</v>
      </c>
      <c r="B299" s="2" t="s">
        <v>852</v>
      </c>
      <c r="C299" s="2" t="s">
        <v>853</v>
      </c>
      <c r="D299" s="5"/>
      <c r="E299" s="5"/>
    </row>
    <row r="300">
      <c r="A300" s="2" t="s">
        <v>854</v>
      </c>
      <c r="B300" s="2" t="s">
        <v>855</v>
      </c>
      <c r="C300" s="2" t="s">
        <v>856</v>
      </c>
      <c r="D300" s="5"/>
      <c r="E300" s="5"/>
    </row>
    <row r="301">
      <c r="A301" s="2" t="s">
        <v>857</v>
      </c>
      <c r="B301" s="2" t="s">
        <v>858</v>
      </c>
      <c r="C301" s="2" t="s">
        <v>859</v>
      </c>
      <c r="D301" s="5"/>
      <c r="E301" s="5"/>
    </row>
    <row r="302">
      <c r="A302" s="2" t="s">
        <v>860</v>
      </c>
      <c r="B302" s="2" t="s">
        <v>861</v>
      </c>
      <c r="C302" s="2" t="s">
        <v>862</v>
      </c>
      <c r="D302" s="5"/>
      <c r="E302" s="5"/>
    </row>
    <row r="303">
      <c r="A303" s="2" t="s">
        <v>863</v>
      </c>
      <c r="B303" s="2" t="s">
        <v>864</v>
      </c>
      <c r="C303" s="2" t="s">
        <v>865</v>
      </c>
      <c r="D303" s="5"/>
      <c r="E303" s="5"/>
    </row>
    <row r="304">
      <c r="A304" s="2" t="s">
        <v>866</v>
      </c>
      <c r="B304" s="2" t="s">
        <v>867</v>
      </c>
      <c r="C304" s="2" t="s">
        <v>868</v>
      </c>
      <c r="D304" s="5"/>
      <c r="E304" s="5"/>
    </row>
    <row r="305">
      <c r="A305" s="2" t="s">
        <v>869</v>
      </c>
      <c r="B305" s="2" t="s">
        <v>870</v>
      </c>
      <c r="C305" s="2" t="s">
        <v>871</v>
      </c>
      <c r="D305" s="5"/>
      <c r="E305" s="5"/>
    </row>
    <row r="306">
      <c r="A306" s="2" t="s">
        <v>872</v>
      </c>
      <c r="B306" s="2" t="s">
        <v>873</v>
      </c>
      <c r="C306" s="2" t="s">
        <v>874</v>
      </c>
      <c r="D306" s="5"/>
      <c r="E306" s="5"/>
    </row>
    <row r="307">
      <c r="A307" s="2" t="s">
        <v>875</v>
      </c>
      <c r="B307" s="2" t="s">
        <v>876</v>
      </c>
      <c r="C307" s="2" t="s">
        <v>877</v>
      </c>
      <c r="D307" s="5"/>
      <c r="E307" s="5"/>
    </row>
    <row r="308">
      <c r="A308" s="2" t="s">
        <v>875</v>
      </c>
      <c r="B308" s="2" t="s">
        <v>878</v>
      </c>
      <c r="C308" s="2" t="s">
        <v>879</v>
      </c>
      <c r="D308" s="5"/>
      <c r="E308" s="5"/>
    </row>
    <row r="309">
      <c r="A309" s="2" t="s">
        <v>880</v>
      </c>
      <c r="B309" s="2" t="s">
        <v>881</v>
      </c>
      <c r="C309" s="2" t="s">
        <v>882</v>
      </c>
      <c r="D309" s="5"/>
      <c r="E309" s="5"/>
    </row>
    <row r="310">
      <c r="A310" s="2" t="s">
        <v>883</v>
      </c>
      <c r="B310" s="2" t="s">
        <v>884</v>
      </c>
      <c r="C310" s="2" t="s">
        <v>885</v>
      </c>
      <c r="D310" s="5"/>
      <c r="E310" s="5"/>
    </row>
    <row r="311">
      <c r="A311" s="2" t="s">
        <v>886</v>
      </c>
      <c r="B311" s="2" t="s">
        <v>887</v>
      </c>
      <c r="C311" s="2" t="s">
        <v>888</v>
      </c>
      <c r="D311" s="5"/>
      <c r="E311" s="5"/>
    </row>
    <row r="312">
      <c r="A312" s="2" t="s">
        <v>889</v>
      </c>
      <c r="B312" s="2" t="s">
        <v>890</v>
      </c>
      <c r="C312" s="2" t="s">
        <v>891</v>
      </c>
      <c r="D312" s="5"/>
      <c r="E312" s="5"/>
    </row>
    <row r="313">
      <c r="A313" s="2" t="s">
        <v>892</v>
      </c>
      <c r="B313" s="2" t="s">
        <v>893</v>
      </c>
      <c r="C313" s="2" t="s">
        <v>49</v>
      </c>
      <c r="D313" s="5"/>
      <c r="E313" s="5"/>
    </row>
    <row r="314">
      <c r="A314" s="2" t="s">
        <v>894</v>
      </c>
      <c r="B314" s="2" t="s">
        <v>895</v>
      </c>
      <c r="C314" s="2" t="s">
        <v>896</v>
      </c>
      <c r="D314" s="5"/>
      <c r="E314" s="5"/>
    </row>
    <row r="315">
      <c r="A315" s="2" t="s">
        <v>897</v>
      </c>
      <c r="B315" s="2" t="s">
        <v>898</v>
      </c>
      <c r="C315" s="2" t="s">
        <v>899</v>
      </c>
      <c r="D315" s="5"/>
      <c r="E315" s="5"/>
    </row>
    <row r="316">
      <c r="A316" s="2" t="s">
        <v>900</v>
      </c>
      <c r="B316" s="2" t="s">
        <v>901</v>
      </c>
      <c r="C316" s="2" t="s">
        <v>902</v>
      </c>
      <c r="D316" s="5"/>
      <c r="E316" s="5"/>
    </row>
    <row r="317">
      <c r="A317" s="2" t="s">
        <v>903</v>
      </c>
      <c r="B317" s="2" t="s">
        <v>904</v>
      </c>
      <c r="C317" s="2" t="s">
        <v>905</v>
      </c>
      <c r="D317" s="5"/>
      <c r="E317" s="5"/>
    </row>
    <row r="318">
      <c r="A318" s="2" t="s">
        <v>906</v>
      </c>
      <c r="B318" s="2" t="s">
        <v>907</v>
      </c>
      <c r="C318" s="2" t="s">
        <v>908</v>
      </c>
      <c r="D318" s="5"/>
      <c r="E318" s="5"/>
    </row>
    <row r="319">
      <c r="A319" s="2" t="s">
        <v>909</v>
      </c>
      <c r="B319" s="2" t="s">
        <v>910</v>
      </c>
      <c r="C319" s="2" t="s">
        <v>911</v>
      </c>
      <c r="D319" s="5"/>
      <c r="E319" s="5"/>
    </row>
    <row r="320">
      <c r="A320" s="2" t="s">
        <v>912</v>
      </c>
      <c r="B320" s="2" t="s">
        <v>913</v>
      </c>
      <c r="C320" s="2" t="s">
        <v>914</v>
      </c>
      <c r="D320" s="5"/>
      <c r="E320" s="5"/>
    </row>
    <row r="321">
      <c r="A321" s="2" t="s">
        <v>915</v>
      </c>
      <c r="B321" s="2" t="s">
        <v>916</v>
      </c>
      <c r="C321" s="2" t="s">
        <v>917</v>
      </c>
      <c r="D321" s="5"/>
      <c r="E321" s="5"/>
    </row>
    <row r="322">
      <c r="A322" s="2" t="s">
        <v>918</v>
      </c>
      <c r="B322" s="2" t="s">
        <v>919</v>
      </c>
      <c r="C322" s="2" t="s">
        <v>920</v>
      </c>
      <c r="D322" s="5"/>
      <c r="E322" s="5"/>
    </row>
    <row r="323">
      <c r="A323" s="2" t="s">
        <v>921</v>
      </c>
      <c r="B323" s="2" t="s">
        <v>922</v>
      </c>
      <c r="C323" s="2" t="s">
        <v>923</v>
      </c>
      <c r="D323" s="5"/>
      <c r="E323" s="5"/>
    </row>
    <row r="324">
      <c r="A324" s="2" t="s">
        <v>924</v>
      </c>
      <c r="B324" s="2" t="s">
        <v>925</v>
      </c>
      <c r="C324" s="2" t="s">
        <v>926</v>
      </c>
      <c r="D324" s="5"/>
      <c r="E324" s="5"/>
    </row>
    <row r="325">
      <c r="A325" s="2" t="s">
        <v>924</v>
      </c>
      <c r="B325" s="2" t="s">
        <v>927</v>
      </c>
      <c r="C325" s="2" t="s">
        <v>49</v>
      </c>
      <c r="D325" s="5"/>
      <c r="E325" s="5"/>
    </row>
    <row r="326">
      <c r="A326" s="2" t="s">
        <v>928</v>
      </c>
      <c r="B326" s="2" t="s">
        <v>929</v>
      </c>
      <c r="C326" s="2" t="s">
        <v>930</v>
      </c>
      <c r="D326" s="5"/>
      <c r="E326" s="5"/>
    </row>
    <row r="327">
      <c r="A327" s="2" t="s">
        <v>931</v>
      </c>
      <c r="B327" s="2" t="s">
        <v>932</v>
      </c>
      <c r="C327" s="2" t="s">
        <v>933</v>
      </c>
      <c r="D327" s="5"/>
      <c r="E327" s="5"/>
    </row>
    <row r="328">
      <c r="A328" s="2" t="s">
        <v>934</v>
      </c>
      <c r="B328" s="2" t="s">
        <v>935</v>
      </c>
      <c r="C328" s="2" t="s">
        <v>936</v>
      </c>
      <c r="D328" s="5"/>
      <c r="E328" s="5"/>
    </row>
    <row r="329">
      <c r="A329" s="2" t="s">
        <v>937</v>
      </c>
      <c r="B329" s="2" t="s">
        <v>938</v>
      </c>
      <c r="C329" s="2" t="s">
        <v>939</v>
      </c>
      <c r="D329" s="5"/>
      <c r="E329" s="5"/>
    </row>
    <row r="330">
      <c r="A330" s="2" t="s">
        <v>940</v>
      </c>
      <c r="B330" s="2" t="s">
        <v>941</v>
      </c>
      <c r="C330" s="2" t="s">
        <v>942</v>
      </c>
      <c r="D330" s="5"/>
      <c r="E330" s="5"/>
    </row>
    <row r="331">
      <c r="A331" s="2" t="s">
        <v>943</v>
      </c>
      <c r="B331" s="2" t="s">
        <v>944</v>
      </c>
      <c r="C331" s="2" t="s">
        <v>945</v>
      </c>
      <c r="D331" s="5"/>
      <c r="E331" s="5"/>
    </row>
    <row r="332">
      <c r="A332" s="2" t="s">
        <v>946</v>
      </c>
      <c r="B332" s="2" t="s">
        <v>947</v>
      </c>
      <c r="C332" s="2" t="s">
        <v>945</v>
      </c>
      <c r="D332" s="5"/>
      <c r="E332" s="5"/>
    </row>
    <row r="333">
      <c r="A333" s="2" t="s">
        <v>948</v>
      </c>
      <c r="B333" s="2" t="s">
        <v>949</v>
      </c>
      <c r="C333" s="2" t="s">
        <v>950</v>
      </c>
      <c r="D333" s="5"/>
      <c r="E333" s="5"/>
    </row>
    <row r="334">
      <c r="A334" s="2" t="s">
        <v>951</v>
      </c>
      <c r="B334" s="2" t="s">
        <v>952</v>
      </c>
      <c r="C334" s="2" t="s">
        <v>953</v>
      </c>
      <c r="D334" s="5"/>
      <c r="E334" s="5"/>
    </row>
    <row r="335">
      <c r="A335" s="2" t="s">
        <v>954</v>
      </c>
      <c r="B335" s="2" t="s">
        <v>955</v>
      </c>
      <c r="C335" s="2" t="s">
        <v>956</v>
      </c>
      <c r="D335" s="5"/>
      <c r="E335" s="5"/>
    </row>
    <row r="336">
      <c r="A336" s="2" t="s">
        <v>957</v>
      </c>
      <c r="B336" s="2" t="s">
        <v>958</v>
      </c>
      <c r="C336" s="2" t="s">
        <v>959</v>
      </c>
      <c r="D336" s="5"/>
      <c r="E336" s="5"/>
    </row>
    <row r="337">
      <c r="A337" s="2" t="s">
        <v>960</v>
      </c>
      <c r="B337" s="2" t="s">
        <v>961</v>
      </c>
      <c r="C337" s="2" t="s">
        <v>962</v>
      </c>
      <c r="D337" s="5"/>
      <c r="E337" s="5"/>
    </row>
    <row r="338">
      <c r="A338" s="2" t="s">
        <v>963</v>
      </c>
      <c r="B338" s="2" t="s">
        <v>964</v>
      </c>
      <c r="C338" s="2" t="s">
        <v>965</v>
      </c>
      <c r="D338" s="5"/>
      <c r="E338" s="5"/>
    </row>
    <row r="339">
      <c r="A339" s="2" t="s">
        <v>966</v>
      </c>
      <c r="B339" s="2" t="s">
        <v>967</v>
      </c>
      <c r="C339" s="2" t="s">
        <v>968</v>
      </c>
      <c r="D339" s="5"/>
      <c r="E339" s="5"/>
    </row>
    <row r="340">
      <c r="A340" s="2" t="s">
        <v>969</v>
      </c>
      <c r="B340" s="2" t="s">
        <v>970</v>
      </c>
      <c r="C340" s="2" t="s">
        <v>971</v>
      </c>
      <c r="D340" s="5"/>
      <c r="E340" s="5"/>
    </row>
    <row r="341">
      <c r="A341" s="2" t="s">
        <v>972</v>
      </c>
      <c r="B341" s="2" t="s">
        <v>973</v>
      </c>
      <c r="C341" s="2" t="s">
        <v>972</v>
      </c>
      <c r="D341" s="5"/>
      <c r="E341" s="5"/>
    </row>
    <row r="342">
      <c r="A342" s="2" t="s">
        <v>974</v>
      </c>
      <c r="B342" s="2" t="s">
        <v>975</v>
      </c>
      <c r="C342" s="2" t="s">
        <v>976</v>
      </c>
      <c r="D342" s="5"/>
      <c r="E342" s="5"/>
    </row>
    <row r="343">
      <c r="A343" s="2" t="s">
        <v>977</v>
      </c>
      <c r="B343" s="2" t="s">
        <v>978</v>
      </c>
      <c r="C343" s="2" t="s">
        <v>977</v>
      </c>
      <c r="D343" s="5"/>
      <c r="E343" s="5"/>
    </row>
    <row r="344">
      <c r="A344" s="2" t="s">
        <v>979</v>
      </c>
      <c r="B344" s="2" t="s">
        <v>980</v>
      </c>
      <c r="C344" s="2" t="s">
        <v>49</v>
      </c>
      <c r="D344" s="5"/>
      <c r="E344" s="5"/>
    </row>
    <row r="345">
      <c r="A345" s="2" t="s">
        <v>981</v>
      </c>
      <c r="B345" s="2" t="s">
        <v>982</v>
      </c>
      <c r="C345" s="2" t="s">
        <v>49</v>
      </c>
      <c r="D345" s="5"/>
      <c r="E345" s="5"/>
    </row>
    <row r="346">
      <c r="A346" s="2" t="s">
        <v>983</v>
      </c>
      <c r="B346" s="2" t="s">
        <v>984</v>
      </c>
      <c r="C346" s="2" t="s">
        <v>985</v>
      </c>
      <c r="D346" s="5"/>
      <c r="E346" s="5"/>
    </row>
    <row r="347">
      <c r="A347" s="2" t="s">
        <v>986</v>
      </c>
      <c r="B347" s="2" t="s">
        <v>987</v>
      </c>
      <c r="C347" s="2" t="s">
        <v>988</v>
      </c>
      <c r="D347" s="5"/>
      <c r="E347" s="5"/>
    </row>
    <row r="348">
      <c r="A348" s="2" t="s">
        <v>989</v>
      </c>
      <c r="B348" s="2" t="s">
        <v>990</v>
      </c>
      <c r="C348" s="2" t="s">
        <v>988</v>
      </c>
      <c r="D348" s="5"/>
      <c r="E348" s="5"/>
    </row>
    <row r="349">
      <c r="A349" s="2" t="s">
        <v>991</v>
      </c>
      <c r="B349" s="2" t="s">
        <v>992</v>
      </c>
      <c r="C349" s="2" t="s">
        <v>49</v>
      </c>
      <c r="D349" s="5"/>
      <c r="E349" s="5"/>
    </row>
    <row r="350">
      <c r="A350" s="2" t="s">
        <v>993</v>
      </c>
      <c r="B350" s="2" t="s">
        <v>994</v>
      </c>
      <c r="C350" s="2" t="s">
        <v>49</v>
      </c>
      <c r="D350" s="5"/>
      <c r="E350" s="5"/>
    </row>
    <row r="351">
      <c r="A351" s="2" t="s">
        <v>995</v>
      </c>
      <c r="B351" s="2" t="s">
        <v>996</v>
      </c>
      <c r="C351" s="2" t="s">
        <v>997</v>
      </c>
      <c r="D351" s="5"/>
      <c r="E351" s="5"/>
    </row>
    <row r="352">
      <c r="A352" s="2" t="s">
        <v>998</v>
      </c>
      <c r="B352" s="2" t="s">
        <v>999</v>
      </c>
      <c r="C352" s="2" t="s">
        <v>1000</v>
      </c>
      <c r="D352" s="5"/>
      <c r="E352" s="5"/>
    </row>
    <row r="353">
      <c r="A353" s="2" t="s">
        <v>1001</v>
      </c>
      <c r="B353" s="2" t="s">
        <v>1002</v>
      </c>
      <c r="C353" s="2" t="s">
        <v>1003</v>
      </c>
      <c r="D353" s="5"/>
      <c r="E353" s="5"/>
    </row>
    <row r="354">
      <c r="A354" s="2" t="s">
        <v>1004</v>
      </c>
      <c r="B354" s="2" t="s">
        <v>1005</v>
      </c>
      <c r="C354" s="2" t="s">
        <v>1006</v>
      </c>
      <c r="D354" s="5"/>
      <c r="E354" s="5"/>
    </row>
    <row r="355">
      <c r="A355" s="2" t="s">
        <v>1007</v>
      </c>
      <c r="B355" s="2" t="s">
        <v>1008</v>
      </c>
      <c r="C355" s="2" t="s">
        <v>1009</v>
      </c>
      <c r="D355" s="5"/>
      <c r="E355" s="5"/>
    </row>
    <row r="356">
      <c r="A356" s="2" t="s">
        <v>1010</v>
      </c>
      <c r="B356" s="2" t="s">
        <v>1011</v>
      </c>
      <c r="C356" s="2" t="s">
        <v>49</v>
      </c>
      <c r="D356" s="5"/>
      <c r="E356" s="5"/>
    </row>
    <row r="357">
      <c r="A357" s="2" t="s">
        <v>1012</v>
      </c>
      <c r="B357" s="2" t="s">
        <v>1013</v>
      </c>
      <c r="C357" s="2" t="s">
        <v>1014</v>
      </c>
      <c r="D357" s="5"/>
      <c r="E357" s="5"/>
    </row>
    <row r="358">
      <c r="A358" s="2" t="s">
        <v>1015</v>
      </c>
      <c r="B358" s="2" t="s">
        <v>1016</v>
      </c>
      <c r="C358" s="2" t="s">
        <v>1017</v>
      </c>
      <c r="D358" s="5"/>
      <c r="E358" s="5"/>
    </row>
    <row r="359">
      <c r="A359" s="2" t="s">
        <v>1018</v>
      </c>
      <c r="B359" s="2" t="s">
        <v>1019</v>
      </c>
      <c r="C359" s="2" t="s">
        <v>1020</v>
      </c>
      <c r="D359" s="5"/>
      <c r="E359" s="5"/>
    </row>
    <row r="360">
      <c r="A360" s="2" t="s">
        <v>1021</v>
      </c>
      <c r="B360" s="2" t="s">
        <v>1022</v>
      </c>
      <c r="C360" s="2" t="s">
        <v>1023</v>
      </c>
      <c r="D360" s="5"/>
      <c r="E360" s="5"/>
    </row>
    <row r="361">
      <c r="A361" s="2" t="s">
        <v>1024</v>
      </c>
      <c r="B361" s="2" t="s">
        <v>1025</v>
      </c>
      <c r="C361" s="2" t="s">
        <v>49</v>
      </c>
      <c r="D361" s="5"/>
      <c r="E361" s="5"/>
    </row>
    <row r="362">
      <c r="A362" s="2" t="s">
        <v>1026</v>
      </c>
      <c r="B362" s="2" t="s">
        <v>1027</v>
      </c>
      <c r="C362" s="2" t="s">
        <v>1028</v>
      </c>
      <c r="D362" s="5"/>
      <c r="E362" s="5"/>
    </row>
    <row r="363">
      <c r="A363" s="2" t="s">
        <v>1029</v>
      </c>
      <c r="B363" s="2" t="s">
        <v>1030</v>
      </c>
      <c r="C363" s="2" t="s">
        <v>1031</v>
      </c>
      <c r="D363" s="5"/>
      <c r="E363" s="5"/>
    </row>
    <row r="364">
      <c r="A364" s="2" t="s">
        <v>1032</v>
      </c>
      <c r="B364" s="2" t="s">
        <v>244</v>
      </c>
      <c r="C364" s="2" t="s">
        <v>245</v>
      </c>
      <c r="D364" s="5"/>
      <c r="E364" s="5"/>
    </row>
    <row r="365">
      <c r="A365" s="2" t="s">
        <v>1033</v>
      </c>
      <c r="B365" s="2" t="s">
        <v>1034</v>
      </c>
      <c r="C365" s="7"/>
      <c r="D365" s="7"/>
      <c r="E365" s="7"/>
    </row>
    <row r="366">
      <c r="A366" s="2" t="s">
        <v>1035</v>
      </c>
      <c r="B366" s="2" t="s">
        <v>1036</v>
      </c>
      <c r="C366" s="2" t="s">
        <v>1037</v>
      </c>
      <c r="D366" s="5"/>
      <c r="E366" s="5"/>
    </row>
    <row r="367">
      <c r="A367" s="2" t="s">
        <v>1038</v>
      </c>
      <c r="B367" s="2" t="s">
        <v>1039</v>
      </c>
      <c r="C367" s="2" t="s">
        <v>1040</v>
      </c>
      <c r="D367" s="5"/>
      <c r="E367" s="5"/>
    </row>
    <row r="368">
      <c r="A368" s="2" t="s">
        <v>1041</v>
      </c>
      <c r="B368" s="2" t="s">
        <v>1042</v>
      </c>
      <c r="C368" s="2" t="s">
        <v>1043</v>
      </c>
      <c r="D368" s="5"/>
      <c r="E368" s="5"/>
    </row>
    <row r="369">
      <c r="A369" s="2" t="s">
        <v>1044</v>
      </c>
      <c r="B369" s="2" t="s">
        <v>1045</v>
      </c>
      <c r="C369" s="2" t="s">
        <v>49</v>
      </c>
      <c r="D369" s="5"/>
      <c r="E369" s="5"/>
    </row>
    <row r="370">
      <c r="A370" s="2" t="s">
        <v>1046</v>
      </c>
      <c r="B370" s="2" t="s">
        <v>1047</v>
      </c>
      <c r="C370" s="2" t="s">
        <v>1048</v>
      </c>
      <c r="D370" s="5"/>
      <c r="E370" s="5"/>
    </row>
    <row r="371">
      <c r="A371" s="2" t="s">
        <v>1049</v>
      </c>
      <c r="B371" s="2" t="s">
        <v>1050</v>
      </c>
      <c r="C371" s="2" t="s">
        <v>1051</v>
      </c>
      <c r="D371" s="5"/>
      <c r="E371" s="5"/>
    </row>
    <row r="372">
      <c r="A372" s="2" t="s">
        <v>1052</v>
      </c>
      <c r="B372" s="2" t="s">
        <v>1053</v>
      </c>
      <c r="C372" s="2" t="s">
        <v>49</v>
      </c>
      <c r="D372" s="5"/>
      <c r="E372" s="5"/>
    </row>
    <row r="373">
      <c r="A373" s="2" t="s">
        <v>1054</v>
      </c>
      <c r="B373" s="2" t="s">
        <v>1055</v>
      </c>
      <c r="C373" s="2" t="s">
        <v>1056</v>
      </c>
      <c r="D373" s="5"/>
      <c r="E373" s="5"/>
    </row>
    <row r="374">
      <c r="A374" s="2" t="s">
        <v>1057</v>
      </c>
      <c r="B374" s="2" t="s">
        <v>1058</v>
      </c>
      <c r="C374" s="2" t="s">
        <v>1059</v>
      </c>
      <c r="D374" s="5"/>
      <c r="E374" s="5"/>
    </row>
    <row r="375">
      <c r="A375" s="2" t="s">
        <v>1060</v>
      </c>
      <c r="B375" s="2" t="s">
        <v>1061</v>
      </c>
      <c r="C375" s="2" t="s">
        <v>1062</v>
      </c>
      <c r="D375" s="5"/>
      <c r="E375" s="5"/>
    </row>
    <row r="376">
      <c r="A376" s="2" t="s">
        <v>1063</v>
      </c>
      <c r="B376" s="2" t="s">
        <v>1064</v>
      </c>
      <c r="C376" s="2" t="s">
        <v>1065</v>
      </c>
      <c r="D376" s="5"/>
      <c r="E376" s="5"/>
    </row>
    <row r="377">
      <c r="A377" s="2" t="s">
        <v>1066</v>
      </c>
      <c r="B377" s="2" t="s">
        <v>1067</v>
      </c>
      <c r="C377" s="2" t="s">
        <v>1068</v>
      </c>
      <c r="D377" s="5"/>
      <c r="E377" s="5"/>
    </row>
    <row r="378">
      <c r="A378" s="2" t="s">
        <v>1069</v>
      </c>
      <c r="B378" s="2" t="s">
        <v>1070</v>
      </c>
      <c r="C378" s="2" t="s">
        <v>1071</v>
      </c>
      <c r="D378" s="5"/>
      <c r="E378" s="5"/>
    </row>
    <row r="379">
      <c r="A379" s="2" t="s">
        <v>1072</v>
      </c>
      <c r="B379" s="2" t="s">
        <v>1073</v>
      </c>
      <c r="C379" s="2" t="s">
        <v>1074</v>
      </c>
      <c r="D379" s="5"/>
      <c r="E379" s="5"/>
    </row>
    <row r="380">
      <c r="A380" s="2" t="s">
        <v>1075</v>
      </c>
      <c r="B380" s="2" t="s">
        <v>1076</v>
      </c>
      <c r="C380" s="2" t="s">
        <v>1077</v>
      </c>
      <c r="D380" s="5"/>
      <c r="E380" s="5"/>
    </row>
    <row r="381">
      <c r="A381" s="2" t="s">
        <v>1075</v>
      </c>
      <c r="B381" s="2" t="s">
        <v>1078</v>
      </c>
      <c r="C381" s="2" t="s">
        <v>1077</v>
      </c>
      <c r="D381" s="5"/>
      <c r="E381" s="5"/>
    </row>
    <row r="382">
      <c r="A382" s="2" t="s">
        <v>1079</v>
      </c>
      <c r="B382" s="2" t="s">
        <v>1080</v>
      </c>
      <c r="C382" s="2" t="s">
        <v>1081</v>
      </c>
      <c r="D382" s="5"/>
      <c r="E382" s="5"/>
    </row>
    <row r="383">
      <c r="A383" s="2" t="s">
        <v>1082</v>
      </c>
      <c r="B383" s="2" t="s">
        <v>1083</v>
      </c>
      <c r="C383" s="2" t="s">
        <v>1084</v>
      </c>
      <c r="D383" s="5"/>
      <c r="E383" s="5"/>
    </row>
    <row r="384">
      <c r="A384" s="2" t="s">
        <v>1085</v>
      </c>
      <c r="B384" s="2" t="s">
        <v>1086</v>
      </c>
      <c r="C384" s="2" t="s">
        <v>1087</v>
      </c>
      <c r="D384" s="5"/>
      <c r="E384" s="5"/>
    </row>
    <row r="385">
      <c r="A385" s="2" t="s">
        <v>1088</v>
      </c>
      <c r="B385" s="2" t="s">
        <v>1089</v>
      </c>
      <c r="C385" s="2" t="s">
        <v>1090</v>
      </c>
      <c r="D385" s="5"/>
      <c r="E385" s="5"/>
    </row>
    <row r="386">
      <c r="A386" s="2" t="s">
        <v>1091</v>
      </c>
      <c r="B386" s="2" t="s">
        <v>1092</v>
      </c>
      <c r="C386" s="2" t="s">
        <v>1093</v>
      </c>
      <c r="D386" s="5"/>
      <c r="E386" s="5"/>
    </row>
    <row r="387">
      <c r="A387" s="2" t="s">
        <v>1094</v>
      </c>
      <c r="B387" s="2" t="s">
        <v>1095</v>
      </c>
      <c r="C387" s="2" t="s">
        <v>1094</v>
      </c>
      <c r="D387" s="5"/>
      <c r="E387" s="5"/>
    </row>
    <row r="388">
      <c r="A388" s="2" t="s">
        <v>1096</v>
      </c>
      <c r="B388" s="2" t="s">
        <v>1097</v>
      </c>
      <c r="C388" s="2" t="s">
        <v>1098</v>
      </c>
      <c r="D388" s="5"/>
      <c r="E388" s="5"/>
    </row>
    <row r="389">
      <c r="A389" s="2" t="s">
        <v>1099</v>
      </c>
      <c r="B389" s="2" t="s">
        <v>1100</v>
      </c>
      <c r="C389" s="2" t="s">
        <v>1101</v>
      </c>
      <c r="D389" s="5"/>
      <c r="E389" s="5"/>
    </row>
    <row r="390">
      <c r="A390" s="2" t="s">
        <v>1102</v>
      </c>
      <c r="B390" s="2" t="s">
        <v>1103</v>
      </c>
      <c r="C390" s="2" t="s">
        <v>1104</v>
      </c>
      <c r="D390" s="5"/>
      <c r="E390" s="5"/>
    </row>
    <row r="391">
      <c r="A391" s="2" t="s">
        <v>1105</v>
      </c>
      <c r="B391" s="2" t="s">
        <v>1106</v>
      </c>
      <c r="C391" s="2" t="s">
        <v>1107</v>
      </c>
      <c r="D391" s="5"/>
      <c r="E391" s="5"/>
    </row>
    <row r="392">
      <c r="A392" s="2" t="s">
        <v>1108</v>
      </c>
      <c r="B392" s="2" t="s">
        <v>1109</v>
      </c>
      <c r="C392" s="2" t="s">
        <v>1110</v>
      </c>
      <c r="D392" s="5"/>
      <c r="E392" s="5"/>
    </row>
    <row r="393">
      <c r="A393" s="2" t="s">
        <v>1111</v>
      </c>
      <c r="B393" s="2" t="s">
        <v>1112</v>
      </c>
      <c r="C393" s="2" t="s">
        <v>1113</v>
      </c>
      <c r="D393" s="5"/>
      <c r="E393" s="5"/>
    </row>
    <row r="394">
      <c r="A394" s="2" t="s">
        <v>1114</v>
      </c>
      <c r="B394" s="2" t="s">
        <v>1115</v>
      </c>
      <c r="C394" s="2" t="s">
        <v>1116</v>
      </c>
      <c r="D394" s="5"/>
      <c r="E394" s="5"/>
    </row>
    <row r="395">
      <c r="A395" s="2" t="s">
        <v>1117</v>
      </c>
      <c r="B395" s="2" t="s">
        <v>1118</v>
      </c>
      <c r="C395" s="2" t="s">
        <v>1119</v>
      </c>
      <c r="D395" s="5"/>
      <c r="E395" s="5"/>
    </row>
    <row r="396">
      <c r="A396" s="2" t="s">
        <v>1120</v>
      </c>
      <c r="B396" s="2" t="s">
        <v>1121</v>
      </c>
      <c r="C396" s="2" t="s">
        <v>1122</v>
      </c>
      <c r="D396" s="5"/>
      <c r="E396" s="5"/>
    </row>
    <row r="397">
      <c r="A397" s="2" t="s">
        <v>1123</v>
      </c>
      <c r="B397" s="2" t="s">
        <v>1124</v>
      </c>
      <c r="C397" s="2" t="s">
        <v>1125</v>
      </c>
      <c r="D397" s="5"/>
      <c r="E397" s="5"/>
    </row>
    <row r="398">
      <c r="A398" s="2" t="s">
        <v>1126</v>
      </c>
      <c r="B398" s="2" t="s">
        <v>1127</v>
      </c>
      <c r="C398" s="2" t="s">
        <v>1128</v>
      </c>
      <c r="D398" s="5"/>
      <c r="E398" s="5"/>
    </row>
    <row r="399">
      <c r="A399" s="2" t="s">
        <v>1129</v>
      </c>
      <c r="B399" s="2" t="s">
        <v>1130</v>
      </c>
      <c r="C399" s="2" t="s">
        <v>1131</v>
      </c>
      <c r="D399" s="5"/>
      <c r="E399" s="5"/>
    </row>
    <row r="400">
      <c r="A400" s="2" t="s">
        <v>1132</v>
      </c>
      <c r="B400" s="2" t="s">
        <v>1133</v>
      </c>
      <c r="C400" s="2" t="s">
        <v>1134</v>
      </c>
      <c r="D400" s="5"/>
      <c r="E400" s="5"/>
    </row>
    <row r="401">
      <c r="A401" s="2" t="s">
        <v>1135</v>
      </c>
      <c r="B401" s="2" t="s">
        <v>1136</v>
      </c>
      <c r="C401" s="2" t="s">
        <v>1137</v>
      </c>
      <c r="D401" s="5"/>
      <c r="E401" s="5"/>
    </row>
    <row r="402">
      <c r="A402" s="2" t="s">
        <v>1138</v>
      </c>
      <c r="B402" s="2" t="s">
        <v>1139</v>
      </c>
      <c r="C402" s="2" t="s">
        <v>1140</v>
      </c>
      <c r="D402" s="5"/>
      <c r="E402" s="5"/>
    </row>
    <row r="403">
      <c r="A403" s="2" t="s">
        <v>1141</v>
      </c>
      <c r="B403" s="2" t="s">
        <v>1142</v>
      </c>
      <c r="C403" s="2" t="s">
        <v>1143</v>
      </c>
      <c r="D403" s="5"/>
      <c r="E403" s="5"/>
    </row>
    <row r="404">
      <c r="A404" s="2" t="s">
        <v>1144</v>
      </c>
      <c r="B404" s="2" t="s">
        <v>1145</v>
      </c>
      <c r="C404" s="2" t="s">
        <v>1146</v>
      </c>
      <c r="D404" s="5"/>
      <c r="E404" s="5"/>
    </row>
    <row r="405">
      <c r="A405" s="2" t="s">
        <v>1147</v>
      </c>
      <c r="B405" s="2" t="s">
        <v>1148</v>
      </c>
      <c r="C405" s="2" t="s">
        <v>1149</v>
      </c>
      <c r="D405" s="5"/>
      <c r="E405" s="5"/>
    </row>
    <row r="406">
      <c r="A406" s="2" t="s">
        <v>1150</v>
      </c>
      <c r="B406" s="2" t="s">
        <v>1151</v>
      </c>
      <c r="C406" s="2" t="s">
        <v>1152</v>
      </c>
      <c r="D406" s="5"/>
      <c r="E406" s="5"/>
    </row>
    <row r="407">
      <c r="A407" s="2" t="s">
        <v>1153</v>
      </c>
      <c r="B407" s="2" t="s">
        <v>1154</v>
      </c>
      <c r="C407" s="2" t="s">
        <v>1155</v>
      </c>
      <c r="D407" s="5"/>
      <c r="E407" s="5"/>
    </row>
    <row r="408">
      <c r="A408" s="2" t="s">
        <v>1156</v>
      </c>
      <c r="B408" s="2" t="s">
        <v>1157</v>
      </c>
      <c r="C408" s="2" t="s">
        <v>1158</v>
      </c>
      <c r="D408" s="5"/>
      <c r="E408" s="5"/>
    </row>
    <row r="409">
      <c r="A409" s="2" t="s">
        <v>1159</v>
      </c>
      <c r="B409" s="2" t="s">
        <v>1160</v>
      </c>
      <c r="C409" s="2" t="s">
        <v>1161</v>
      </c>
      <c r="D409" s="5"/>
      <c r="E409" s="5"/>
    </row>
    <row r="410">
      <c r="A410" s="2" t="s">
        <v>1162</v>
      </c>
      <c r="B410" s="2" t="s">
        <v>1163</v>
      </c>
      <c r="C410" s="2" t="s">
        <v>1164</v>
      </c>
      <c r="D410" s="5"/>
      <c r="E410" s="5"/>
    </row>
    <row r="411">
      <c r="A411" s="2" t="s">
        <v>1165</v>
      </c>
      <c r="B411" s="2" t="s">
        <v>1166</v>
      </c>
      <c r="C411" s="2" t="s">
        <v>1167</v>
      </c>
      <c r="D411" s="5"/>
      <c r="E411" s="5"/>
    </row>
    <row r="412">
      <c r="A412" s="2" t="s">
        <v>1168</v>
      </c>
      <c r="B412" s="2" t="s">
        <v>1169</v>
      </c>
      <c r="C412" s="2" t="s">
        <v>1170</v>
      </c>
      <c r="D412" s="5"/>
      <c r="E412" s="5"/>
    </row>
    <row r="413">
      <c r="A413" s="2" t="s">
        <v>1171</v>
      </c>
      <c r="B413" s="2" t="s">
        <v>1172</v>
      </c>
      <c r="C413" s="2" t="s">
        <v>1173</v>
      </c>
      <c r="D413" s="5"/>
      <c r="E413" s="5"/>
    </row>
    <row r="414">
      <c r="A414" s="2" t="s">
        <v>1174</v>
      </c>
      <c r="B414" s="2" t="s">
        <v>1175</v>
      </c>
      <c r="C414" s="2" t="s">
        <v>1176</v>
      </c>
      <c r="D414" s="5"/>
      <c r="E414" s="5"/>
    </row>
    <row r="415">
      <c r="A415" s="2" t="s">
        <v>1177</v>
      </c>
      <c r="B415" s="2" t="s">
        <v>1178</v>
      </c>
      <c r="C415" s="2" t="s">
        <v>1179</v>
      </c>
      <c r="D415" s="5"/>
      <c r="E415" s="5"/>
    </row>
    <row r="416">
      <c r="A416" s="2" t="s">
        <v>1180</v>
      </c>
      <c r="B416" s="2" t="s">
        <v>1181</v>
      </c>
      <c r="C416" s="2" t="s">
        <v>1182</v>
      </c>
      <c r="D416" s="5"/>
      <c r="E416" s="5"/>
    </row>
    <row r="417">
      <c r="A417" s="2" t="s">
        <v>1183</v>
      </c>
      <c r="B417" s="2" t="s">
        <v>1184</v>
      </c>
      <c r="C417" s="2" t="s">
        <v>1183</v>
      </c>
      <c r="D417" s="5"/>
      <c r="E417" s="5"/>
    </row>
    <row r="418">
      <c r="A418" s="2" t="s">
        <v>1185</v>
      </c>
      <c r="B418" s="2" t="s">
        <v>1186</v>
      </c>
      <c r="C418" s="2" t="s">
        <v>1187</v>
      </c>
      <c r="D418" s="5"/>
      <c r="E418" s="5"/>
    </row>
    <row r="419">
      <c r="A419" s="2" t="s">
        <v>1188</v>
      </c>
      <c r="B419" s="2" t="s">
        <v>1189</v>
      </c>
      <c r="C419" s="2" t="s">
        <v>1190</v>
      </c>
      <c r="D419" s="5"/>
      <c r="E419" s="5"/>
    </row>
    <row r="420">
      <c r="A420" s="2" t="s">
        <v>1191</v>
      </c>
      <c r="B420" s="2" t="s">
        <v>1192</v>
      </c>
      <c r="C420" s="2" t="s">
        <v>1193</v>
      </c>
      <c r="D420" s="5"/>
      <c r="E420" s="5"/>
    </row>
    <row r="421">
      <c r="A421" s="2" t="s">
        <v>1194</v>
      </c>
      <c r="B421" s="2" t="s">
        <v>1195</v>
      </c>
      <c r="C421" s="2" t="s">
        <v>1196</v>
      </c>
      <c r="D421" s="5"/>
      <c r="E421" s="5"/>
    </row>
    <row r="422">
      <c r="A422" s="2" t="s">
        <v>1197</v>
      </c>
      <c r="B422" s="2" t="s">
        <v>1198</v>
      </c>
      <c r="C422" s="2" t="s">
        <v>1199</v>
      </c>
      <c r="D422" s="5"/>
      <c r="E422" s="5"/>
    </row>
    <row r="423">
      <c r="A423" s="2" t="s">
        <v>1200</v>
      </c>
      <c r="B423" s="2" t="s">
        <v>1201</v>
      </c>
      <c r="C423" s="2" t="s">
        <v>1202</v>
      </c>
      <c r="D423" s="5"/>
      <c r="E423" s="5"/>
    </row>
    <row r="424">
      <c r="A424" s="2" t="s">
        <v>1203</v>
      </c>
      <c r="B424" s="2" t="s">
        <v>1204</v>
      </c>
      <c r="C424" s="2" t="s">
        <v>1205</v>
      </c>
      <c r="D424" s="5"/>
      <c r="E424" s="5"/>
    </row>
    <row r="425">
      <c r="A425" s="2" t="s">
        <v>1206</v>
      </c>
      <c r="B425" s="2" t="s">
        <v>1207</v>
      </c>
      <c r="C425" s="2" t="s">
        <v>1208</v>
      </c>
      <c r="D425" s="5"/>
      <c r="E425" s="5"/>
    </row>
    <row r="426">
      <c r="A426" s="2" t="s">
        <v>1209</v>
      </c>
      <c r="B426" s="2" t="s">
        <v>1210</v>
      </c>
      <c r="C426" s="2" t="s">
        <v>1211</v>
      </c>
      <c r="D426" s="5"/>
      <c r="E426" s="5"/>
    </row>
    <row r="427">
      <c r="A427" s="2" t="s">
        <v>1212</v>
      </c>
      <c r="B427" s="2" t="s">
        <v>826</v>
      </c>
      <c r="C427" s="2" t="s">
        <v>827</v>
      </c>
      <c r="D427" s="5"/>
      <c r="E427" s="5"/>
    </row>
    <row r="428">
      <c r="A428" s="2" t="s">
        <v>1213</v>
      </c>
      <c r="B428" s="2" t="s">
        <v>1214</v>
      </c>
      <c r="C428" s="2" t="s">
        <v>1213</v>
      </c>
      <c r="D428" s="5"/>
      <c r="E428" s="5"/>
    </row>
    <row r="429">
      <c r="A429" s="2" t="s">
        <v>1215</v>
      </c>
      <c r="B429" s="2" t="s">
        <v>1216</v>
      </c>
      <c r="C429" s="2" t="s">
        <v>1217</v>
      </c>
      <c r="D429" s="5"/>
      <c r="E429" s="5"/>
    </row>
    <row r="430">
      <c r="A430" s="2" t="s">
        <v>1218</v>
      </c>
      <c r="B430" s="2" t="s">
        <v>1219</v>
      </c>
      <c r="C430" s="2" t="s">
        <v>1218</v>
      </c>
      <c r="D430" s="5"/>
      <c r="E430" s="5"/>
    </row>
    <row r="431">
      <c r="A431" s="2" t="s">
        <v>1220</v>
      </c>
      <c r="B431" s="2" t="s">
        <v>1221</v>
      </c>
      <c r="C431" s="2" t="s">
        <v>1222</v>
      </c>
      <c r="D431" s="5"/>
      <c r="E431" s="5"/>
    </row>
    <row r="432">
      <c r="A432" s="2" t="s">
        <v>1223</v>
      </c>
      <c r="B432" s="2" t="s">
        <v>1224</v>
      </c>
      <c r="C432" s="2" t="s">
        <v>1225</v>
      </c>
      <c r="D432" s="5"/>
      <c r="E432" s="5"/>
    </row>
    <row r="433">
      <c r="A433" s="2" t="s">
        <v>1226</v>
      </c>
      <c r="B433" s="2" t="s">
        <v>1227</v>
      </c>
      <c r="C433" s="2" t="s">
        <v>1228</v>
      </c>
      <c r="D433" s="5"/>
      <c r="E433" s="5"/>
    </row>
    <row r="434">
      <c r="A434" s="2" t="s">
        <v>1229</v>
      </c>
      <c r="B434" s="2" t="s">
        <v>1070</v>
      </c>
      <c r="C434" s="2" t="s">
        <v>1071</v>
      </c>
      <c r="D434" s="5"/>
      <c r="E434" s="5"/>
    </row>
    <row r="435">
      <c r="A435" s="2" t="s">
        <v>1230</v>
      </c>
      <c r="B435" s="2" t="s">
        <v>1231</v>
      </c>
      <c r="C435" s="2" t="s">
        <v>49</v>
      </c>
      <c r="D435" s="5"/>
      <c r="E435" s="5"/>
    </row>
    <row r="436">
      <c r="A436" s="2" t="s">
        <v>1232</v>
      </c>
      <c r="B436" s="2" t="s">
        <v>1233</v>
      </c>
      <c r="C436" s="2" t="s">
        <v>49</v>
      </c>
      <c r="D436" s="5"/>
      <c r="E436" s="5"/>
    </row>
    <row r="437">
      <c r="A437" s="2" t="s">
        <v>1234</v>
      </c>
      <c r="B437" s="2" t="s">
        <v>1235</v>
      </c>
      <c r="C437" s="2" t="s">
        <v>1236</v>
      </c>
      <c r="D437" s="5"/>
      <c r="E437" s="5"/>
    </row>
    <row r="438">
      <c r="A438" s="2" t="s">
        <v>1237</v>
      </c>
      <c r="B438" s="2" t="s">
        <v>1238</v>
      </c>
      <c r="C438" s="2" t="s">
        <v>1239</v>
      </c>
      <c r="D438" s="5"/>
      <c r="E438" s="5"/>
    </row>
    <row r="439">
      <c r="A439" s="2" t="s">
        <v>1240</v>
      </c>
      <c r="B439" s="2" t="s">
        <v>1241</v>
      </c>
      <c r="C439" s="2" t="s">
        <v>1242</v>
      </c>
      <c r="D439" s="5"/>
      <c r="E439" s="5"/>
    </row>
    <row r="440">
      <c r="A440" s="2" t="s">
        <v>1243</v>
      </c>
      <c r="B440" s="2" t="s">
        <v>1244</v>
      </c>
      <c r="C440" s="2" t="s">
        <v>1245</v>
      </c>
      <c r="D440" s="5"/>
      <c r="E440" s="5"/>
    </row>
    <row r="441">
      <c r="A441" s="2" t="s">
        <v>1246</v>
      </c>
      <c r="B441" s="2" t="s">
        <v>1247</v>
      </c>
      <c r="C441" s="2" t="s">
        <v>1248</v>
      </c>
      <c r="D441" s="5"/>
      <c r="E441" s="5"/>
    </row>
    <row r="442">
      <c r="A442" s="2" t="s">
        <v>1249</v>
      </c>
      <c r="B442" s="2" t="s">
        <v>1250</v>
      </c>
      <c r="C442" s="2" t="s">
        <v>1248</v>
      </c>
      <c r="D442" s="5"/>
      <c r="E442" s="5"/>
    </row>
    <row r="443">
      <c r="A443" s="2" t="s">
        <v>1251</v>
      </c>
      <c r="B443" s="2" t="s">
        <v>1252</v>
      </c>
      <c r="C443" s="2" t="s">
        <v>49</v>
      </c>
      <c r="D443" s="5"/>
      <c r="E443" s="5"/>
    </row>
    <row r="444">
      <c r="A444" s="2" t="s">
        <v>1253</v>
      </c>
      <c r="B444" s="2" t="s">
        <v>1254</v>
      </c>
      <c r="C444" s="2" t="s">
        <v>1255</v>
      </c>
      <c r="D444" s="5"/>
      <c r="E444" s="5"/>
    </row>
    <row r="445">
      <c r="A445" s="2" t="s">
        <v>1256</v>
      </c>
      <c r="B445" s="2" t="s">
        <v>1257</v>
      </c>
      <c r="C445" s="2" t="s">
        <v>1258</v>
      </c>
      <c r="D445" s="5"/>
      <c r="E445" s="5"/>
    </row>
    <row r="446">
      <c r="A446" s="2" t="s">
        <v>1259</v>
      </c>
      <c r="B446" s="2" t="s">
        <v>1260</v>
      </c>
      <c r="C446" s="2" t="s">
        <v>1261</v>
      </c>
      <c r="D446" s="5"/>
      <c r="E446" s="5"/>
    </row>
    <row r="447">
      <c r="A447" s="2" t="s">
        <v>1262</v>
      </c>
      <c r="B447" s="2" t="s">
        <v>1263</v>
      </c>
      <c r="C447" s="2" t="s">
        <v>1262</v>
      </c>
      <c r="D447" s="5"/>
      <c r="E447" s="5"/>
    </row>
    <row r="448">
      <c r="A448" s="2" t="s">
        <v>1264</v>
      </c>
      <c r="B448" s="2" t="s">
        <v>1265</v>
      </c>
      <c r="C448" s="2" t="s">
        <v>1266</v>
      </c>
      <c r="D448" s="5"/>
      <c r="E448" s="5"/>
    </row>
    <row r="449">
      <c r="A449" s="2" t="s">
        <v>1267</v>
      </c>
      <c r="B449" s="2" t="s">
        <v>1268</v>
      </c>
      <c r="C449" s="2" t="s">
        <v>1267</v>
      </c>
      <c r="D449" s="5"/>
      <c r="E449" s="5"/>
    </row>
    <row r="450">
      <c r="A450" s="2" t="s">
        <v>1269</v>
      </c>
      <c r="B450" s="2" t="s">
        <v>1270</v>
      </c>
      <c r="C450" s="2" t="s">
        <v>1271</v>
      </c>
      <c r="D450" s="5"/>
      <c r="E450" s="5"/>
    </row>
    <row r="451">
      <c r="A451" s="2" t="s">
        <v>1272</v>
      </c>
      <c r="B451" s="2" t="s">
        <v>1273</v>
      </c>
      <c r="C451" s="2" t="s">
        <v>1274</v>
      </c>
      <c r="D451" s="5"/>
      <c r="E451" s="5"/>
    </row>
    <row r="452">
      <c r="A452" s="2" t="s">
        <v>1275</v>
      </c>
      <c r="B452" s="2" t="s">
        <v>1276</v>
      </c>
      <c r="C452" s="2" t="s">
        <v>1277</v>
      </c>
      <c r="D452" s="5"/>
      <c r="E452" s="5"/>
    </row>
    <row r="453">
      <c r="A453" s="2" t="s">
        <v>1278</v>
      </c>
      <c r="B453" s="2" t="s">
        <v>6</v>
      </c>
      <c r="C453" s="2" t="s">
        <v>7</v>
      </c>
      <c r="D453" s="5"/>
      <c r="E453" s="5"/>
    </row>
    <row r="454">
      <c r="A454" s="2" t="s">
        <v>1279</v>
      </c>
      <c r="B454" s="2" t="s">
        <v>1280</v>
      </c>
      <c r="C454" s="2" t="s">
        <v>1281</v>
      </c>
      <c r="D454" s="5"/>
      <c r="E454" s="5"/>
    </row>
    <row r="455">
      <c r="A455" s="2" t="s">
        <v>1282</v>
      </c>
      <c r="B455" s="2" t="s">
        <v>1283</v>
      </c>
      <c r="C455" s="2" t="s">
        <v>1284</v>
      </c>
      <c r="D455" s="5"/>
      <c r="E455" s="5"/>
    </row>
    <row r="456">
      <c r="A456" s="2" t="s">
        <v>1285</v>
      </c>
      <c r="B456" s="2" t="s">
        <v>1286</v>
      </c>
      <c r="C456" s="2" t="s">
        <v>1287</v>
      </c>
      <c r="D456" s="5"/>
      <c r="E456" s="5"/>
    </row>
    <row r="457">
      <c r="A457" s="2" t="s">
        <v>1288</v>
      </c>
      <c r="B457" s="2" t="s">
        <v>1289</v>
      </c>
      <c r="C457" s="2" t="s">
        <v>49</v>
      </c>
      <c r="D457" s="5"/>
      <c r="E457" s="5"/>
    </row>
    <row r="458">
      <c r="A458" s="2" t="s">
        <v>1290</v>
      </c>
      <c r="B458" s="2" t="s">
        <v>1291</v>
      </c>
      <c r="C458" s="2" t="s">
        <v>49</v>
      </c>
      <c r="D458" s="5"/>
      <c r="E458" s="5"/>
    </row>
    <row r="459">
      <c r="A459" s="2" t="s">
        <v>1292</v>
      </c>
      <c r="B459" s="2" t="s">
        <v>1293</v>
      </c>
      <c r="C459" s="2" t="s">
        <v>49</v>
      </c>
      <c r="D459" s="5"/>
      <c r="E459" s="5"/>
    </row>
    <row r="460">
      <c r="A460" s="2" t="s">
        <v>1294</v>
      </c>
      <c r="B460" s="2" t="s">
        <v>1295</v>
      </c>
      <c r="C460" s="2" t="s">
        <v>1296</v>
      </c>
      <c r="D460" s="5"/>
      <c r="E460" s="5"/>
    </row>
    <row r="461">
      <c r="A461" s="2" t="s">
        <v>1297</v>
      </c>
      <c r="B461" s="2" t="s">
        <v>1298</v>
      </c>
      <c r="C461" s="2" t="s">
        <v>1299</v>
      </c>
      <c r="D461" s="5"/>
      <c r="E461" s="5"/>
    </row>
    <row r="462">
      <c r="A462" s="2" t="s">
        <v>1300</v>
      </c>
      <c r="B462" s="2" t="s">
        <v>1301</v>
      </c>
      <c r="C462" s="2" t="s">
        <v>1302</v>
      </c>
      <c r="D462" s="5"/>
      <c r="E462" s="5"/>
    </row>
    <row r="463">
      <c r="A463" s="2" t="s">
        <v>1303</v>
      </c>
      <c r="B463" s="2" t="s">
        <v>1304</v>
      </c>
      <c r="C463" s="2" t="s">
        <v>1303</v>
      </c>
      <c r="D463" s="5"/>
      <c r="E463" s="5"/>
    </row>
    <row r="464">
      <c r="A464" s="2" t="s">
        <v>1305</v>
      </c>
      <c r="B464" s="2" t="s">
        <v>1306</v>
      </c>
      <c r="C464" s="2" t="s">
        <v>1307</v>
      </c>
      <c r="D464" s="5"/>
      <c r="E464" s="5"/>
    </row>
    <row r="465">
      <c r="A465" s="2" t="s">
        <v>1308</v>
      </c>
      <c r="B465" s="2" t="s">
        <v>1309</v>
      </c>
      <c r="C465" s="2" t="s">
        <v>1310</v>
      </c>
      <c r="D465" s="5"/>
      <c r="E465" s="5"/>
    </row>
    <row r="466">
      <c r="A466" s="2" t="s">
        <v>1311</v>
      </c>
      <c r="B466" s="2" t="s">
        <v>1312</v>
      </c>
      <c r="C466" s="2" t="s">
        <v>1311</v>
      </c>
      <c r="D466" s="5"/>
      <c r="E466" s="5"/>
    </row>
    <row r="467">
      <c r="A467" s="2" t="s">
        <v>1313</v>
      </c>
      <c r="B467" s="2" t="s">
        <v>1314</v>
      </c>
      <c r="C467" s="2" t="s">
        <v>1315</v>
      </c>
      <c r="D467" s="5"/>
      <c r="E467" s="5"/>
    </row>
    <row r="468">
      <c r="A468" s="2" t="s">
        <v>1316</v>
      </c>
      <c r="B468" s="2" t="s">
        <v>1317</v>
      </c>
      <c r="C468" s="2" t="s">
        <v>1318</v>
      </c>
      <c r="D468" s="5"/>
      <c r="E468" s="5"/>
    </row>
    <row r="469">
      <c r="A469" s="2" t="s">
        <v>1319</v>
      </c>
      <c r="B469" s="2" t="s">
        <v>1320</v>
      </c>
      <c r="C469" s="2" t="s">
        <v>1321</v>
      </c>
      <c r="D469" s="5"/>
      <c r="E469" s="5"/>
    </row>
    <row r="470">
      <c r="A470" s="2" t="s">
        <v>1322</v>
      </c>
      <c r="B470" s="2" t="s">
        <v>1323</v>
      </c>
      <c r="C470" s="2" t="s">
        <v>1324</v>
      </c>
      <c r="D470" s="5"/>
      <c r="E470" s="5"/>
    </row>
    <row r="471">
      <c r="A471" s="2" t="s">
        <v>1325</v>
      </c>
      <c r="B471" s="2" t="s">
        <v>1326</v>
      </c>
      <c r="C471" s="2" t="s">
        <v>49</v>
      </c>
      <c r="D471" s="5"/>
      <c r="E471" s="5"/>
    </row>
    <row r="472">
      <c r="A472" s="2" t="s">
        <v>1327</v>
      </c>
      <c r="B472" s="2" t="s">
        <v>1328</v>
      </c>
      <c r="C472" s="2" t="s">
        <v>1329</v>
      </c>
      <c r="D472" s="5"/>
      <c r="E472" s="5"/>
    </row>
    <row r="473">
      <c r="A473" s="2" t="s">
        <v>1330</v>
      </c>
      <c r="B473" s="2" t="s">
        <v>1331</v>
      </c>
      <c r="C473" s="2" t="s">
        <v>1332</v>
      </c>
      <c r="D473" s="5"/>
      <c r="E473" s="5"/>
    </row>
    <row r="474">
      <c r="A474" s="2" t="s">
        <v>1333</v>
      </c>
      <c r="B474" s="2" t="s">
        <v>1334</v>
      </c>
      <c r="C474" s="2" t="s">
        <v>1335</v>
      </c>
      <c r="D474" s="5"/>
      <c r="E474" s="5"/>
    </row>
    <row r="475">
      <c r="A475" s="2" t="s">
        <v>1336</v>
      </c>
      <c r="B475" s="2" t="s">
        <v>1337</v>
      </c>
      <c r="C475" s="2" t="s">
        <v>1336</v>
      </c>
      <c r="D475" s="5"/>
      <c r="E475" s="5"/>
    </row>
    <row r="476">
      <c r="A476" s="2" t="s">
        <v>1338</v>
      </c>
      <c r="B476" s="2" t="s">
        <v>1339</v>
      </c>
      <c r="C476" s="2" t="s">
        <v>1340</v>
      </c>
      <c r="D476" s="5"/>
      <c r="E476" s="5"/>
    </row>
    <row r="477">
      <c r="A477" s="2" t="s">
        <v>1341</v>
      </c>
      <c r="B477" s="2" t="s">
        <v>1342</v>
      </c>
      <c r="C477" s="2" t="s">
        <v>1343</v>
      </c>
      <c r="D477" s="5"/>
      <c r="E477" s="5"/>
    </row>
    <row r="478">
      <c r="A478" s="2" t="s">
        <v>1344</v>
      </c>
      <c r="B478" s="2" t="s">
        <v>1345</v>
      </c>
      <c r="C478" s="2" t="s">
        <v>1346</v>
      </c>
      <c r="D478" s="5"/>
      <c r="E478" s="5"/>
    </row>
    <row r="479">
      <c r="A479" s="2" t="s">
        <v>1347</v>
      </c>
      <c r="B479" s="2" t="s">
        <v>1348</v>
      </c>
      <c r="C479" s="2" t="s">
        <v>49</v>
      </c>
      <c r="D479" s="5"/>
      <c r="E479" s="5"/>
    </row>
    <row r="480">
      <c r="A480" s="2" t="s">
        <v>1349</v>
      </c>
      <c r="B480" s="2" t="s">
        <v>1350</v>
      </c>
      <c r="C480" s="2" t="s">
        <v>49</v>
      </c>
      <c r="D480" s="5"/>
      <c r="E480" s="5"/>
    </row>
    <row r="481">
      <c r="A481" s="2" t="s">
        <v>1351</v>
      </c>
      <c r="B481" s="2" t="s">
        <v>1352</v>
      </c>
      <c r="C481" s="2" t="s">
        <v>1353</v>
      </c>
      <c r="D481" s="5"/>
      <c r="E481" s="5"/>
    </row>
    <row r="482">
      <c r="A482" s="2" t="s">
        <v>1354</v>
      </c>
      <c r="B482" s="2" t="s">
        <v>1355</v>
      </c>
      <c r="C482" s="2" t="s">
        <v>1356</v>
      </c>
      <c r="D482" s="5"/>
      <c r="E482" s="5"/>
    </row>
    <row r="483">
      <c r="A483" s="2" t="s">
        <v>1357</v>
      </c>
      <c r="B483" s="2" t="s">
        <v>1358</v>
      </c>
      <c r="C483" s="2" t="s">
        <v>1359</v>
      </c>
      <c r="D483" s="5"/>
      <c r="E483" s="5"/>
    </row>
    <row r="484">
      <c r="A484" s="2" t="s">
        <v>1360</v>
      </c>
      <c r="B484" s="2" t="s">
        <v>1361</v>
      </c>
      <c r="C484" s="2" t="s">
        <v>1362</v>
      </c>
      <c r="D484" s="5"/>
      <c r="E484" s="5"/>
    </row>
    <row r="485">
      <c r="A485" s="2" t="s">
        <v>1363</v>
      </c>
      <c r="B485" s="2" t="s">
        <v>1364</v>
      </c>
      <c r="C485" s="2" t="s">
        <v>1365</v>
      </c>
      <c r="D485" s="5"/>
      <c r="E485" s="5"/>
    </row>
    <row r="486">
      <c r="A486" s="2" t="s">
        <v>1366</v>
      </c>
      <c r="B486" s="2" t="s">
        <v>1367</v>
      </c>
      <c r="C486" s="2" t="s">
        <v>1368</v>
      </c>
      <c r="D486" s="5"/>
      <c r="E486" s="5"/>
    </row>
    <row r="487">
      <c r="A487" s="2" t="s">
        <v>1369</v>
      </c>
      <c r="B487" s="2" t="s">
        <v>1370</v>
      </c>
      <c r="C487" s="2" t="s">
        <v>1371</v>
      </c>
      <c r="D487" s="5"/>
      <c r="E487" s="5"/>
    </row>
    <row r="488">
      <c r="A488" s="2" t="s">
        <v>1372</v>
      </c>
      <c r="B488" s="2" t="s">
        <v>1373</v>
      </c>
      <c r="C488" s="2" t="s">
        <v>1374</v>
      </c>
      <c r="D488" s="5"/>
      <c r="E488" s="5"/>
    </row>
    <row r="489">
      <c r="A489" s="2" t="s">
        <v>1375</v>
      </c>
      <c r="B489" s="2" t="s">
        <v>1376</v>
      </c>
      <c r="C489" s="2" t="s">
        <v>1377</v>
      </c>
      <c r="D489" s="5"/>
      <c r="E489" s="5"/>
    </row>
    <row r="490">
      <c r="A490" s="2" t="s">
        <v>1378</v>
      </c>
      <c r="B490" s="2" t="s">
        <v>1379</v>
      </c>
      <c r="C490" s="2" t="s">
        <v>1380</v>
      </c>
      <c r="D490" s="5"/>
      <c r="E490" s="5"/>
    </row>
    <row r="491">
      <c r="A491" s="2" t="s">
        <v>1381</v>
      </c>
      <c r="B491" s="2" t="s">
        <v>1382</v>
      </c>
      <c r="C491" s="7"/>
      <c r="D491" s="7"/>
      <c r="E491" s="7"/>
    </row>
    <row r="492">
      <c r="A492" s="2" t="s">
        <v>1383</v>
      </c>
      <c r="B492" s="2" t="s">
        <v>1384</v>
      </c>
      <c r="C492" s="2" t="s">
        <v>1383</v>
      </c>
      <c r="D492" s="5"/>
      <c r="E492" s="5"/>
    </row>
    <row r="493">
      <c r="A493" s="2" t="s">
        <v>1385</v>
      </c>
      <c r="B493" s="2" t="s">
        <v>1386</v>
      </c>
      <c r="C493" s="2" t="s">
        <v>1387</v>
      </c>
      <c r="D493" s="5"/>
      <c r="E493" s="5"/>
    </row>
    <row r="494">
      <c r="A494" s="2" t="s">
        <v>1388</v>
      </c>
      <c r="B494" s="2" t="s">
        <v>1389</v>
      </c>
      <c r="C494" s="2" t="s">
        <v>1390</v>
      </c>
      <c r="D494" s="5"/>
      <c r="E494" s="5"/>
    </row>
    <row r="495">
      <c r="A495" s="2" t="s">
        <v>1391</v>
      </c>
      <c r="B495" s="2" t="s">
        <v>1392</v>
      </c>
      <c r="C495" s="2" t="s">
        <v>1393</v>
      </c>
      <c r="D495" s="5"/>
      <c r="E495" s="5"/>
    </row>
    <row r="496">
      <c r="A496" s="2" t="s">
        <v>1394</v>
      </c>
      <c r="B496" s="2" t="s">
        <v>1395</v>
      </c>
      <c r="C496" s="2" t="s">
        <v>1396</v>
      </c>
      <c r="D496" s="5"/>
      <c r="E496" s="5"/>
    </row>
    <row r="497">
      <c r="A497" s="2" t="s">
        <v>1397</v>
      </c>
      <c r="B497" s="2" t="s">
        <v>1398</v>
      </c>
      <c r="C497" s="2" t="s">
        <v>1399</v>
      </c>
      <c r="D497" s="5"/>
      <c r="E497" s="5"/>
    </row>
    <row r="498">
      <c r="A498" s="2" t="s">
        <v>1400</v>
      </c>
      <c r="B498" s="2" t="s">
        <v>1401</v>
      </c>
      <c r="C498" s="2" t="s">
        <v>1402</v>
      </c>
      <c r="D498" s="5"/>
      <c r="E498" s="5"/>
    </row>
    <row r="499">
      <c r="A499" s="2" t="s">
        <v>1403</v>
      </c>
      <c r="B499" s="2" t="s">
        <v>1404</v>
      </c>
      <c r="C499" s="2" t="s">
        <v>1405</v>
      </c>
      <c r="D499" s="5"/>
      <c r="E499" s="5"/>
    </row>
    <row r="500">
      <c r="A500" s="2" t="s">
        <v>1406</v>
      </c>
      <c r="B500" s="2" t="s">
        <v>1407</v>
      </c>
      <c r="C500" s="2" t="s">
        <v>1408</v>
      </c>
      <c r="D500" s="5"/>
      <c r="E500" s="5"/>
    </row>
    <row r="501">
      <c r="A501" s="2" t="s">
        <v>1409</v>
      </c>
      <c r="B501" s="2" t="s">
        <v>1410</v>
      </c>
      <c r="C501" s="2" t="s">
        <v>1411</v>
      </c>
      <c r="D501" s="5"/>
      <c r="E501" s="5"/>
    </row>
    <row r="502">
      <c r="A502" s="2" t="s">
        <v>1412</v>
      </c>
      <c r="B502" s="2" t="s">
        <v>1106</v>
      </c>
      <c r="C502" s="2" t="s">
        <v>1107</v>
      </c>
      <c r="D502" s="5"/>
      <c r="E502" s="5"/>
    </row>
    <row r="503">
      <c r="A503" s="2" t="s">
        <v>1413</v>
      </c>
      <c r="B503" s="2" t="s">
        <v>1414</v>
      </c>
      <c r="C503" s="2" t="s">
        <v>1415</v>
      </c>
      <c r="D503" s="5"/>
      <c r="E503" s="5"/>
    </row>
    <row r="504">
      <c r="A504" s="2" t="s">
        <v>1416</v>
      </c>
      <c r="B504" s="2" t="s">
        <v>1417</v>
      </c>
      <c r="C504" s="2" t="s">
        <v>1418</v>
      </c>
      <c r="D504" s="5"/>
      <c r="E504" s="5"/>
    </row>
    <row r="505">
      <c r="A505" s="2" t="s">
        <v>1419</v>
      </c>
      <c r="B505" s="2" t="s">
        <v>1420</v>
      </c>
      <c r="C505" s="2" t="s">
        <v>1421</v>
      </c>
      <c r="D505" s="5"/>
      <c r="E505" s="5"/>
    </row>
    <row r="506">
      <c r="A506" s="2" t="s">
        <v>1422</v>
      </c>
      <c r="B506" s="2" t="s">
        <v>1423</v>
      </c>
      <c r="C506" s="2" t="s">
        <v>1424</v>
      </c>
      <c r="D506" s="5"/>
      <c r="E506" s="5"/>
    </row>
    <row r="507">
      <c r="A507" s="2" t="s">
        <v>1425</v>
      </c>
      <c r="B507" s="2" t="s">
        <v>1426</v>
      </c>
      <c r="C507" s="2" t="s">
        <v>1427</v>
      </c>
      <c r="D507" s="5"/>
      <c r="E507" s="5"/>
    </row>
    <row r="508">
      <c r="A508" s="2" t="s">
        <v>1428</v>
      </c>
      <c r="B508" s="2" t="s">
        <v>1429</v>
      </c>
      <c r="C508" s="2" t="s">
        <v>1430</v>
      </c>
      <c r="D508" s="5"/>
      <c r="E508" s="5"/>
    </row>
    <row r="509">
      <c r="A509" s="2" t="s">
        <v>1431</v>
      </c>
      <c r="B509" s="2" t="s">
        <v>1432</v>
      </c>
      <c r="C509" s="2" t="s">
        <v>1433</v>
      </c>
      <c r="D509" s="5"/>
      <c r="E509" s="5"/>
    </row>
    <row r="510">
      <c r="A510" s="2" t="s">
        <v>1434</v>
      </c>
      <c r="B510" s="2" t="s">
        <v>1435</v>
      </c>
      <c r="C510" s="2" t="s">
        <v>1436</v>
      </c>
      <c r="D510" s="5"/>
      <c r="E510" s="5"/>
    </row>
    <row r="511">
      <c r="A511" s="2" t="s">
        <v>1437</v>
      </c>
      <c r="B511" s="2" t="s">
        <v>1438</v>
      </c>
      <c r="C511" s="2" t="s">
        <v>1439</v>
      </c>
      <c r="D511" s="5"/>
      <c r="E511" s="5"/>
    </row>
    <row r="512">
      <c r="A512" s="2" t="s">
        <v>1440</v>
      </c>
      <c r="B512" s="2" t="s">
        <v>1441</v>
      </c>
      <c r="C512" s="2" t="s">
        <v>1442</v>
      </c>
      <c r="D512" s="5"/>
      <c r="E512" s="5"/>
    </row>
    <row r="513">
      <c r="A513" s="2" t="s">
        <v>1443</v>
      </c>
      <c r="B513" s="2" t="s">
        <v>1444</v>
      </c>
      <c r="C513" s="2" t="s">
        <v>1445</v>
      </c>
      <c r="D513" s="5"/>
      <c r="E513" s="5"/>
    </row>
    <row r="514">
      <c r="A514" s="2" t="s">
        <v>1446</v>
      </c>
      <c r="B514" s="2" t="s">
        <v>514</v>
      </c>
      <c r="C514" s="2" t="s">
        <v>1447</v>
      </c>
      <c r="D514" s="5"/>
      <c r="E514" s="5"/>
    </row>
    <row r="515">
      <c r="A515" s="2" t="s">
        <v>1448</v>
      </c>
      <c r="B515" s="2" t="s">
        <v>1449</v>
      </c>
      <c r="C515" s="2" t="s">
        <v>1450</v>
      </c>
      <c r="D515" s="5"/>
      <c r="E515" s="5"/>
    </row>
    <row r="516">
      <c r="A516" s="2" t="s">
        <v>1451</v>
      </c>
      <c r="B516" s="2" t="s">
        <v>1452</v>
      </c>
      <c r="C516" s="2" t="s">
        <v>49</v>
      </c>
      <c r="D516" s="5"/>
      <c r="E516" s="5"/>
    </row>
    <row r="517">
      <c r="A517" s="2" t="s">
        <v>1453</v>
      </c>
      <c r="B517" s="2" t="s">
        <v>1454</v>
      </c>
      <c r="C517" s="2" t="s">
        <v>1455</v>
      </c>
      <c r="D517" s="5"/>
      <c r="E517" s="5"/>
    </row>
    <row r="518">
      <c r="A518" s="2" t="s">
        <v>1456</v>
      </c>
      <c r="B518" s="2" t="s">
        <v>1457</v>
      </c>
      <c r="C518" s="2" t="s">
        <v>1458</v>
      </c>
      <c r="D518" s="5"/>
      <c r="E518" s="5"/>
    </row>
    <row r="519">
      <c r="A519" s="2" t="s">
        <v>1459</v>
      </c>
      <c r="B519" s="2" t="s">
        <v>1460</v>
      </c>
      <c r="C519" s="2" t="s">
        <v>1461</v>
      </c>
      <c r="D519" s="5"/>
      <c r="E519" s="5"/>
    </row>
    <row r="520">
      <c r="A520" s="2" t="s">
        <v>1462</v>
      </c>
      <c r="B520" s="2" t="s">
        <v>37</v>
      </c>
      <c r="C520" s="2" t="s">
        <v>38</v>
      </c>
      <c r="D520" s="5"/>
      <c r="E520" s="5"/>
    </row>
    <row r="521">
      <c r="A521" s="2" t="s">
        <v>1463</v>
      </c>
      <c r="B521" s="2" t="s">
        <v>1464</v>
      </c>
      <c r="C521" s="2" t="s">
        <v>1465</v>
      </c>
      <c r="D521" s="5"/>
      <c r="E521" s="5"/>
    </row>
    <row r="522">
      <c r="A522" s="2" t="s">
        <v>1466</v>
      </c>
      <c r="B522" s="2" t="s">
        <v>1467</v>
      </c>
      <c r="C522" s="2" t="s">
        <v>1468</v>
      </c>
      <c r="D522" s="5"/>
      <c r="E522" s="5"/>
    </row>
    <row r="523">
      <c r="A523" s="2" t="s">
        <v>1469</v>
      </c>
      <c r="B523" s="2" t="s">
        <v>1470</v>
      </c>
      <c r="C523" s="2" t="s">
        <v>1471</v>
      </c>
      <c r="D523" s="5"/>
      <c r="E523" s="5"/>
    </row>
    <row r="524">
      <c r="A524" s="2" t="s">
        <v>1472</v>
      </c>
      <c r="B524" s="2" t="s">
        <v>1473</v>
      </c>
      <c r="C524" s="2" t="s">
        <v>1474</v>
      </c>
      <c r="D524" s="5"/>
      <c r="E524" s="5"/>
    </row>
    <row r="525">
      <c r="A525" s="2" t="s">
        <v>1475</v>
      </c>
      <c r="B525" s="2" t="s">
        <v>1476</v>
      </c>
      <c r="C525" s="2" t="s">
        <v>1477</v>
      </c>
      <c r="D525" s="5"/>
      <c r="E525" s="5"/>
    </row>
    <row r="526">
      <c r="A526" s="2" t="s">
        <v>1478</v>
      </c>
      <c r="B526" s="2" t="s">
        <v>1479</v>
      </c>
      <c r="C526" s="2" t="s">
        <v>49</v>
      </c>
      <c r="D526" s="5"/>
      <c r="E526" s="5"/>
    </row>
    <row r="527">
      <c r="A527" s="2" t="s">
        <v>1480</v>
      </c>
      <c r="B527" s="2" t="s">
        <v>1481</v>
      </c>
      <c r="C527" s="2" t="s">
        <v>1482</v>
      </c>
      <c r="D527" s="5"/>
      <c r="E527" s="5"/>
    </row>
    <row r="528">
      <c r="A528" s="2" t="s">
        <v>1483</v>
      </c>
      <c r="B528" s="2" t="s">
        <v>1484</v>
      </c>
      <c r="C528" s="2" t="s">
        <v>1485</v>
      </c>
      <c r="D528" s="5"/>
      <c r="E528" s="5"/>
    </row>
    <row r="529">
      <c r="A529" s="2" t="s">
        <v>1486</v>
      </c>
      <c r="B529" s="2" t="s">
        <v>1487</v>
      </c>
      <c r="C529" s="2" t="s">
        <v>1488</v>
      </c>
      <c r="D529" s="5"/>
      <c r="E529" s="5"/>
    </row>
    <row r="530">
      <c r="A530" s="2" t="s">
        <v>3</v>
      </c>
      <c r="B530" s="2" t="s">
        <v>1489</v>
      </c>
      <c r="C530" s="2" t="s">
        <v>1490</v>
      </c>
      <c r="D530" s="5"/>
      <c r="E530" s="5"/>
    </row>
    <row r="531">
      <c r="A531" s="2" t="s">
        <v>1491</v>
      </c>
      <c r="B531" s="2" t="s">
        <v>1492</v>
      </c>
      <c r="C531" s="2" t="s">
        <v>1493</v>
      </c>
      <c r="D531" s="5"/>
      <c r="E531" s="5"/>
    </row>
    <row r="532">
      <c r="A532" s="2" t="s">
        <v>1494</v>
      </c>
      <c r="B532" s="2" t="s">
        <v>1053</v>
      </c>
      <c r="C532" s="2" t="s">
        <v>49</v>
      </c>
      <c r="D532" s="5"/>
      <c r="E532" s="5"/>
    </row>
    <row r="533">
      <c r="A533" s="2" t="s">
        <v>1495</v>
      </c>
      <c r="B533" s="2" t="s">
        <v>1496</v>
      </c>
      <c r="C533" s="2" t="s">
        <v>1497</v>
      </c>
      <c r="D533" s="5"/>
      <c r="E533" s="5"/>
    </row>
    <row r="534">
      <c r="A534" s="2" t="s">
        <v>1498</v>
      </c>
      <c r="B534" s="2" t="s">
        <v>1499</v>
      </c>
      <c r="C534" s="2" t="s">
        <v>49</v>
      </c>
      <c r="D534" s="5"/>
      <c r="E534" s="5"/>
    </row>
    <row r="535">
      <c r="A535" s="2" t="s">
        <v>1500</v>
      </c>
      <c r="B535" s="2" t="s">
        <v>1501</v>
      </c>
      <c r="C535" s="2" t="s">
        <v>1502</v>
      </c>
      <c r="D535" s="5"/>
      <c r="E535" s="5"/>
    </row>
    <row r="536">
      <c r="A536" s="2" t="s">
        <v>1503</v>
      </c>
      <c r="B536" s="2" t="s">
        <v>1504</v>
      </c>
      <c r="C536" s="2" t="s">
        <v>1505</v>
      </c>
      <c r="D536" s="5"/>
      <c r="E536" s="5"/>
    </row>
    <row r="537">
      <c r="A537" s="2" t="s">
        <v>1506</v>
      </c>
      <c r="B537" s="2" t="s">
        <v>1507</v>
      </c>
      <c r="C537" s="2" t="s">
        <v>1508</v>
      </c>
      <c r="D537" s="5"/>
      <c r="E537" s="5"/>
    </row>
    <row r="538">
      <c r="A538" s="2" t="s">
        <v>1509</v>
      </c>
      <c r="B538" s="2" t="s">
        <v>1510</v>
      </c>
      <c r="C538" s="2" t="s">
        <v>1511</v>
      </c>
      <c r="D538" s="5"/>
      <c r="E538" s="5"/>
    </row>
    <row r="539">
      <c r="A539" s="2" t="s">
        <v>1512</v>
      </c>
      <c r="B539" s="2" t="s">
        <v>1513</v>
      </c>
      <c r="C539" s="2" t="s">
        <v>1514</v>
      </c>
      <c r="D539" s="5"/>
      <c r="E539" s="5"/>
    </row>
    <row r="540">
      <c r="A540" s="2" t="s">
        <v>1515</v>
      </c>
      <c r="B540" s="2" t="s">
        <v>1516</v>
      </c>
      <c r="C540" s="2" t="s">
        <v>49</v>
      </c>
      <c r="D540" s="5"/>
      <c r="E540" s="5"/>
    </row>
    <row r="541">
      <c r="A541" s="2" t="s">
        <v>1517</v>
      </c>
      <c r="B541" s="2" t="s">
        <v>1518</v>
      </c>
      <c r="C541" s="2" t="s">
        <v>1519</v>
      </c>
      <c r="D541" s="5"/>
      <c r="E541" s="5"/>
    </row>
    <row r="542">
      <c r="A542" s="2" t="s">
        <v>1520</v>
      </c>
      <c r="B542" s="2" t="s">
        <v>1521</v>
      </c>
      <c r="C542" s="2" t="s">
        <v>1522</v>
      </c>
      <c r="D542" s="5"/>
      <c r="E542" s="5"/>
    </row>
    <row r="543">
      <c r="A543" s="2" t="s">
        <v>1523</v>
      </c>
      <c r="B543" s="2" t="s">
        <v>1524</v>
      </c>
      <c r="C543" s="2" t="s">
        <v>1525</v>
      </c>
      <c r="D543" s="5"/>
      <c r="E543" s="5"/>
    </row>
    <row r="544">
      <c r="A544" s="2" t="s">
        <v>1526</v>
      </c>
      <c r="B544" s="2" t="s">
        <v>1527</v>
      </c>
      <c r="C544" s="2" t="s">
        <v>49</v>
      </c>
      <c r="D544" s="5"/>
      <c r="E544" s="5"/>
    </row>
    <row r="545">
      <c r="A545" s="2" t="s">
        <v>1528</v>
      </c>
      <c r="B545" s="2" t="s">
        <v>1528</v>
      </c>
      <c r="C545" s="2" t="s">
        <v>1528</v>
      </c>
      <c r="D545" s="5"/>
      <c r="E545" s="5"/>
    </row>
    <row r="546">
      <c r="A546" s="2" t="s">
        <v>1529</v>
      </c>
      <c r="B546" s="2" t="s">
        <v>1530</v>
      </c>
      <c r="C546" s="2" t="s">
        <v>1531</v>
      </c>
      <c r="D546" s="5"/>
      <c r="E546" s="5"/>
    </row>
    <row r="547">
      <c r="A547" s="2" t="s">
        <v>1532</v>
      </c>
      <c r="B547" s="2" t="s">
        <v>1533</v>
      </c>
      <c r="C547" s="2" t="s">
        <v>1534</v>
      </c>
      <c r="D547" s="5"/>
      <c r="E547" s="5"/>
    </row>
    <row r="548">
      <c r="A548" s="2" t="s">
        <v>1535</v>
      </c>
      <c r="B548" s="2" t="s">
        <v>1536</v>
      </c>
      <c r="C548" s="2" t="s">
        <v>1537</v>
      </c>
      <c r="D548" s="5"/>
      <c r="E548" s="5"/>
    </row>
    <row r="549">
      <c r="A549" s="2" t="s">
        <v>1538</v>
      </c>
      <c r="B549" s="2" t="s">
        <v>1539</v>
      </c>
      <c r="C549" s="2" t="s">
        <v>1531</v>
      </c>
      <c r="D549" s="5"/>
      <c r="E549" s="5"/>
    </row>
    <row r="550">
      <c r="A550" s="2" t="s">
        <v>1540</v>
      </c>
      <c r="B550" s="2" t="s">
        <v>1541</v>
      </c>
      <c r="C550" s="2" t="s">
        <v>49</v>
      </c>
      <c r="D550" s="5"/>
      <c r="E550" s="5"/>
    </row>
    <row r="551">
      <c r="A551" s="2" t="s">
        <v>1542</v>
      </c>
      <c r="B551" s="2" t="s">
        <v>1543</v>
      </c>
      <c r="C551" s="2" t="s">
        <v>1544</v>
      </c>
      <c r="D551" s="5"/>
      <c r="E551" s="5"/>
    </row>
    <row r="552">
      <c r="A552" s="2" t="s">
        <v>1545</v>
      </c>
      <c r="B552" s="2" t="s">
        <v>1546</v>
      </c>
      <c r="C552" s="2" t="s">
        <v>1547</v>
      </c>
      <c r="D552" s="5"/>
      <c r="E552" s="5"/>
    </row>
    <row r="553">
      <c r="A553" s="2" t="s">
        <v>1548</v>
      </c>
      <c r="B553" s="2" t="s">
        <v>1549</v>
      </c>
      <c r="C553" s="2" t="s">
        <v>49</v>
      </c>
      <c r="D553" s="5"/>
      <c r="E553" s="5"/>
    </row>
    <row r="554">
      <c r="A554" s="2" t="s">
        <v>1550</v>
      </c>
      <c r="B554" s="2" t="s">
        <v>1551</v>
      </c>
      <c r="C554" s="2" t="s">
        <v>1552</v>
      </c>
      <c r="D554" s="5"/>
      <c r="E554" s="5"/>
    </row>
    <row r="555">
      <c r="A555" s="2" t="s">
        <v>1553</v>
      </c>
      <c r="B555" s="2" t="s">
        <v>1554</v>
      </c>
      <c r="C555" s="2" t="s">
        <v>1553</v>
      </c>
      <c r="D555" s="5"/>
      <c r="E555" s="5"/>
    </row>
    <row r="556">
      <c r="A556" s="2" t="s">
        <v>1555</v>
      </c>
      <c r="B556" s="2" t="s">
        <v>1556</v>
      </c>
      <c r="C556" s="2" t="s">
        <v>49</v>
      </c>
      <c r="D556" s="5"/>
      <c r="E556" s="5"/>
    </row>
    <row r="557">
      <c r="A557" s="2" t="s">
        <v>1557</v>
      </c>
      <c r="B557" s="2" t="s">
        <v>167</v>
      </c>
      <c r="C557" s="2" t="s">
        <v>1558</v>
      </c>
      <c r="D557" s="5"/>
      <c r="E557" s="5"/>
    </row>
    <row r="558">
      <c r="A558" s="2" t="s">
        <v>1559</v>
      </c>
      <c r="B558" s="2" t="s">
        <v>1560</v>
      </c>
      <c r="C558" s="2" t="s">
        <v>1561</v>
      </c>
      <c r="D558" s="5"/>
      <c r="E558" s="5"/>
    </row>
    <row r="559">
      <c r="A559" s="2" t="s">
        <v>1562</v>
      </c>
      <c r="B559" s="2" t="s">
        <v>1563</v>
      </c>
      <c r="C559" s="2" t="s">
        <v>1564</v>
      </c>
      <c r="D559" s="5"/>
      <c r="E559" s="5"/>
    </row>
    <row r="560">
      <c r="A560" s="2" t="s">
        <v>1565</v>
      </c>
      <c r="B560" s="2" t="s">
        <v>1566</v>
      </c>
      <c r="C560" s="2" t="s">
        <v>1567</v>
      </c>
      <c r="D560" s="5"/>
      <c r="E560" s="5"/>
    </row>
    <row r="561">
      <c r="A561" s="2" t="s">
        <v>1568</v>
      </c>
      <c r="B561" s="2" t="s">
        <v>1569</v>
      </c>
      <c r="C561" s="2" t="s">
        <v>1570</v>
      </c>
      <c r="D561" s="5"/>
      <c r="E561" s="5"/>
    </row>
    <row r="562">
      <c r="A562" s="2" t="s">
        <v>1571</v>
      </c>
      <c r="B562" s="2" t="s">
        <v>1572</v>
      </c>
      <c r="C562" s="2" t="s">
        <v>1573</v>
      </c>
      <c r="D562" s="5"/>
      <c r="E562" s="5"/>
    </row>
    <row r="563">
      <c r="A563" s="2" t="s">
        <v>1574</v>
      </c>
      <c r="B563" s="2" t="s">
        <v>1575</v>
      </c>
      <c r="C563" s="2" t="s">
        <v>1574</v>
      </c>
      <c r="D563" s="5"/>
      <c r="E563" s="5"/>
    </row>
    <row r="564">
      <c r="A564" s="2" t="s">
        <v>1576</v>
      </c>
      <c r="B564" s="2" t="s">
        <v>1577</v>
      </c>
      <c r="C564" s="2" t="s">
        <v>1578</v>
      </c>
      <c r="D564" s="5"/>
      <c r="E564" s="5"/>
    </row>
    <row r="565">
      <c r="A565" s="2" t="s">
        <v>1579</v>
      </c>
      <c r="B565" s="2" t="s">
        <v>1580</v>
      </c>
      <c r="C565" s="2" t="s">
        <v>808</v>
      </c>
      <c r="D565" s="5"/>
      <c r="E565" s="5"/>
    </row>
    <row r="566">
      <c r="A566" s="2" t="s">
        <v>1581</v>
      </c>
      <c r="B566" s="2" t="s">
        <v>1582</v>
      </c>
      <c r="C566" s="2" t="s">
        <v>1583</v>
      </c>
      <c r="D566" s="5"/>
      <c r="E566" s="5"/>
    </row>
    <row r="567">
      <c r="A567" s="2" t="s">
        <v>1584</v>
      </c>
      <c r="B567" s="2" t="s">
        <v>1585</v>
      </c>
      <c r="C567" s="2" t="s">
        <v>1586</v>
      </c>
      <c r="D567" s="5"/>
      <c r="E567" s="5"/>
    </row>
    <row r="568">
      <c r="A568" s="2" t="s">
        <v>1587</v>
      </c>
      <c r="B568" s="2" t="s">
        <v>1588</v>
      </c>
      <c r="C568" s="2" t="s">
        <v>1589</v>
      </c>
      <c r="D568" s="5"/>
      <c r="E568" s="5"/>
    </row>
    <row r="569">
      <c r="A569" s="2" t="s">
        <v>1590</v>
      </c>
      <c r="B569" s="2" t="s">
        <v>1591</v>
      </c>
      <c r="C569" s="2" t="s">
        <v>1592</v>
      </c>
      <c r="D569" s="5"/>
      <c r="E569" s="5"/>
    </row>
    <row r="570">
      <c r="A570" s="2" t="s">
        <v>1593</v>
      </c>
      <c r="B570" s="2" t="s">
        <v>1594</v>
      </c>
      <c r="C570" s="2" t="s">
        <v>1595</v>
      </c>
      <c r="D570" s="5"/>
      <c r="E570" s="5"/>
    </row>
    <row r="571">
      <c r="A571" s="2" t="s">
        <v>1596</v>
      </c>
      <c r="B571" s="2" t="s">
        <v>1597</v>
      </c>
      <c r="C571" s="2" t="s">
        <v>1596</v>
      </c>
      <c r="D571" s="5"/>
      <c r="E571" s="5"/>
    </row>
    <row r="572">
      <c r="A572" s="2" t="s">
        <v>1598</v>
      </c>
      <c r="B572" s="2" t="s">
        <v>1599</v>
      </c>
      <c r="C572" s="2" t="s">
        <v>1600</v>
      </c>
      <c r="D572" s="5"/>
      <c r="E572" s="5"/>
    </row>
    <row r="573">
      <c r="A573" s="2" t="s">
        <v>1601</v>
      </c>
      <c r="B573" s="2" t="s">
        <v>1602</v>
      </c>
      <c r="C573" s="2" t="s">
        <v>1603</v>
      </c>
      <c r="D573" s="5"/>
      <c r="E573" s="5"/>
    </row>
    <row r="574">
      <c r="A574" s="2" t="s">
        <v>1604</v>
      </c>
      <c r="B574" s="2" t="s">
        <v>1605</v>
      </c>
      <c r="C574" s="2" t="s">
        <v>49</v>
      </c>
      <c r="D574" s="5"/>
      <c r="E574" s="5"/>
    </row>
    <row r="575">
      <c r="A575" s="2" t="s">
        <v>1606</v>
      </c>
      <c r="B575" s="2" t="s">
        <v>1607</v>
      </c>
      <c r="C575" s="2" t="s">
        <v>1606</v>
      </c>
      <c r="D575" s="5"/>
      <c r="E575" s="5"/>
    </row>
    <row r="576">
      <c r="A576" s="2" t="s">
        <v>1608</v>
      </c>
      <c r="B576" s="2" t="s">
        <v>1609</v>
      </c>
      <c r="C576" s="2" t="s">
        <v>1610</v>
      </c>
      <c r="D576" s="5"/>
      <c r="E576" s="5"/>
    </row>
    <row r="577">
      <c r="A577" s="2" t="s">
        <v>1611</v>
      </c>
      <c r="B577" s="2" t="s">
        <v>1612</v>
      </c>
      <c r="C577" s="2" t="s">
        <v>1613</v>
      </c>
      <c r="D577" s="5"/>
      <c r="E577" s="5"/>
    </row>
    <row r="578">
      <c r="A578" s="2" t="s">
        <v>1614</v>
      </c>
      <c r="B578" s="2" t="s">
        <v>1615</v>
      </c>
      <c r="C578" s="2" t="s">
        <v>1614</v>
      </c>
      <c r="D578" s="5"/>
      <c r="E578" s="5"/>
    </row>
    <row r="579">
      <c r="A579" s="2" t="s">
        <v>1616</v>
      </c>
      <c r="B579" s="2" t="s">
        <v>1617</v>
      </c>
      <c r="C579" s="2" t="s">
        <v>1618</v>
      </c>
      <c r="D579" s="5"/>
      <c r="E579" s="5"/>
    </row>
    <row r="580">
      <c r="A580" s="2" t="s">
        <v>1619</v>
      </c>
      <c r="B580" s="2" t="s">
        <v>1620</v>
      </c>
      <c r="C580" s="2" t="s">
        <v>1621</v>
      </c>
      <c r="D580" s="5"/>
      <c r="E580" s="5"/>
    </row>
    <row r="581">
      <c r="A581" s="2" t="s">
        <v>1622</v>
      </c>
      <c r="B581" s="2" t="s">
        <v>1623</v>
      </c>
      <c r="C581" s="2" t="s">
        <v>1624</v>
      </c>
      <c r="D581" s="5"/>
      <c r="E581" s="5"/>
    </row>
    <row r="582">
      <c r="A582" s="2" t="s">
        <v>1625</v>
      </c>
      <c r="B582" s="2" t="s">
        <v>1626</v>
      </c>
      <c r="C582" s="2" t="s">
        <v>1627</v>
      </c>
      <c r="D582" s="5"/>
      <c r="E582" s="5"/>
    </row>
    <row r="583">
      <c r="A583" s="2" t="s">
        <v>1628</v>
      </c>
      <c r="B583" s="2" t="s">
        <v>1629</v>
      </c>
      <c r="C583" s="2" t="s">
        <v>1630</v>
      </c>
      <c r="D583" s="5"/>
      <c r="E583" s="5"/>
    </row>
    <row r="584">
      <c r="A584" s="2" t="s">
        <v>1631</v>
      </c>
      <c r="B584" s="2" t="s">
        <v>1632</v>
      </c>
      <c r="C584" s="2" t="s">
        <v>1525</v>
      </c>
      <c r="D584" s="5"/>
      <c r="E584" s="5"/>
    </row>
    <row r="585">
      <c r="A585" s="2" t="s">
        <v>1633</v>
      </c>
      <c r="B585" s="2" t="s">
        <v>366</v>
      </c>
      <c r="C585" s="2" t="s">
        <v>945</v>
      </c>
      <c r="D585" s="5"/>
      <c r="E585" s="5"/>
    </row>
    <row r="586">
      <c r="A586" s="2" t="s">
        <v>1634</v>
      </c>
      <c r="B586" s="2" t="s">
        <v>1635</v>
      </c>
      <c r="C586" s="2" t="s">
        <v>1636</v>
      </c>
      <c r="D586" s="5"/>
      <c r="E586" s="5"/>
    </row>
    <row r="587">
      <c r="A587" s="2" t="s">
        <v>1637</v>
      </c>
      <c r="B587" s="2" t="s">
        <v>1638</v>
      </c>
      <c r="C587" s="2" t="s">
        <v>1639</v>
      </c>
      <c r="D587" s="5"/>
      <c r="E587" s="5"/>
    </row>
    <row r="588">
      <c r="A588" s="2" t="s">
        <v>1640</v>
      </c>
      <c r="B588" s="2" t="s">
        <v>1641</v>
      </c>
      <c r="C588" s="2" t="s">
        <v>1642</v>
      </c>
      <c r="D588" s="5"/>
      <c r="E588" s="5"/>
    </row>
    <row r="589">
      <c r="A589" s="2" t="s">
        <v>1643</v>
      </c>
      <c r="B589" s="2" t="s">
        <v>1644</v>
      </c>
      <c r="C589" s="2" t="s">
        <v>1645</v>
      </c>
      <c r="D589" s="5"/>
      <c r="E589" s="5"/>
    </row>
    <row r="590">
      <c r="A590" s="2" t="s">
        <v>1646</v>
      </c>
      <c r="B590" s="2" t="s">
        <v>1647</v>
      </c>
      <c r="C590" s="2" t="s">
        <v>1648</v>
      </c>
      <c r="D590" s="5"/>
      <c r="E590" s="5"/>
    </row>
    <row r="591">
      <c r="A591" s="2" t="s">
        <v>1649</v>
      </c>
      <c r="B591" s="2" t="s">
        <v>1650</v>
      </c>
      <c r="C591" s="2" t="s">
        <v>1651</v>
      </c>
      <c r="D591" s="5"/>
      <c r="E591" s="5"/>
    </row>
    <row r="592">
      <c r="A592" s="2" t="s">
        <v>1652</v>
      </c>
      <c r="B592" s="2" t="s">
        <v>1653</v>
      </c>
      <c r="C592" s="2" t="s">
        <v>1654</v>
      </c>
      <c r="D592" s="5"/>
      <c r="E592" s="5"/>
    </row>
    <row r="593">
      <c r="A593" s="2" t="s">
        <v>1655</v>
      </c>
      <c r="B593" s="2" t="s">
        <v>1053</v>
      </c>
      <c r="C593" s="2" t="s">
        <v>1656</v>
      </c>
      <c r="D593" s="5"/>
      <c r="E593" s="5"/>
    </row>
    <row r="594">
      <c r="A594" s="2" t="s">
        <v>1657</v>
      </c>
      <c r="B594" s="2" t="s">
        <v>1658</v>
      </c>
      <c r="C594" s="2" t="s">
        <v>1659</v>
      </c>
      <c r="D594" s="5"/>
      <c r="E594" s="5"/>
    </row>
    <row r="595">
      <c r="A595" s="2" t="s">
        <v>1660</v>
      </c>
      <c r="B595" s="2" t="s">
        <v>1661</v>
      </c>
      <c r="C595" s="2" t="s">
        <v>1662</v>
      </c>
      <c r="D595" s="5"/>
      <c r="E595" s="5"/>
    </row>
    <row r="596">
      <c r="A596" s="2" t="s">
        <v>1663</v>
      </c>
      <c r="B596" s="2" t="s">
        <v>1664</v>
      </c>
      <c r="C596" s="2" t="s">
        <v>1239</v>
      </c>
      <c r="D596" s="5"/>
      <c r="E596" s="5"/>
    </row>
    <row r="597">
      <c r="A597" s="2" t="s">
        <v>1665</v>
      </c>
      <c r="B597" s="2" t="s">
        <v>1666</v>
      </c>
      <c r="C597" s="2" t="s">
        <v>1667</v>
      </c>
      <c r="D597" s="5"/>
      <c r="E597" s="5"/>
    </row>
    <row r="598">
      <c r="A598" s="2" t="s">
        <v>1668</v>
      </c>
      <c r="B598" s="2" t="s">
        <v>1669</v>
      </c>
      <c r="C598" s="2" t="s">
        <v>1670</v>
      </c>
      <c r="D598" s="5"/>
      <c r="E598" s="5"/>
    </row>
    <row r="599">
      <c r="A599" s="2" t="s">
        <v>1671</v>
      </c>
      <c r="B599" s="2" t="s">
        <v>1672</v>
      </c>
      <c r="C599" s="2" t="s">
        <v>1673</v>
      </c>
      <c r="D599" s="5"/>
      <c r="E599" s="5"/>
    </row>
    <row r="600">
      <c r="A600" s="2" t="s">
        <v>1674</v>
      </c>
      <c r="B600" s="2" t="s">
        <v>1675</v>
      </c>
      <c r="C600" s="2" t="s">
        <v>1676</v>
      </c>
      <c r="D600" s="5"/>
      <c r="E600" s="5"/>
    </row>
    <row r="601">
      <c r="A601" s="2" t="s">
        <v>1677</v>
      </c>
      <c r="B601" s="2" t="s">
        <v>1678</v>
      </c>
      <c r="C601" s="2" t="s">
        <v>1679</v>
      </c>
      <c r="D601" s="5"/>
      <c r="E601" s="5"/>
    </row>
    <row r="602">
      <c r="A602" s="2" t="s">
        <v>1680</v>
      </c>
      <c r="B602" s="2" t="s">
        <v>1681</v>
      </c>
      <c r="C602" s="2" t="s">
        <v>1682</v>
      </c>
      <c r="D602" s="5"/>
      <c r="E602" s="5"/>
    </row>
    <row r="603">
      <c r="A603" s="2" t="s">
        <v>1683</v>
      </c>
      <c r="B603" s="2" t="s">
        <v>1684</v>
      </c>
      <c r="C603" s="2" t="s">
        <v>1683</v>
      </c>
      <c r="D603" s="5"/>
      <c r="E603" s="5"/>
    </row>
    <row r="604">
      <c r="A604" s="2" t="s">
        <v>1685</v>
      </c>
      <c r="B604" s="2" t="s">
        <v>1686</v>
      </c>
      <c r="C604" s="2" t="s">
        <v>1687</v>
      </c>
      <c r="D604" s="5"/>
      <c r="E604" s="5"/>
    </row>
    <row r="605">
      <c r="A605" s="2" t="s">
        <v>1688</v>
      </c>
      <c r="B605" s="2" t="s">
        <v>1689</v>
      </c>
      <c r="C605" s="2" t="s">
        <v>1690</v>
      </c>
      <c r="D605" s="5"/>
      <c r="E605" s="5"/>
    </row>
    <row r="606">
      <c r="A606" s="2" t="s">
        <v>1691</v>
      </c>
      <c r="B606" s="2" t="s">
        <v>1061</v>
      </c>
      <c r="C606" s="2" t="s">
        <v>1062</v>
      </c>
      <c r="D606" s="5"/>
      <c r="E606" s="5"/>
    </row>
    <row r="607">
      <c r="A607" s="2" t="s">
        <v>1692</v>
      </c>
      <c r="B607" s="2" t="s">
        <v>1693</v>
      </c>
      <c r="C607" s="2" t="s">
        <v>1694</v>
      </c>
      <c r="D607" s="5"/>
      <c r="E607" s="5"/>
    </row>
    <row r="608">
      <c r="A608" s="2" t="s">
        <v>1695</v>
      </c>
      <c r="B608" s="2" t="s">
        <v>1696</v>
      </c>
      <c r="C608" s="2" t="s">
        <v>1697</v>
      </c>
      <c r="D608" s="5"/>
      <c r="E608" s="5"/>
    </row>
    <row r="609">
      <c r="A609" s="2" t="s">
        <v>1698</v>
      </c>
      <c r="B609" s="2" t="s">
        <v>1699</v>
      </c>
      <c r="C609" s="2" t="s">
        <v>1700</v>
      </c>
      <c r="D609" s="5"/>
      <c r="E609" s="5"/>
    </row>
    <row r="610">
      <c r="A610" s="2" t="s">
        <v>1701</v>
      </c>
      <c r="B610" s="2" t="s">
        <v>1702</v>
      </c>
      <c r="C610" s="2" t="s">
        <v>1703</v>
      </c>
      <c r="D610" s="5"/>
      <c r="E610" s="5"/>
    </row>
    <row r="611">
      <c r="A611" s="2" t="s">
        <v>1704</v>
      </c>
      <c r="B611" s="2" t="s">
        <v>1705</v>
      </c>
      <c r="C611" s="2" t="s">
        <v>1706</v>
      </c>
      <c r="D611" s="5"/>
      <c r="E611" s="5"/>
    </row>
    <row r="612">
      <c r="A612" s="2" t="s">
        <v>1707</v>
      </c>
      <c r="B612" s="2" t="s">
        <v>1708</v>
      </c>
      <c r="C612" s="2" t="s">
        <v>1709</v>
      </c>
      <c r="D612" s="5"/>
      <c r="E612" s="5"/>
    </row>
    <row r="613">
      <c r="A613" s="2" t="s">
        <v>1710</v>
      </c>
      <c r="B613" s="2" t="s">
        <v>1711</v>
      </c>
      <c r="C613" s="2" t="s">
        <v>1712</v>
      </c>
      <c r="D613" s="5"/>
      <c r="E613" s="5"/>
    </row>
    <row r="614">
      <c r="A614" s="2" t="s">
        <v>1713</v>
      </c>
      <c r="B614" s="2" t="s">
        <v>1398</v>
      </c>
      <c r="C614" s="2" t="s">
        <v>1714</v>
      </c>
      <c r="D614" s="5"/>
      <c r="E614" s="5"/>
    </row>
    <row r="615">
      <c r="A615" s="2" t="s">
        <v>1715</v>
      </c>
      <c r="B615" s="2" t="s">
        <v>1716</v>
      </c>
      <c r="C615" s="2" t="s">
        <v>1717</v>
      </c>
      <c r="D615" s="5"/>
      <c r="E615" s="5"/>
    </row>
    <row r="616">
      <c r="A616" s="2" t="s">
        <v>1718</v>
      </c>
      <c r="B616" s="2" t="s">
        <v>1719</v>
      </c>
      <c r="C616" s="2" t="s">
        <v>1720</v>
      </c>
      <c r="D616" s="5"/>
      <c r="E616" s="5"/>
    </row>
    <row r="617">
      <c r="A617" s="2" t="s">
        <v>1721</v>
      </c>
      <c r="B617" s="2" t="s">
        <v>1722</v>
      </c>
      <c r="C617" s="2" t="s">
        <v>1723</v>
      </c>
      <c r="D617" s="5"/>
      <c r="E617" s="5"/>
    </row>
    <row r="618">
      <c r="A618" s="2" t="s">
        <v>1724</v>
      </c>
      <c r="B618" s="2" t="s">
        <v>1725</v>
      </c>
      <c r="C618" s="2" t="s">
        <v>1726</v>
      </c>
      <c r="D618" s="5"/>
      <c r="E618" s="5"/>
    </row>
    <row r="619">
      <c r="A619" s="2" t="s">
        <v>1727</v>
      </c>
      <c r="B619" s="2" t="s">
        <v>1728</v>
      </c>
      <c r="C619" s="2" t="s">
        <v>1729</v>
      </c>
      <c r="D619" s="5"/>
      <c r="E619" s="5"/>
    </row>
    <row r="620">
      <c r="A620" s="2" t="s">
        <v>1730</v>
      </c>
      <c r="B620" s="2" t="s">
        <v>1731</v>
      </c>
      <c r="C620" s="2" t="s">
        <v>1732</v>
      </c>
      <c r="D620" s="5"/>
      <c r="E620" s="5"/>
    </row>
    <row r="621">
      <c r="A621" s="2" t="s">
        <v>1733</v>
      </c>
      <c r="B621" s="2" t="s">
        <v>1734</v>
      </c>
      <c r="C621" s="2" t="s">
        <v>1735</v>
      </c>
      <c r="D621" s="5"/>
      <c r="E621" s="5"/>
    </row>
    <row r="622">
      <c r="A622" s="2" t="s">
        <v>1736</v>
      </c>
      <c r="B622" s="2" t="s">
        <v>1737</v>
      </c>
      <c r="C622" s="2" t="s">
        <v>1738</v>
      </c>
      <c r="D622" s="5"/>
      <c r="E622" s="5"/>
    </row>
    <row r="623">
      <c r="A623" s="2" t="s">
        <v>1739</v>
      </c>
      <c r="B623" s="2" t="s">
        <v>1740</v>
      </c>
      <c r="C623" s="2" t="s">
        <v>49</v>
      </c>
      <c r="D623" s="5"/>
      <c r="E623" s="5"/>
    </row>
    <row r="624">
      <c r="A624" s="2" t="s">
        <v>1741</v>
      </c>
      <c r="B624" s="2" t="s">
        <v>1742</v>
      </c>
      <c r="C624" s="2" t="s">
        <v>1743</v>
      </c>
      <c r="D624" s="5"/>
      <c r="E624" s="5"/>
    </row>
    <row r="625">
      <c r="A625" s="2" t="s">
        <v>1744</v>
      </c>
      <c r="B625" s="2" t="s">
        <v>1745</v>
      </c>
      <c r="C625" s="2" t="s">
        <v>1746</v>
      </c>
      <c r="D625" s="5"/>
      <c r="E625" s="5"/>
    </row>
    <row r="626">
      <c r="A626" s="2" t="s">
        <v>1747</v>
      </c>
      <c r="B626" s="2" t="s">
        <v>1280</v>
      </c>
      <c r="C626" s="2" t="s">
        <v>1281</v>
      </c>
      <c r="D626" s="5"/>
      <c r="E626" s="5"/>
    </row>
    <row r="627">
      <c r="A627" s="2" t="s">
        <v>1748</v>
      </c>
      <c r="B627" s="2" t="s">
        <v>1749</v>
      </c>
      <c r="C627" s="2" t="s">
        <v>1750</v>
      </c>
      <c r="D627" s="5"/>
      <c r="E627" s="5"/>
    </row>
    <row r="628">
      <c r="A628" s="2" t="s">
        <v>1751</v>
      </c>
      <c r="B628" s="2" t="s">
        <v>1752</v>
      </c>
      <c r="C628" s="2" t="s">
        <v>1753</v>
      </c>
      <c r="D628" s="5"/>
      <c r="E628" s="5"/>
    </row>
    <row r="629">
      <c r="A629" s="2" t="s">
        <v>1754</v>
      </c>
      <c r="B629" s="2" t="s">
        <v>1755</v>
      </c>
      <c r="C629" s="2" t="s">
        <v>1754</v>
      </c>
      <c r="D629" s="5"/>
      <c r="E629" s="5"/>
    </row>
    <row r="630">
      <c r="A630" s="2" t="s">
        <v>1756</v>
      </c>
      <c r="B630" s="2" t="s">
        <v>1757</v>
      </c>
      <c r="C630" s="2" t="s">
        <v>1758</v>
      </c>
      <c r="D630" s="5"/>
      <c r="E630" s="5"/>
    </row>
    <row r="631">
      <c r="A631" s="2" t="s">
        <v>1759</v>
      </c>
      <c r="B631" s="2" t="s">
        <v>1760</v>
      </c>
      <c r="C631" s="2" t="s">
        <v>1759</v>
      </c>
      <c r="D631" s="5"/>
      <c r="E631" s="5"/>
    </row>
    <row r="632">
      <c r="A632" s="2" t="s">
        <v>1761</v>
      </c>
      <c r="B632" s="2" t="s">
        <v>1762</v>
      </c>
      <c r="C632" s="2" t="s">
        <v>1763</v>
      </c>
      <c r="D632" s="5"/>
      <c r="E632" s="5"/>
    </row>
    <row r="633">
      <c r="A633" s="2" t="s">
        <v>1764</v>
      </c>
      <c r="B633" s="2" t="s">
        <v>1765</v>
      </c>
      <c r="C633" s="2" t="s">
        <v>1766</v>
      </c>
      <c r="D633" s="5"/>
      <c r="E633" s="5"/>
    </row>
    <row r="634">
      <c r="A634" s="2" t="s">
        <v>1767</v>
      </c>
      <c r="B634" s="2" t="s">
        <v>1768</v>
      </c>
      <c r="C634" s="2" t="s">
        <v>646</v>
      </c>
      <c r="D634" s="5"/>
      <c r="E634" s="5"/>
    </row>
    <row r="635">
      <c r="A635" s="2" t="s">
        <v>1767</v>
      </c>
      <c r="B635" s="2" t="s">
        <v>1769</v>
      </c>
      <c r="C635" s="2" t="s">
        <v>646</v>
      </c>
      <c r="D635" s="5"/>
      <c r="E635" s="5"/>
    </row>
    <row r="636">
      <c r="A636" s="2" t="s">
        <v>1770</v>
      </c>
      <c r="B636" s="2" t="s">
        <v>1771</v>
      </c>
      <c r="C636" s="2" t="s">
        <v>1772</v>
      </c>
      <c r="D636" s="5"/>
      <c r="E636" s="5"/>
    </row>
    <row r="637">
      <c r="A637" s="2" t="s">
        <v>1773</v>
      </c>
      <c r="B637" s="2" t="s">
        <v>1774</v>
      </c>
      <c r="C637" s="2" t="s">
        <v>1775</v>
      </c>
      <c r="D637" s="5"/>
      <c r="E637" s="5"/>
    </row>
    <row r="638">
      <c r="A638" s="2" t="s">
        <v>1776</v>
      </c>
      <c r="B638" s="2" t="s">
        <v>1777</v>
      </c>
      <c r="C638" s="2" t="s">
        <v>1778</v>
      </c>
      <c r="D638" s="5"/>
      <c r="E638" s="5"/>
    </row>
    <row r="639">
      <c r="A639" s="2" t="s">
        <v>1779</v>
      </c>
      <c r="B639" s="2" t="s">
        <v>1780</v>
      </c>
      <c r="C639" s="2" t="s">
        <v>1781</v>
      </c>
      <c r="D639" s="5"/>
      <c r="E639" s="5"/>
    </row>
    <row r="640">
      <c r="A640" s="2" t="s">
        <v>1782</v>
      </c>
      <c r="B640" s="2" t="s">
        <v>1783</v>
      </c>
      <c r="C640" s="2" t="s">
        <v>1784</v>
      </c>
      <c r="D640" s="5"/>
      <c r="E640" s="5"/>
    </row>
    <row r="641">
      <c r="A641" s="2" t="s">
        <v>1785</v>
      </c>
      <c r="B641" s="2" t="s">
        <v>1786</v>
      </c>
      <c r="C641" s="2" t="s">
        <v>1787</v>
      </c>
      <c r="D641" s="5"/>
      <c r="E641" s="5"/>
    </row>
    <row r="642">
      <c r="A642" s="2" t="s">
        <v>1788</v>
      </c>
      <c r="B642" s="2" t="s">
        <v>1789</v>
      </c>
      <c r="C642" s="2" t="s">
        <v>1789</v>
      </c>
      <c r="D642" s="5"/>
      <c r="E642" s="5"/>
    </row>
    <row r="643">
      <c r="A643" s="2" t="s">
        <v>1790</v>
      </c>
      <c r="B643" s="2" t="s">
        <v>1791</v>
      </c>
      <c r="C643" s="2" t="s">
        <v>1792</v>
      </c>
      <c r="D643" s="5"/>
      <c r="E643" s="5"/>
    </row>
    <row r="644">
      <c r="A644" s="2" t="s">
        <v>1793</v>
      </c>
      <c r="B644" s="2" t="s">
        <v>1794</v>
      </c>
      <c r="C644" s="2" t="s">
        <v>1795</v>
      </c>
      <c r="D644" s="5"/>
      <c r="E644" s="5"/>
    </row>
    <row r="645">
      <c r="A645" s="2" t="s">
        <v>1796</v>
      </c>
      <c r="B645" s="2" t="s">
        <v>1797</v>
      </c>
      <c r="C645" s="2" t="s">
        <v>1798</v>
      </c>
      <c r="D645" s="5"/>
      <c r="E645" s="5"/>
    </row>
    <row r="646">
      <c r="A646" s="2" t="s">
        <v>1799</v>
      </c>
      <c r="B646" s="2" t="s">
        <v>1800</v>
      </c>
      <c r="C646" s="2" t="s">
        <v>1801</v>
      </c>
      <c r="D646" s="5"/>
      <c r="E646" s="5"/>
    </row>
    <row r="647">
      <c r="A647" s="2" t="s">
        <v>1802</v>
      </c>
      <c r="B647" s="2" t="s">
        <v>1803</v>
      </c>
      <c r="C647" s="2" t="s">
        <v>1804</v>
      </c>
      <c r="D647" s="5"/>
      <c r="E647" s="5"/>
    </row>
    <row r="648">
      <c r="A648" s="2" t="s">
        <v>1805</v>
      </c>
      <c r="B648" s="2" t="s">
        <v>1806</v>
      </c>
      <c r="C648" s="2" t="s">
        <v>1807</v>
      </c>
      <c r="D648" s="5"/>
      <c r="E648" s="5"/>
    </row>
    <row r="649">
      <c r="A649" s="2" t="s">
        <v>1808</v>
      </c>
      <c r="B649" s="2" t="s">
        <v>1809</v>
      </c>
      <c r="C649" s="2" t="s">
        <v>1810</v>
      </c>
      <c r="D649" s="5"/>
      <c r="E649" s="5"/>
    </row>
    <row r="650">
      <c r="A650" s="2" t="s">
        <v>1811</v>
      </c>
      <c r="B650" s="2" t="s">
        <v>1812</v>
      </c>
      <c r="C650" s="2" t="s">
        <v>49</v>
      </c>
      <c r="D650" s="5"/>
      <c r="E650" s="5"/>
    </row>
    <row r="651">
      <c r="A651" s="2" t="s">
        <v>1813</v>
      </c>
      <c r="B651" s="2" t="s">
        <v>1814</v>
      </c>
      <c r="C651" s="2" t="s">
        <v>1815</v>
      </c>
      <c r="D651" s="5"/>
      <c r="E651" s="5"/>
    </row>
    <row r="652">
      <c r="A652" s="2" t="s">
        <v>1816</v>
      </c>
      <c r="B652" s="2" t="s">
        <v>1817</v>
      </c>
      <c r="C652" s="2" t="s">
        <v>1818</v>
      </c>
      <c r="D652" s="5"/>
      <c r="E652" s="5"/>
    </row>
    <row r="653">
      <c r="A653" s="2" t="s">
        <v>1819</v>
      </c>
      <c r="B653" s="2" t="s">
        <v>571</v>
      </c>
      <c r="C653" s="2" t="s">
        <v>49</v>
      </c>
      <c r="D653" s="5"/>
      <c r="E653" s="5"/>
    </row>
    <row r="654">
      <c r="A654" s="2" t="s">
        <v>1820</v>
      </c>
      <c r="B654" s="2" t="s">
        <v>1821</v>
      </c>
      <c r="C654" s="2" t="s">
        <v>1822</v>
      </c>
      <c r="D654" s="5"/>
      <c r="E654" s="5"/>
    </row>
    <row r="655">
      <c r="A655" s="2" t="s">
        <v>1823</v>
      </c>
      <c r="B655" s="2" t="s">
        <v>1824</v>
      </c>
      <c r="C655" s="2" t="s">
        <v>1825</v>
      </c>
      <c r="D655" s="5"/>
      <c r="E655" s="5"/>
    </row>
    <row r="656">
      <c r="A656" s="2" t="s">
        <v>1826</v>
      </c>
      <c r="B656" s="2" t="s">
        <v>1827</v>
      </c>
      <c r="C656" s="2" t="s">
        <v>1828</v>
      </c>
      <c r="D656" s="5"/>
      <c r="E656" s="5"/>
    </row>
    <row r="657">
      <c r="A657" s="2" t="s">
        <v>1829</v>
      </c>
      <c r="B657" s="2" t="s">
        <v>1830</v>
      </c>
      <c r="C657" s="2" t="s">
        <v>1829</v>
      </c>
      <c r="D657" s="5"/>
      <c r="E657" s="5"/>
    </row>
    <row r="658">
      <c r="A658" s="2" t="s">
        <v>1831</v>
      </c>
      <c r="B658" s="2" t="s">
        <v>1832</v>
      </c>
      <c r="C658" s="2" t="s">
        <v>1833</v>
      </c>
      <c r="D658" s="5"/>
      <c r="E658" s="5"/>
    </row>
    <row r="659">
      <c r="A659" s="2" t="s">
        <v>1834</v>
      </c>
      <c r="B659" s="2" t="s">
        <v>1835</v>
      </c>
      <c r="C659" s="2" t="s">
        <v>1834</v>
      </c>
      <c r="D659" s="5"/>
      <c r="E659" s="5"/>
    </row>
    <row r="660">
      <c r="A660" s="2" t="s">
        <v>1836</v>
      </c>
      <c r="B660" s="2" t="s">
        <v>1837</v>
      </c>
      <c r="C660" s="2" t="s">
        <v>1838</v>
      </c>
      <c r="D660" s="5"/>
      <c r="E660" s="5"/>
    </row>
    <row r="661">
      <c r="A661" s="2" t="s">
        <v>1839</v>
      </c>
      <c r="B661" s="2" t="s">
        <v>1840</v>
      </c>
      <c r="C661" s="2" t="s">
        <v>1839</v>
      </c>
      <c r="D661" s="5"/>
      <c r="E661" s="5"/>
    </row>
    <row r="662">
      <c r="A662" s="2" t="s">
        <v>1841</v>
      </c>
      <c r="B662" s="2" t="s">
        <v>1842</v>
      </c>
      <c r="C662" s="2" t="s">
        <v>1843</v>
      </c>
      <c r="D662" s="5"/>
      <c r="E662" s="5"/>
    </row>
    <row r="663">
      <c r="A663" s="2" t="s">
        <v>1844</v>
      </c>
      <c r="B663" s="2" t="s">
        <v>1845</v>
      </c>
      <c r="C663" s="2" t="s">
        <v>1846</v>
      </c>
      <c r="D663" s="5"/>
      <c r="E663" s="5"/>
    </row>
    <row r="664">
      <c r="A664" s="2" t="s">
        <v>1847</v>
      </c>
      <c r="B664" s="2" t="s">
        <v>1848</v>
      </c>
      <c r="C664" s="2" t="s">
        <v>1849</v>
      </c>
      <c r="D664" s="5"/>
      <c r="E664" s="5"/>
    </row>
    <row r="665">
      <c r="A665" s="2" t="s">
        <v>1850</v>
      </c>
      <c r="B665" s="2" t="s">
        <v>1851</v>
      </c>
      <c r="C665" s="2" t="s">
        <v>1852</v>
      </c>
      <c r="D665" s="5"/>
      <c r="E665" s="5"/>
    </row>
    <row r="666">
      <c r="A666" s="2" t="s">
        <v>1853</v>
      </c>
      <c r="B666" s="2" t="s">
        <v>1854</v>
      </c>
      <c r="C666" s="2" t="s">
        <v>1855</v>
      </c>
      <c r="D666" s="5"/>
      <c r="E666" s="5"/>
    </row>
    <row r="667">
      <c r="A667" s="2" t="s">
        <v>1856</v>
      </c>
      <c r="B667" s="2" t="s">
        <v>1857</v>
      </c>
      <c r="C667" s="2" t="s">
        <v>1858</v>
      </c>
      <c r="D667" s="5"/>
      <c r="E667" s="5"/>
    </row>
    <row r="668">
      <c r="A668" s="2" t="s">
        <v>1859</v>
      </c>
      <c r="B668" s="2" t="s">
        <v>1860</v>
      </c>
      <c r="C668" s="2" t="s">
        <v>1861</v>
      </c>
      <c r="D668" s="5"/>
      <c r="E668" s="5"/>
    </row>
    <row r="669">
      <c r="A669" s="2" t="s">
        <v>1862</v>
      </c>
      <c r="B669" s="2" t="s">
        <v>619</v>
      </c>
      <c r="C669" s="2" t="s">
        <v>1863</v>
      </c>
      <c r="D669" s="5"/>
      <c r="E669" s="5"/>
    </row>
    <row r="670">
      <c r="A670" s="2" t="s">
        <v>1862</v>
      </c>
      <c r="B670" s="2" t="s">
        <v>1864</v>
      </c>
      <c r="C670" s="2" t="s">
        <v>1865</v>
      </c>
      <c r="D670" s="5"/>
      <c r="E670" s="5"/>
    </row>
    <row r="671">
      <c r="A671" s="2" t="s">
        <v>1866</v>
      </c>
      <c r="B671" s="2" t="s">
        <v>1867</v>
      </c>
      <c r="C671" s="2" t="s">
        <v>49</v>
      </c>
      <c r="D671" s="5"/>
      <c r="E671" s="5"/>
    </row>
    <row r="672">
      <c r="A672" s="2" t="s">
        <v>1868</v>
      </c>
      <c r="B672" s="2" t="s">
        <v>1869</v>
      </c>
      <c r="C672" s="2" t="s">
        <v>1870</v>
      </c>
      <c r="D672" s="5"/>
      <c r="E672" s="5"/>
    </row>
    <row r="673">
      <c r="A673" s="2" t="s">
        <v>1871</v>
      </c>
      <c r="B673" s="2" t="s">
        <v>1872</v>
      </c>
      <c r="C673" s="2" t="s">
        <v>1873</v>
      </c>
      <c r="D673" s="5"/>
      <c r="E673" s="5"/>
    </row>
    <row r="674">
      <c r="A674" s="2" t="s">
        <v>1874</v>
      </c>
      <c r="B674" s="2" t="s">
        <v>1875</v>
      </c>
      <c r="C674" s="2" t="s">
        <v>1874</v>
      </c>
      <c r="D674" s="5"/>
      <c r="E674" s="5"/>
    </row>
    <row r="675">
      <c r="A675" s="2" t="s">
        <v>1876</v>
      </c>
      <c r="B675" s="2" t="s">
        <v>1877</v>
      </c>
      <c r="C675" s="2" t="s">
        <v>1878</v>
      </c>
      <c r="D675" s="5"/>
      <c r="E675" s="5"/>
    </row>
    <row r="676">
      <c r="A676" s="2" t="s">
        <v>1879</v>
      </c>
      <c r="B676" s="2" t="s">
        <v>1880</v>
      </c>
      <c r="C676" s="2" t="s">
        <v>1881</v>
      </c>
      <c r="D676" s="5"/>
      <c r="E676" s="5"/>
    </row>
    <row r="677">
      <c r="A677" s="2" t="s">
        <v>1882</v>
      </c>
      <c r="B677" s="2" t="s">
        <v>1883</v>
      </c>
      <c r="C677" s="2" t="s">
        <v>1882</v>
      </c>
      <c r="D677" s="5"/>
      <c r="E677" s="5"/>
    </row>
    <row r="678">
      <c r="A678" s="2" t="s">
        <v>1884</v>
      </c>
      <c r="B678" s="2" t="s">
        <v>1885</v>
      </c>
      <c r="C678" s="2" t="s">
        <v>1886</v>
      </c>
      <c r="D678" s="5"/>
      <c r="E678" s="5"/>
    </row>
    <row r="679">
      <c r="A679" s="2" t="s">
        <v>1887</v>
      </c>
      <c r="B679" s="2" t="s">
        <v>1888</v>
      </c>
      <c r="C679" s="2" t="s">
        <v>1889</v>
      </c>
      <c r="D679" s="5"/>
      <c r="E679" s="5"/>
    </row>
    <row r="680">
      <c r="A680" s="2" t="s">
        <v>1890</v>
      </c>
      <c r="B680" s="2" t="s">
        <v>1891</v>
      </c>
      <c r="C680" s="2" t="s">
        <v>1890</v>
      </c>
      <c r="D680" s="5"/>
      <c r="E680" s="5"/>
    </row>
    <row r="681">
      <c r="A681" s="2" t="s">
        <v>1892</v>
      </c>
      <c r="B681" s="2" t="s">
        <v>1893</v>
      </c>
      <c r="C681" s="2" t="s">
        <v>1894</v>
      </c>
      <c r="D681" s="5"/>
      <c r="E681" s="5"/>
    </row>
    <row r="682">
      <c r="A682" s="2" t="s">
        <v>1895</v>
      </c>
      <c r="B682" s="2" t="s">
        <v>1896</v>
      </c>
      <c r="C682" s="2" t="s">
        <v>1897</v>
      </c>
      <c r="D682" s="5"/>
      <c r="E682" s="5"/>
    </row>
    <row r="683">
      <c r="A683" s="2" t="s">
        <v>1898</v>
      </c>
      <c r="B683" s="2" t="s">
        <v>1899</v>
      </c>
      <c r="C683" s="2" t="s">
        <v>1900</v>
      </c>
      <c r="D683" s="5"/>
      <c r="E683" s="5"/>
    </row>
    <row r="684">
      <c r="A684" s="2" t="s">
        <v>1901</v>
      </c>
      <c r="B684" s="2" t="s">
        <v>1902</v>
      </c>
      <c r="C684" s="2" t="s">
        <v>1903</v>
      </c>
      <c r="D684" s="5"/>
      <c r="E684" s="5"/>
    </row>
    <row r="685">
      <c r="A685" s="2" t="s">
        <v>1904</v>
      </c>
      <c r="B685" s="2" t="s">
        <v>1905</v>
      </c>
      <c r="C685" s="2" t="s">
        <v>1906</v>
      </c>
      <c r="D685" s="5"/>
      <c r="E685" s="5"/>
    </row>
    <row r="686">
      <c r="A686" s="2" t="s">
        <v>1907</v>
      </c>
      <c r="B686" s="2" t="s">
        <v>1908</v>
      </c>
      <c r="C686" s="2" t="s">
        <v>1909</v>
      </c>
      <c r="D686" s="5"/>
      <c r="E686" s="5"/>
    </row>
    <row r="687">
      <c r="A687" s="2" t="s">
        <v>1910</v>
      </c>
      <c r="B687" s="2" t="s">
        <v>1911</v>
      </c>
      <c r="C687" s="2" t="s">
        <v>1912</v>
      </c>
      <c r="D687" s="5"/>
      <c r="E687" s="5"/>
    </row>
    <row r="688">
      <c r="A688" s="2" t="s">
        <v>1913</v>
      </c>
      <c r="B688" s="2" t="s">
        <v>1914</v>
      </c>
      <c r="C688" s="2" t="s">
        <v>1915</v>
      </c>
      <c r="D688" s="5"/>
      <c r="E688" s="5"/>
    </row>
    <row r="689">
      <c r="A689" s="2" t="s">
        <v>1916</v>
      </c>
      <c r="B689" s="2" t="s">
        <v>253</v>
      </c>
      <c r="C689" s="2" t="s">
        <v>254</v>
      </c>
      <c r="D689" s="5"/>
      <c r="E689" s="5"/>
    </row>
    <row r="690">
      <c r="A690" s="2" t="s">
        <v>1917</v>
      </c>
      <c r="B690" s="2" t="s">
        <v>1918</v>
      </c>
      <c r="C690" s="2" t="s">
        <v>1919</v>
      </c>
      <c r="D690" s="5"/>
      <c r="E690" s="5"/>
    </row>
    <row r="691">
      <c r="A691" s="2" t="s">
        <v>1920</v>
      </c>
      <c r="B691" s="2" t="s">
        <v>1921</v>
      </c>
      <c r="C691" s="2" t="s">
        <v>1922</v>
      </c>
      <c r="D691" s="5"/>
      <c r="E691" s="5"/>
    </row>
    <row r="692">
      <c r="A692" s="2" t="s">
        <v>1923</v>
      </c>
      <c r="B692" s="2" t="s">
        <v>1924</v>
      </c>
      <c r="C692" s="2" t="s">
        <v>1925</v>
      </c>
      <c r="D692" s="5"/>
      <c r="E692" s="5"/>
    </row>
    <row r="693">
      <c r="A693" s="2" t="s">
        <v>1926</v>
      </c>
      <c r="B693" s="2" t="s">
        <v>1927</v>
      </c>
      <c r="C693" s="2" t="s">
        <v>1928</v>
      </c>
      <c r="D693" s="5"/>
      <c r="E693" s="5"/>
    </row>
    <row r="694">
      <c r="A694" s="2" t="s">
        <v>1929</v>
      </c>
      <c r="B694" s="2" t="s">
        <v>1930</v>
      </c>
      <c r="C694" s="2" t="s">
        <v>49</v>
      </c>
      <c r="D694" s="5"/>
      <c r="E694" s="5"/>
    </row>
    <row r="695">
      <c r="A695" s="2" t="s">
        <v>1931</v>
      </c>
      <c r="B695" s="2" t="s">
        <v>1932</v>
      </c>
      <c r="C695" s="2" t="s">
        <v>1933</v>
      </c>
      <c r="D695" s="5"/>
      <c r="E695" s="5"/>
    </row>
    <row r="696">
      <c r="A696" s="2" t="s">
        <v>1934</v>
      </c>
      <c r="B696" s="2" t="s">
        <v>1935</v>
      </c>
      <c r="C696" s="2" t="s">
        <v>1936</v>
      </c>
      <c r="D696" s="5"/>
      <c r="E696" s="5"/>
    </row>
    <row r="697">
      <c r="A697" s="2" t="s">
        <v>1937</v>
      </c>
      <c r="B697" s="2" t="s">
        <v>1938</v>
      </c>
      <c r="C697" s="2" t="s">
        <v>1939</v>
      </c>
      <c r="D697" s="5"/>
      <c r="E697" s="5"/>
    </row>
    <row r="698">
      <c r="A698" s="2" t="s">
        <v>1940</v>
      </c>
      <c r="B698" s="2" t="s">
        <v>1941</v>
      </c>
      <c r="C698" s="2" t="s">
        <v>1942</v>
      </c>
      <c r="D698" s="5"/>
      <c r="E698" s="5"/>
    </row>
    <row r="699">
      <c r="A699" s="2" t="s">
        <v>1943</v>
      </c>
      <c r="B699" s="2" t="s">
        <v>1944</v>
      </c>
      <c r="C699" s="2" t="s">
        <v>1945</v>
      </c>
      <c r="D699" s="5"/>
      <c r="E699" s="5"/>
    </row>
    <row r="700">
      <c r="A700" s="2" t="s">
        <v>1946</v>
      </c>
      <c r="B700" s="2" t="s">
        <v>1947</v>
      </c>
      <c r="C700" s="7"/>
      <c r="D700" s="7"/>
      <c r="E700" s="7"/>
    </row>
    <row r="701">
      <c r="A701" s="2" t="s">
        <v>1948</v>
      </c>
      <c r="B701" s="2" t="s">
        <v>1949</v>
      </c>
      <c r="C701" s="2" t="s">
        <v>1950</v>
      </c>
      <c r="D701" s="5"/>
      <c r="E701" s="5"/>
    </row>
    <row r="702">
      <c r="A702" s="2" t="s">
        <v>1951</v>
      </c>
      <c r="B702" s="2" t="s">
        <v>1952</v>
      </c>
      <c r="C702" s="2" t="s">
        <v>1953</v>
      </c>
      <c r="D702" s="5"/>
      <c r="E702" s="5"/>
    </row>
    <row r="703">
      <c r="A703" s="2" t="s">
        <v>1954</v>
      </c>
      <c r="B703" s="2" t="s">
        <v>1955</v>
      </c>
      <c r="C703" s="2" t="s">
        <v>1956</v>
      </c>
      <c r="D703" s="5"/>
      <c r="E703" s="5"/>
    </row>
    <row r="704">
      <c r="A704" s="2" t="s">
        <v>1957</v>
      </c>
      <c r="B704" s="2" t="s">
        <v>1958</v>
      </c>
      <c r="C704" s="2" t="s">
        <v>1959</v>
      </c>
      <c r="D704" s="5"/>
      <c r="E704" s="5"/>
    </row>
    <row r="705">
      <c r="A705" s="2" t="s">
        <v>1960</v>
      </c>
      <c r="B705" s="2" t="s">
        <v>1961</v>
      </c>
      <c r="C705" s="2" t="s">
        <v>1962</v>
      </c>
      <c r="D705" s="5"/>
      <c r="E705" s="5"/>
    </row>
    <row r="706">
      <c r="A706" s="2" t="s">
        <v>1963</v>
      </c>
      <c r="B706" s="2" t="s">
        <v>1964</v>
      </c>
      <c r="C706" s="2" t="s">
        <v>1965</v>
      </c>
      <c r="D706" s="5"/>
      <c r="E706" s="5"/>
    </row>
    <row r="707">
      <c r="A707" s="2" t="s">
        <v>1966</v>
      </c>
      <c r="B707" s="2" t="s">
        <v>1967</v>
      </c>
      <c r="C707" s="2" t="s">
        <v>1968</v>
      </c>
      <c r="D707" s="5"/>
      <c r="E707" s="5"/>
    </row>
    <row r="708">
      <c r="A708" s="2" t="s">
        <v>1969</v>
      </c>
      <c r="B708" s="2" t="s">
        <v>1970</v>
      </c>
      <c r="C708" s="2" t="s">
        <v>1971</v>
      </c>
      <c r="D708" s="5"/>
      <c r="E708" s="5"/>
    </row>
    <row r="709">
      <c r="A709" s="2" t="s">
        <v>1972</v>
      </c>
      <c r="B709" s="2" t="s">
        <v>1973</v>
      </c>
      <c r="C709" s="2" t="s">
        <v>1974</v>
      </c>
      <c r="D709" s="5"/>
      <c r="E709" s="5"/>
    </row>
    <row r="710">
      <c r="A710" s="2" t="s">
        <v>1975</v>
      </c>
      <c r="B710" s="2" t="s">
        <v>14</v>
      </c>
      <c r="C710" s="2" t="s">
        <v>15</v>
      </c>
      <c r="D710" s="5"/>
      <c r="E710" s="5"/>
    </row>
    <row r="711">
      <c r="A711" s="2" t="s">
        <v>1976</v>
      </c>
      <c r="B711" s="2" t="s">
        <v>1977</v>
      </c>
      <c r="C711" s="2" t="s">
        <v>1978</v>
      </c>
      <c r="D711" s="5"/>
      <c r="E711" s="5"/>
    </row>
    <row r="712">
      <c r="A712" s="2" t="s">
        <v>1979</v>
      </c>
      <c r="B712" s="2" t="s">
        <v>1980</v>
      </c>
      <c r="C712" s="7"/>
      <c r="D712" s="7"/>
      <c r="E712" s="7"/>
    </row>
    <row r="713">
      <c r="A713" s="2" t="s">
        <v>1981</v>
      </c>
      <c r="B713" s="2" t="s">
        <v>1982</v>
      </c>
      <c r="C713" s="2" t="s">
        <v>1983</v>
      </c>
      <c r="D713" s="5"/>
      <c r="E713" s="5"/>
    </row>
    <row r="714">
      <c r="A714" s="2" t="s">
        <v>1984</v>
      </c>
      <c r="B714" s="2" t="s">
        <v>1985</v>
      </c>
      <c r="C714" s="2" t="s">
        <v>49</v>
      </c>
      <c r="D714" s="5"/>
      <c r="E714" s="5"/>
    </row>
    <row r="715">
      <c r="A715" s="2" t="s">
        <v>1986</v>
      </c>
      <c r="B715" s="2" t="s">
        <v>1987</v>
      </c>
      <c r="C715" s="2" t="s">
        <v>49</v>
      </c>
      <c r="D715" s="5"/>
      <c r="E715" s="5"/>
    </row>
    <row r="716">
      <c r="A716" s="2" t="s">
        <v>1988</v>
      </c>
      <c r="B716" s="2" t="s">
        <v>1989</v>
      </c>
      <c r="C716" s="2" t="s">
        <v>1988</v>
      </c>
      <c r="D716" s="5"/>
      <c r="E716" s="5"/>
    </row>
    <row r="717">
      <c r="A717" s="2" t="s">
        <v>1990</v>
      </c>
      <c r="B717" s="2" t="s">
        <v>1991</v>
      </c>
      <c r="C717" s="2" t="s">
        <v>49</v>
      </c>
      <c r="D717" s="5"/>
      <c r="E717" s="5"/>
    </row>
    <row r="718">
      <c r="A718" s="2" t="s">
        <v>1992</v>
      </c>
      <c r="B718" s="2" t="s">
        <v>1993</v>
      </c>
      <c r="C718" s="2" t="s">
        <v>49</v>
      </c>
      <c r="D718" s="5"/>
      <c r="E718" s="5"/>
    </row>
    <row r="719">
      <c r="A719" s="2" t="s">
        <v>1994</v>
      </c>
      <c r="B719" s="2" t="s">
        <v>1286</v>
      </c>
      <c r="C719" s="2" t="s">
        <v>1287</v>
      </c>
      <c r="D719" s="5"/>
      <c r="E719" s="5"/>
    </row>
    <row r="720">
      <c r="A720" s="2" t="s">
        <v>1995</v>
      </c>
      <c r="B720" s="2" t="s">
        <v>1348</v>
      </c>
      <c r="C720" s="2" t="s">
        <v>1996</v>
      </c>
      <c r="D720" s="5"/>
      <c r="E720" s="5"/>
    </row>
    <row r="721">
      <c r="A721" s="2" t="s">
        <v>1997</v>
      </c>
      <c r="B721" s="2" t="s">
        <v>1998</v>
      </c>
      <c r="C721" s="2" t="s">
        <v>1999</v>
      </c>
      <c r="D721" s="5"/>
      <c r="E721" s="5"/>
    </row>
    <row r="722">
      <c r="A722" s="2" t="s">
        <v>2000</v>
      </c>
      <c r="B722" s="2" t="s">
        <v>2001</v>
      </c>
      <c r="C722" s="2" t="s">
        <v>2002</v>
      </c>
      <c r="D722" s="5"/>
      <c r="E722" s="5"/>
    </row>
    <row r="723">
      <c r="A723" s="2" t="s">
        <v>2003</v>
      </c>
      <c r="B723" s="2" t="s">
        <v>2004</v>
      </c>
      <c r="C723" s="2" t="s">
        <v>2005</v>
      </c>
      <c r="D723" s="5"/>
      <c r="E723" s="5"/>
    </row>
    <row r="724">
      <c r="A724" s="2" t="s">
        <v>2006</v>
      </c>
      <c r="B724" s="2" t="s">
        <v>2007</v>
      </c>
      <c r="C724" s="2" t="s">
        <v>2008</v>
      </c>
      <c r="D724" s="5"/>
      <c r="E724" s="5"/>
    </row>
    <row r="725">
      <c r="A725" s="2" t="s">
        <v>2009</v>
      </c>
      <c r="B725" s="2" t="s">
        <v>2010</v>
      </c>
      <c r="C725" s="2" t="s">
        <v>2011</v>
      </c>
      <c r="D725" s="5"/>
      <c r="E725" s="5"/>
    </row>
    <row r="726">
      <c r="A726" s="2" t="s">
        <v>2012</v>
      </c>
      <c r="B726" s="2" t="s">
        <v>2013</v>
      </c>
      <c r="C726" s="2" t="s">
        <v>2014</v>
      </c>
      <c r="D726" s="5"/>
      <c r="E726" s="5"/>
    </row>
    <row r="727">
      <c r="A727" s="2" t="s">
        <v>2015</v>
      </c>
      <c r="B727" s="2" t="s">
        <v>657</v>
      </c>
      <c r="C727" s="2" t="s">
        <v>658</v>
      </c>
      <c r="D727" s="5"/>
      <c r="E727" s="5"/>
    </row>
    <row r="728">
      <c r="A728" s="2" t="s">
        <v>2016</v>
      </c>
      <c r="B728" s="2" t="s">
        <v>2017</v>
      </c>
      <c r="C728" s="2" t="s">
        <v>750</v>
      </c>
      <c r="D728" s="5"/>
      <c r="E728" s="5"/>
    </row>
    <row r="729">
      <c r="A729" s="2" t="s">
        <v>2018</v>
      </c>
      <c r="B729" s="2" t="s">
        <v>2019</v>
      </c>
      <c r="C729" s="2" t="s">
        <v>2020</v>
      </c>
      <c r="D729" s="5"/>
      <c r="E729" s="5"/>
    </row>
    <row r="730">
      <c r="A730" s="2" t="s">
        <v>2021</v>
      </c>
      <c r="B730" s="2" t="s">
        <v>2022</v>
      </c>
      <c r="C730" s="2" t="s">
        <v>2023</v>
      </c>
      <c r="D730" s="5"/>
      <c r="E730" s="5"/>
    </row>
    <row r="731">
      <c r="A731" s="2" t="s">
        <v>2024</v>
      </c>
      <c r="B731" s="2" t="s">
        <v>2025</v>
      </c>
      <c r="C731" s="2" t="s">
        <v>2026</v>
      </c>
      <c r="D731" s="5"/>
      <c r="E731" s="5"/>
    </row>
    <row r="732">
      <c r="A732" s="2" t="s">
        <v>2027</v>
      </c>
      <c r="B732" s="2" t="s">
        <v>2028</v>
      </c>
      <c r="C732" s="2" t="s">
        <v>2029</v>
      </c>
      <c r="D732" s="5"/>
      <c r="E732" s="5"/>
    </row>
    <row r="733">
      <c r="A733" s="2" t="s">
        <v>2030</v>
      </c>
      <c r="B733" s="2" t="s">
        <v>2031</v>
      </c>
      <c r="C733" s="2" t="s">
        <v>2032</v>
      </c>
      <c r="D733" s="5"/>
      <c r="E733" s="5"/>
    </row>
    <row r="734">
      <c r="A734" s="2" t="s">
        <v>2033</v>
      </c>
      <c r="B734" s="2" t="s">
        <v>2034</v>
      </c>
      <c r="C734" s="2" t="s">
        <v>2035</v>
      </c>
      <c r="D734" s="5"/>
      <c r="E734" s="5"/>
    </row>
    <row r="735">
      <c r="A735" s="2" t="s">
        <v>2036</v>
      </c>
      <c r="B735" s="2" t="s">
        <v>2037</v>
      </c>
      <c r="C735" s="2" t="s">
        <v>2038</v>
      </c>
      <c r="D735" s="5"/>
      <c r="E735" s="5"/>
    </row>
    <row r="736">
      <c r="A736" s="2" t="s">
        <v>2039</v>
      </c>
      <c r="B736" s="2" t="s">
        <v>2040</v>
      </c>
      <c r="C736" s="2" t="s">
        <v>2041</v>
      </c>
      <c r="D736" s="5"/>
      <c r="E736" s="5"/>
    </row>
    <row r="737">
      <c r="A737" s="2" t="s">
        <v>2042</v>
      </c>
      <c r="B737" s="2" t="s">
        <v>2043</v>
      </c>
      <c r="C737" s="2" t="s">
        <v>49</v>
      </c>
      <c r="D737" s="5"/>
      <c r="E737" s="5"/>
    </row>
    <row r="738">
      <c r="A738" s="2" t="s">
        <v>2044</v>
      </c>
      <c r="B738" s="2" t="s">
        <v>2045</v>
      </c>
      <c r="C738" s="2" t="s">
        <v>2046</v>
      </c>
      <c r="D738" s="5"/>
      <c r="E738" s="5"/>
    </row>
    <row r="739">
      <c r="A739" s="2" t="s">
        <v>2047</v>
      </c>
      <c r="B739" s="2" t="s">
        <v>2048</v>
      </c>
      <c r="C739" s="2" t="s">
        <v>2049</v>
      </c>
      <c r="D739" s="5"/>
      <c r="E739" s="5"/>
    </row>
    <row r="740">
      <c r="A740" s="2" t="s">
        <v>2050</v>
      </c>
      <c r="B740" s="2" t="s">
        <v>2051</v>
      </c>
      <c r="C740" s="2" t="s">
        <v>2050</v>
      </c>
      <c r="D740" s="5"/>
      <c r="E740" s="5"/>
    </row>
    <row r="741">
      <c r="A741" s="2" t="s">
        <v>2052</v>
      </c>
      <c r="B741" s="2" t="s">
        <v>2053</v>
      </c>
      <c r="C741" s="2" t="s">
        <v>2054</v>
      </c>
      <c r="D741" s="5"/>
      <c r="E741" s="5"/>
    </row>
    <row r="742">
      <c r="A742" s="2" t="s">
        <v>2055</v>
      </c>
      <c r="B742" s="2" t="s">
        <v>2056</v>
      </c>
      <c r="C742" s="2" t="s">
        <v>2057</v>
      </c>
      <c r="D742" s="5"/>
      <c r="E742" s="5"/>
    </row>
    <row r="743">
      <c r="A743" s="2" t="s">
        <v>2058</v>
      </c>
      <c r="B743" s="2" t="s">
        <v>2059</v>
      </c>
      <c r="C743" s="2" t="s">
        <v>2060</v>
      </c>
      <c r="D743" s="5"/>
      <c r="E743" s="5"/>
    </row>
    <row r="744">
      <c r="A744" s="2" t="s">
        <v>2061</v>
      </c>
      <c r="B744" s="2" t="s">
        <v>2062</v>
      </c>
      <c r="C744" s="2" t="s">
        <v>2063</v>
      </c>
      <c r="D744" s="5"/>
      <c r="E744" s="5"/>
    </row>
    <row r="745">
      <c r="A745" s="2" t="s">
        <v>2064</v>
      </c>
      <c r="B745" s="2" t="s">
        <v>2065</v>
      </c>
      <c r="C745" s="2" t="s">
        <v>2066</v>
      </c>
      <c r="D745" s="5"/>
      <c r="E745" s="5"/>
    </row>
    <row r="746">
      <c r="A746" s="2" t="s">
        <v>2067</v>
      </c>
      <c r="B746" s="2" t="s">
        <v>2068</v>
      </c>
      <c r="C746" s="2" t="s">
        <v>2069</v>
      </c>
      <c r="D746" s="5"/>
      <c r="E746" s="5"/>
    </row>
    <row r="747">
      <c r="A747" s="2" t="s">
        <v>2070</v>
      </c>
      <c r="B747" s="2" t="s">
        <v>2071</v>
      </c>
      <c r="C747" s="2" t="s">
        <v>2072</v>
      </c>
      <c r="D747" s="5"/>
      <c r="E747" s="5"/>
    </row>
    <row r="748">
      <c r="A748" s="2" t="s">
        <v>2073</v>
      </c>
      <c r="B748" s="2" t="s">
        <v>2074</v>
      </c>
      <c r="C748" s="2" t="s">
        <v>49</v>
      </c>
      <c r="D748" s="5"/>
      <c r="E748" s="5"/>
    </row>
    <row r="749">
      <c r="A749" s="2" t="s">
        <v>2075</v>
      </c>
      <c r="B749" s="2" t="s">
        <v>2076</v>
      </c>
      <c r="C749" s="7"/>
      <c r="D749" s="7"/>
      <c r="E749" s="7"/>
    </row>
    <row r="750">
      <c r="A750" s="2" t="s">
        <v>2077</v>
      </c>
      <c r="B750" s="2" t="s">
        <v>2078</v>
      </c>
      <c r="C750" s="2" t="s">
        <v>2079</v>
      </c>
      <c r="D750" s="5"/>
      <c r="E750" s="5"/>
    </row>
    <row r="751">
      <c r="A751" s="2" t="s">
        <v>2080</v>
      </c>
      <c r="B751" s="2" t="s">
        <v>2081</v>
      </c>
      <c r="C751" s="2" t="s">
        <v>2082</v>
      </c>
      <c r="D751" s="5"/>
      <c r="E751" s="5"/>
    </row>
    <row r="752">
      <c r="A752" s="2" t="s">
        <v>2083</v>
      </c>
      <c r="B752" s="2" t="s">
        <v>2084</v>
      </c>
      <c r="C752" s="2" t="s">
        <v>2085</v>
      </c>
      <c r="D752" s="5"/>
      <c r="E752" s="5"/>
    </row>
    <row r="753">
      <c r="A753" s="2" t="s">
        <v>2086</v>
      </c>
      <c r="B753" s="2" t="s">
        <v>2087</v>
      </c>
      <c r="C753" s="2" t="s">
        <v>2088</v>
      </c>
      <c r="D753" s="5"/>
      <c r="E753" s="5"/>
    </row>
    <row r="754">
      <c r="A754" s="2" t="s">
        <v>2089</v>
      </c>
      <c r="B754" s="2" t="s">
        <v>2090</v>
      </c>
      <c r="C754" s="2" t="s">
        <v>2091</v>
      </c>
      <c r="D754" s="5"/>
      <c r="E754" s="5"/>
    </row>
    <row r="755">
      <c r="A755" s="2" t="s">
        <v>2092</v>
      </c>
      <c r="B755" s="2" t="s">
        <v>2093</v>
      </c>
      <c r="C755" s="2" t="s">
        <v>2094</v>
      </c>
      <c r="D755" s="5"/>
      <c r="E755" s="5"/>
    </row>
    <row r="756">
      <c r="A756" s="2" t="s">
        <v>2095</v>
      </c>
      <c r="B756" s="2" t="s">
        <v>2096</v>
      </c>
      <c r="C756" s="7"/>
      <c r="D756" s="7"/>
      <c r="E756" s="7"/>
    </row>
    <row r="757">
      <c r="A757" s="2" t="s">
        <v>2095</v>
      </c>
      <c r="B757" s="2" t="s">
        <v>2097</v>
      </c>
      <c r="C757" s="2" t="s">
        <v>2098</v>
      </c>
      <c r="D757" s="5"/>
      <c r="E757" s="5"/>
    </row>
    <row r="758">
      <c r="A758" s="2" t="s">
        <v>2099</v>
      </c>
      <c r="B758" s="2" t="s">
        <v>2100</v>
      </c>
      <c r="C758" s="2" t="s">
        <v>2101</v>
      </c>
      <c r="D758" s="5"/>
      <c r="E758" s="5"/>
    </row>
    <row r="759">
      <c r="A759" s="2" t="s">
        <v>2099</v>
      </c>
      <c r="B759" s="2" t="s">
        <v>2102</v>
      </c>
      <c r="C759" s="2" t="s">
        <v>2101</v>
      </c>
      <c r="D759" s="5"/>
      <c r="E759" s="5"/>
    </row>
    <row r="760">
      <c r="A760" s="2" t="s">
        <v>2103</v>
      </c>
      <c r="B760" s="2" t="s">
        <v>2104</v>
      </c>
      <c r="C760" s="2" t="s">
        <v>2105</v>
      </c>
      <c r="D760" s="5"/>
      <c r="E760" s="5"/>
    </row>
    <row r="761">
      <c r="A761" s="2" t="s">
        <v>2106</v>
      </c>
      <c r="B761" s="2" t="s">
        <v>2107</v>
      </c>
      <c r="C761" s="2" t="s">
        <v>2108</v>
      </c>
      <c r="D761" s="5"/>
      <c r="E761" s="5"/>
    </row>
    <row r="762">
      <c r="A762" s="2" t="s">
        <v>2109</v>
      </c>
      <c r="B762" s="2" t="s">
        <v>2110</v>
      </c>
      <c r="C762" s="2" t="s">
        <v>2111</v>
      </c>
      <c r="D762" s="5"/>
      <c r="E762" s="5"/>
    </row>
    <row r="763">
      <c r="A763" s="2" t="s">
        <v>2112</v>
      </c>
      <c r="B763" s="2" t="s">
        <v>2113</v>
      </c>
      <c r="C763" s="2" t="s">
        <v>2114</v>
      </c>
      <c r="D763" s="5"/>
      <c r="E763" s="5"/>
    </row>
    <row r="764">
      <c r="A764" s="2" t="s">
        <v>2115</v>
      </c>
      <c r="B764" s="2" t="s">
        <v>2116</v>
      </c>
      <c r="C764" s="2" t="s">
        <v>2117</v>
      </c>
      <c r="D764" s="5"/>
      <c r="E764" s="5"/>
    </row>
    <row r="765">
      <c r="A765" s="2" t="s">
        <v>2118</v>
      </c>
      <c r="B765" s="2" t="s">
        <v>2119</v>
      </c>
      <c r="C765" s="2" t="s">
        <v>2120</v>
      </c>
      <c r="D765" s="5"/>
      <c r="E765" s="5"/>
    </row>
    <row r="766">
      <c r="A766" s="2" t="s">
        <v>2121</v>
      </c>
      <c r="B766" s="2" t="s">
        <v>2122</v>
      </c>
      <c r="C766" s="2" t="s">
        <v>2123</v>
      </c>
      <c r="D766" s="5"/>
      <c r="E766" s="5"/>
    </row>
    <row r="767">
      <c r="A767" s="2" t="s">
        <v>2124</v>
      </c>
      <c r="B767" s="2" t="s">
        <v>2125</v>
      </c>
      <c r="C767" s="2" t="s">
        <v>2126</v>
      </c>
      <c r="D767" s="5"/>
      <c r="E767" s="5"/>
    </row>
    <row r="768">
      <c r="A768" s="2" t="s">
        <v>2127</v>
      </c>
      <c r="B768" s="2" t="s">
        <v>2128</v>
      </c>
      <c r="C768" s="2" t="s">
        <v>2129</v>
      </c>
      <c r="D768" s="5"/>
      <c r="E768" s="5"/>
    </row>
    <row r="769">
      <c r="A769" s="2" t="s">
        <v>2130</v>
      </c>
      <c r="B769" s="2" t="s">
        <v>2131</v>
      </c>
      <c r="C769" s="2" t="s">
        <v>2132</v>
      </c>
      <c r="D769" s="5"/>
      <c r="E769" s="5"/>
    </row>
    <row r="770">
      <c r="A770" s="2" t="s">
        <v>2133</v>
      </c>
      <c r="B770" s="2" t="s">
        <v>2134</v>
      </c>
      <c r="C770" s="2" t="s">
        <v>2135</v>
      </c>
      <c r="D770" s="5"/>
      <c r="E770" s="5"/>
    </row>
    <row r="771">
      <c r="A771" s="2" t="s">
        <v>2136</v>
      </c>
      <c r="B771" s="2" t="s">
        <v>2137</v>
      </c>
      <c r="C771" s="2" t="s">
        <v>2138</v>
      </c>
      <c r="D771" s="5"/>
      <c r="E771" s="5"/>
    </row>
    <row r="772">
      <c r="A772" s="2" t="s">
        <v>2139</v>
      </c>
      <c r="B772" s="2" t="s">
        <v>2140</v>
      </c>
      <c r="C772" s="2" t="s">
        <v>2141</v>
      </c>
      <c r="D772" s="5"/>
      <c r="E772" s="5"/>
    </row>
    <row r="773">
      <c r="A773" s="2" t="s">
        <v>2142</v>
      </c>
      <c r="B773" s="2" t="s">
        <v>2143</v>
      </c>
      <c r="C773" s="2" t="s">
        <v>2144</v>
      </c>
      <c r="D773" s="5"/>
      <c r="E773" s="5"/>
    </row>
    <row r="774">
      <c r="A774" s="2" t="s">
        <v>2145</v>
      </c>
      <c r="B774" s="2" t="s">
        <v>2146</v>
      </c>
      <c r="C774" s="2" t="s">
        <v>2147</v>
      </c>
      <c r="D774" s="5"/>
      <c r="E774" s="5"/>
    </row>
    <row r="775">
      <c r="A775" s="2" t="s">
        <v>2148</v>
      </c>
      <c r="B775" s="2" t="s">
        <v>2149</v>
      </c>
      <c r="C775" s="2" t="s">
        <v>2150</v>
      </c>
      <c r="D775" s="5"/>
      <c r="E775" s="5"/>
    </row>
    <row r="776">
      <c r="A776" s="2" t="s">
        <v>2151</v>
      </c>
      <c r="B776" s="2" t="s">
        <v>2152</v>
      </c>
      <c r="C776" s="2" t="s">
        <v>2153</v>
      </c>
      <c r="D776" s="5"/>
      <c r="E776" s="5"/>
    </row>
    <row r="777">
      <c r="A777" s="2" t="s">
        <v>2154</v>
      </c>
      <c r="B777" s="2" t="s">
        <v>2155</v>
      </c>
      <c r="C777" s="2" t="s">
        <v>2156</v>
      </c>
      <c r="D777" s="5"/>
      <c r="E777" s="5"/>
    </row>
    <row r="778">
      <c r="A778" s="2" t="s">
        <v>2157</v>
      </c>
      <c r="B778" s="2" t="s">
        <v>2158</v>
      </c>
      <c r="C778" s="2" t="s">
        <v>2159</v>
      </c>
      <c r="D778" s="5"/>
      <c r="E778" s="5"/>
    </row>
    <row r="779">
      <c r="A779" s="2" t="s">
        <v>2160</v>
      </c>
      <c r="B779" s="2" t="s">
        <v>2161</v>
      </c>
      <c r="C779" s="2" t="s">
        <v>2162</v>
      </c>
      <c r="D779" s="5"/>
      <c r="E779" s="5"/>
    </row>
    <row r="780">
      <c r="A780" s="2" t="s">
        <v>2163</v>
      </c>
      <c r="B780" s="2" t="s">
        <v>2164</v>
      </c>
      <c r="C780" s="2" t="s">
        <v>2165</v>
      </c>
      <c r="D780" s="5"/>
      <c r="E780" s="5"/>
    </row>
    <row r="781">
      <c r="A781" s="2" t="s">
        <v>2166</v>
      </c>
      <c r="B781" s="2" t="s">
        <v>2167</v>
      </c>
      <c r="C781" s="2" t="s">
        <v>2168</v>
      </c>
      <c r="D781" s="5"/>
      <c r="E781" s="5"/>
    </row>
    <row r="782">
      <c r="A782" s="2" t="s">
        <v>2169</v>
      </c>
      <c r="B782" s="2" t="s">
        <v>2170</v>
      </c>
      <c r="C782" s="2" t="s">
        <v>2171</v>
      </c>
      <c r="D782" s="5"/>
      <c r="E782" s="5"/>
    </row>
    <row r="783">
      <c r="A783" s="2" t="s">
        <v>2172</v>
      </c>
      <c r="B783" s="2" t="s">
        <v>2173</v>
      </c>
      <c r="C783" s="2" t="s">
        <v>770</v>
      </c>
      <c r="D783" s="5"/>
      <c r="E783" s="5"/>
    </row>
    <row r="784">
      <c r="A784" s="2" t="s">
        <v>2174</v>
      </c>
      <c r="B784" s="2" t="s">
        <v>2175</v>
      </c>
      <c r="C784" s="2" t="s">
        <v>2174</v>
      </c>
      <c r="D784" s="5"/>
      <c r="E784" s="5"/>
    </row>
    <row r="785">
      <c r="A785" s="2" t="s">
        <v>2176</v>
      </c>
      <c r="B785" s="2" t="s">
        <v>2177</v>
      </c>
      <c r="C785" s="2" t="s">
        <v>2178</v>
      </c>
      <c r="D785" s="5"/>
      <c r="E785" s="5"/>
    </row>
    <row r="786">
      <c r="A786" s="2" t="s">
        <v>2179</v>
      </c>
      <c r="B786" s="2" t="s">
        <v>2180</v>
      </c>
      <c r="C786" s="2" t="s">
        <v>2181</v>
      </c>
      <c r="D786" s="5"/>
      <c r="E786" s="5"/>
    </row>
    <row r="787">
      <c r="A787" s="2" t="s">
        <v>2182</v>
      </c>
      <c r="B787" s="2" t="s">
        <v>2183</v>
      </c>
      <c r="C787" s="2" t="s">
        <v>2184</v>
      </c>
      <c r="D787" s="5"/>
      <c r="E787" s="5"/>
    </row>
    <row r="788">
      <c r="A788" s="2" t="s">
        <v>2185</v>
      </c>
      <c r="B788" s="2" t="s">
        <v>2186</v>
      </c>
      <c r="C788" s="2" t="s">
        <v>49</v>
      </c>
      <c r="D788" s="5"/>
      <c r="E788" s="5"/>
    </row>
    <row r="789">
      <c r="A789" s="2" t="s">
        <v>2187</v>
      </c>
      <c r="B789" s="2" t="s">
        <v>2188</v>
      </c>
      <c r="C789" s="2" t="s">
        <v>2189</v>
      </c>
      <c r="D789" s="5"/>
      <c r="E789" s="5"/>
    </row>
    <row r="790">
      <c r="A790" s="2" t="s">
        <v>2190</v>
      </c>
      <c r="B790" s="2" t="s">
        <v>2191</v>
      </c>
      <c r="C790" s="2" t="s">
        <v>2192</v>
      </c>
      <c r="D790" s="5"/>
      <c r="E790" s="5"/>
    </row>
    <row r="791">
      <c r="A791" s="2" t="s">
        <v>2193</v>
      </c>
      <c r="B791" s="2" t="s">
        <v>2194</v>
      </c>
      <c r="C791" s="2" t="s">
        <v>2195</v>
      </c>
      <c r="D791" s="5"/>
      <c r="E791" s="5"/>
    </row>
    <row r="792">
      <c r="A792" s="2" t="s">
        <v>2196</v>
      </c>
      <c r="B792" s="2" t="s">
        <v>2197</v>
      </c>
      <c r="C792" s="2" t="s">
        <v>2198</v>
      </c>
      <c r="D792" s="5"/>
      <c r="E792" s="5"/>
    </row>
    <row r="793">
      <c r="A793" s="2" t="s">
        <v>2199</v>
      </c>
      <c r="B793" s="2" t="s">
        <v>2200</v>
      </c>
      <c r="C793" s="2" t="s">
        <v>2201</v>
      </c>
      <c r="D793" s="5"/>
      <c r="E793" s="5"/>
    </row>
    <row r="794">
      <c r="A794" s="2" t="s">
        <v>2202</v>
      </c>
      <c r="B794" s="2" t="s">
        <v>2203</v>
      </c>
      <c r="C794" s="2" t="s">
        <v>2202</v>
      </c>
      <c r="D794" s="5"/>
      <c r="E794" s="5"/>
    </row>
    <row r="795">
      <c r="A795" s="2" t="s">
        <v>2204</v>
      </c>
      <c r="B795" s="2" t="s">
        <v>2205</v>
      </c>
      <c r="C795" s="2" t="s">
        <v>2204</v>
      </c>
      <c r="D795" s="5"/>
      <c r="E795" s="5"/>
    </row>
    <row r="796">
      <c r="A796" s="2" t="s">
        <v>2206</v>
      </c>
      <c r="B796" s="2" t="s">
        <v>2207</v>
      </c>
      <c r="C796" s="2" t="s">
        <v>2207</v>
      </c>
      <c r="D796" s="5"/>
      <c r="E796" s="5"/>
    </row>
    <row r="797">
      <c r="A797" s="2" t="s">
        <v>2208</v>
      </c>
      <c r="B797" s="2" t="s">
        <v>2209</v>
      </c>
      <c r="C797" s="2" t="s">
        <v>2210</v>
      </c>
      <c r="D797" s="5"/>
      <c r="E797" s="5"/>
    </row>
    <row r="798">
      <c r="A798" s="2" t="s">
        <v>2211</v>
      </c>
      <c r="B798" s="2" t="s">
        <v>2212</v>
      </c>
      <c r="C798" s="2" t="s">
        <v>2213</v>
      </c>
      <c r="D798" s="5"/>
      <c r="E798" s="5"/>
    </row>
    <row r="799">
      <c r="A799" s="2" t="s">
        <v>2214</v>
      </c>
      <c r="B799" s="2" t="s">
        <v>2215</v>
      </c>
      <c r="C799" s="2" t="s">
        <v>2214</v>
      </c>
      <c r="D799" s="5"/>
      <c r="E799" s="5"/>
    </row>
    <row r="800">
      <c r="A800" s="2" t="s">
        <v>2216</v>
      </c>
      <c r="B800" s="2" t="s">
        <v>2217</v>
      </c>
      <c r="C800" s="2" t="s">
        <v>2218</v>
      </c>
      <c r="D800" s="5"/>
      <c r="E800" s="5"/>
    </row>
    <row r="801">
      <c r="A801" s="2" t="s">
        <v>2219</v>
      </c>
      <c r="B801" s="2" t="s">
        <v>2220</v>
      </c>
      <c r="C801" s="2" t="s">
        <v>49</v>
      </c>
      <c r="D801" s="5"/>
      <c r="E801" s="5"/>
    </row>
    <row r="802">
      <c r="A802" s="2" t="s">
        <v>2221</v>
      </c>
      <c r="B802" s="2" t="s">
        <v>2222</v>
      </c>
      <c r="C802" s="2" t="s">
        <v>49</v>
      </c>
      <c r="D802" s="5"/>
      <c r="E802" s="5"/>
    </row>
    <row r="803">
      <c r="A803" s="2" t="s">
        <v>2223</v>
      </c>
      <c r="B803" s="2" t="s">
        <v>2224</v>
      </c>
      <c r="C803" s="2" t="s">
        <v>2223</v>
      </c>
      <c r="D803" s="5"/>
      <c r="E803" s="5"/>
    </row>
    <row r="804">
      <c r="A804" s="2" t="s">
        <v>2225</v>
      </c>
      <c r="B804" s="2" t="s">
        <v>2226</v>
      </c>
      <c r="C804" s="2" t="s">
        <v>2227</v>
      </c>
      <c r="D804" s="5"/>
      <c r="E804" s="5"/>
    </row>
    <row r="805">
      <c r="A805" s="2" t="s">
        <v>2228</v>
      </c>
      <c r="B805" s="2" t="s">
        <v>2229</v>
      </c>
      <c r="C805" s="2" t="s">
        <v>2230</v>
      </c>
      <c r="D805" s="5"/>
      <c r="E805" s="5"/>
    </row>
    <row r="806">
      <c r="A806" s="2" t="s">
        <v>2231</v>
      </c>
      <c r="B806" s="2" t="s">
        <v>2232</v>
      </c>
      <c r="C806" s="2" t="s">
        <v>2233</v>
      </c>
      <c r="D806" s="5"/>
      <c r="E806" s="5"/>
    </row>
    <row r="807">
      <c r="A807" s="2" t="s">
        <v>2234</v>
      </c>
      <c r="B807" s="2" t="s">
        <v>2235</v>
      </c>
      <c r="C807" s="2" t="s">
        <v>2236</v>
      </c>
      <c r="D807" s="5"/>
      <c r="E807" s="5"/>
    </row>
    <row r="808">
      <c r="A808" s="2" t="s">
        <v>2237</v>
      </c>
      <c r="B808" s="2" t="s">
        <v>2238</v>
      </c>
      <c r="C808" s="2" t="s">
        <v>49</v>
      </c>
      <c r="D808" s="5"/>
      <c r="E808" s="5"/>
    </row>
    <row r="809">
      <c r="A809" s="2" t="s">
        <v>2239</v>
      </c>
      <c r="B809" s="2" t="s">
        <v>2240</v>
      </c>
      <c r="C809" s="2" t="s">
        <v>2241</v>
      </c>
      <c r="D809" s="5"/>
      <c r="E809" s="5"/>
    </row>
    <row r="810">
      <c r="A810" s="2" t="s">
        <v>2242</v>
      </c>
      <c r="B810" s="2" t="s">
        <v>2149</v>
      </c>
      <c r="C810" s="2" t="s">
        <v>2243</v>
      </c>
      <c r="D810" s="5"/>
      <c r="E810" s="5"/>
    </row>
    <row r="811">
      <c r="A811" s="2" t="s">
        <v>88</v>
      </c>
      <c r="B811" s="2" t="s">
        <v>87</v>
      </c>
      <c r="C811" s="2" t="s">
        <v>88</v>
      </c>
      <c r="D811" s="5"/>
      <c r="E811" s="5"/>
    </row>
    <row r="812">
      <c r="A812" s="2" t="s">
        <v>2244</v>
      </c>
      <c r="B812" s="2" t="s">
        <v>2245</v>
      </c>
      <c r="C812" s="2" t="s">
        <v>2244</v>
      </c>
      <c r="D812" s="5"/>
      <c r="E812" s="5"/>
    </row>
    <row r="813">
      <c r="A813" s="2" t="s">
        <v>2246</v>
      </c>
      <c r="B813" s="2" t="s">
        <v>2247</v>
      </c>
      <c r="C813" s="2" t="s">
        <v>2248</v>
      </c>
      <c r="D813" s="5"/>
      <c r="E813" s="5"/>
    </row>
    <row r="814">
      <c r="A814" s="2" t="s">
        <v>2249</v>
      </c>
      <c r="B814" s="2" t="s">
        <v>2250</v>
      </c>
      <c r="C814" s="2" t="s">
        <v>49</v>
      </c>
      <c r="D814" s="5"/>
      <c r="E814" s="5"/>
    </row>
    <row r="815">
      <c r="A815" s="2" t="s">
        <v>2251</v>
      </c>
      <c r="B815" s="2" t="s">
        <v>2252</v>
      </c>
      <c r="C815" s="2" t="s">
        <v>2253</v>
      </c>
      <c r="D815" s="5"/>
      <c r="E815" s="5"/>
    </row>
    <row r="816">
      <c r="A816" s="2" t="s">
        <v>594</v>
      </c>
      <c r="B816" s="2" t="s">
        <v>2254</v>
      </c>
      <c r="C816" s="2" t="s">
        <v>594</v>
      </c>
      <c r="D816" s="5"/>
      <c r="E816" s="5"/>
    </row>
    <row r="817">
      <c r="A817" s="2" t="s">
        <v>2255</v>
      </c>
      <c r="B817" s="2" t="s">
        <v>2256</v>
      </c>
      <c r="C817" s="2" t="s">
        <v>49</v>
      </c>
      <c r="D817" s="5"/>
      <c r="E817" s="5"/>
    </row>
    <row r="818">
      <c r="A818" s="2" t="s">
        <v>2257</v>
      </c>
      <c r="B818" s="2" t="s">
        <v>2258</v>
      </c>
      <c r="C818" s="2" t="s">
        <v>2259</v>
      </c>
      <c r="D818" s="5"/>
      <c r="E818" s="5"/>
    </row>
    <row r="819">
      <c r="A819" s="2" t="s">
        <v>2260</v>
      </c>
      <c r="B819" s="2" t="s">
        <v>2261</v>
      </c>
      <c r="C819" s="2" t="s">
        <v>2262</v>
      </c>
      <c r="D819" s="5"/>
      <c r="E819" s="5"/>
    </row>
    <row r="820">
      <c r="A820" s="2" t="s">
        <v>2263</v>
      </c>
      <c r="B820" s="2" t="s">
        <v>2264</v>
      </c>
      <c r="C820" s="2" t="s">
        <v>49</v>
      </c>
      <c r="D820" s="5"/>
      <c r="E820" s="5"/>
    </row>
    <row r="821">
      <c r="A821" s="2" t="s">
        <v>2265</v>
      </c>
      <c r="B821" s="2" t="s">
        <v>2266</v>
      </c>
      <c r="C821" s="2" t="s">
        <v>387</v>
      </c>
      <c r="D821" s="5"/>
      <c r="E821" s="5"/>
    </row>
    <row r="822">
      <c r="A822" s="2" t="s">
        <v>2267</v>
      </c>
      <c r="B822" s="2" t="s">
        <v>2268</v>
      </c>
      <c r="C822" s="2" t="s">
        <v>2269</v>
      </c>
      <c r="D822" s="5"/>
      <c r="E822" s="5"/>
    </row>
    <row r="823">
      <c r="A823" s="2" t="s">
        <v>2270</v>
      </c>
      <c r="B823" s="2" t="s">
        <v>2271</v>
      </c>
      <c r="C823" s="2" t="s">
        <v>2272</v>
      </c>
      <c r="D823" s="5"/>
      <c r="E823" s="5"/>
    </row>
    <row r="824">
      <c r="A824" s="2" t="s">
        <v>2273</v>
      </c>
      <c r="B824" s="2" t="s">
        <v>2274</v>
      </c>
      <c r="C824" s="2" t="s">
        <v>2275</v>
      </c>
      <c r="D824" s="5"/>
      <c r="E824" s="5"/>
    </row>
    <row r="825">
      <c r="A825" s="2" t="s">
        <v>2276</v>
      </c>
      <c r="B825" s="2" t="s">
        <v>2277</v>
      </c>
      <c r="C825" s="2" t="s">
        <v>49</v>
      </c>
      <c r="D825" s="5"/>
      <c r="E825" s="5"/>
    </row>
    <row r="826">
      <c r="A826" s="2" t="s">
        <v>2278</v>
      </c>
      <c r="B826" s="2" t="s">
        <v>2279</v>
      </c>
      <c r="C826" s="2" t="s">
        <v>773</v>
      </c>
      <c r="D826" s="5"/>
      <c r="E826" s="5"/>
    </row>
    <row r="827">
      <c r="A827" s="2" t="s">
        <v>2280</v>
      </c>
      <c r="B827" s="2" t="s">
        <v>2281</v>
      </c>
      <c r="C827" s="2" t="s">
        <v>49</v>
      </c>
      <c r="D827" s="5"/>
      <c r="E827" s="5"/>
    </row>
    <row r="828">
      <c r="A828" s="2" t="s">
        <v>2282</v>
      </c>
      <c r="B828" s="2" t="s">
        <v>2283</v>
      </c>
      <c r="C828" s="2" t="s">
        <v>2284</v>
      </c>
      <c r="D828" s="5"/>
      <c r="E828" s="5"/>
    </row>
    <row r="829">
      <c r="A829" s="2" t="s">
        <v>2285</v>
      </c>
      <c r="B829" s="2" t="s">
        <v>2286</v>
      </c>
      <c r="C829" s="2" t="s">
        <v>2287</v>
      </c>
      <c r="D829" s="5"/>
      <c r="E829" s="5"/>
    </row>
    <row r="830">
      <c r="A830" s="2" t="s">
        <v>2288</v>
      </c>
      <c r="B830" s="2" t="s">
        <v>2289</v>
      </c>
      <c r="C830" s="2" t="s">
        <v>2290</v>
      </c>
      <c r="D830" s="5"/>
      <c r="E830" s="5"/>
    </row>
    <row r="831">
      <c r="A831" s="2" t="s">
        <v>2291</v>
      </c>
      <c r="B831" s="2" t="s">
        <v>330</v>
      </c>
      <c r="C831" s="2" t="s">
        <v>2292</v>
      </c>
      <c r="D831" s="5"/>
      <c r="E831" s="5"/>
    </row>
    <row r="832">
      <c r="A832" s="2" t="s">
        <v>2293</v>
      </c>
      <c r="B832" s="2" t="s">
        <v>2294</v>
      </c>
      <c r="C832" s="2" t="s">
        <v>2292</v>
      </c>
      <c r="D832" s="5"/>
      <c r="E832" s="5"/>
    </row>
    <row r="833">
      <c r="A833" s="2" t="s">
        <v>2295</v>
      </c>
      <c r="B833" s="2" t="s">
        <v>2295</v>
      </c>
      <c r="C833" s="2" t="s">
        <v>2296</v>
      </c>
      <c r="D833" s="5"/>
      <c r="E833" s="5"/>
    </row>
    <row r="834">
      <c r="A834" s="2" t="s">
        <v>2297</v>
      </c>
      <c r="B834" s="2" t="s">
        <v>2298</v>
      </c>
      <c r="C834" s="2" t="s">
        <v>49</v>
      </c>
      <c r="D834" s="5"/>
      <c r="E834" s="5"/>
    </row>
    <row r="835">
      <c r="A835" s="2" t="s">
        <v>2299</v>
      </c>
      <c r="B835" s="2" t="s">
        <v>2300</v>
      </c>
      <c r="C835" s="2" t="s">
        <v>2301</v>
      </c>
      <c r="D835" s="5"/>
      <c r="E835" s="5"/>
    </row>
    <row r="836">
      <c r="A836" s="2" t="s">
        <v>2302</v>
      </c>
      <c r="B836" s="2" t="s">
        <v>2303</v>
      </c>
      <c r="C836" s="2" t="s">
        <v>2304</v>
      </c>
      <c r="D836" s="5"/>
      <c r="E836" s="5"/>
    </row>
    <row r="837">
      <c r="A837" s="2" t="s">
        <v>2305</v>
      </c>
      <c r="B837" s="2" t="s">
        <v>2306</v>
      </c>
      <c r="C837" s="2" t="s">
        <v>2307</v>
      </c>
      <c r="D837" s="5"/>
      <c r="E837" s="5"/>
    </row>
    <row r="838">
      <c r="A838" s="2" t="s">
        <v>2308</v>
      </c>
      <c r="B838" s="2" t="s">
        <v>2309</v>
      </c>
      <c r="C838" s="2" t="s">
        <v>2310</v>
      </c>
      <c r="D838" s="5"/>
      <c r="E838" s="5"/>
    </row>
    <row r="839">
      <c r="A839" s="2" t="s">
        <v>2311</v>
      </c>
      <c r="B839" s="2" t="s">
        <v>2312</v>
      </c>
      <c r="C839" s="2" t="s">
        <v>49</v>
      </c>
      <c r="D839" s="5"/>
      <c r="E839" s="5"/>
    </row>
    <row r="840">
      <c r="A840" s="2" t="s">
        <v>2313</v>
      </c>
      <c r="B840" s="2" t="s">
        <v>2314</v>
      </c>
      <c r="C840" s="2" t="s">
        <v>49</v>
      </c>
      <c r="D840" s="5"/>
      <c r="E840" s="5"/>
    </row>
    <row r="841">
      <c r="A841" s="2" t="s">
        <v>2315</v>
      </c>
      <c r="B841" s="2" t="s">
        <v>2316</v>
      </c>
      <c r="C841" s="2" t="s">
        <v>2315</v>
      </c>
      <c r="D841" s="5"/>
      <c r="E841" s="5"/>
    </row>
    <row r="842">
      <c r="A842" s="2" t="s">
        <v>2317</v>
      </c>
      <c r="B842" s="2" t="s">
        <v>2318</v>
      </c>
      <c r="C842" s="2" t="s">
        <v>2319</v>
      </c>
      <c r="D842" s="5"/>
      <c r="E842" s="5"/>
    </row>
    <row r="843">
      <c r="A843" s="2" t="s">
        <v>2320</v>
      </c>
      <c r="B843" s="2" t="s">
        <v>1780</v>
      </c>
      <c r="C843" s="2" t="s">
        <v>2321</v>
      </c>
      <c r="D843" s="5"/>
      <c r="E843" s="5"/>
    </row>
    <row r="844">
      <c r="A844" s="2" t="s">
        <v>2322</v>
      </c>
      <c r="B844" s="2" t="s">
        <v>1783</v>
      </c>
      <c r="C844" s="2" t="s">
        <v>2323</v>
      </c>
      <c r="D844" s="5"/>
      <c r="E844" s="5"/>
    </row>
    <row r="845">
      <c r="A845" s="2" t="s">
        <v>2324</v>
      </c>
      <c r="B845" s="2" t="s">
        <v>2325</v>
      </c>
      <c r="C845" s="2" t="s">
        <v>2326</v>
      </c>
      <c r="D845" s="5"/>
      <c r="E845" s="5"/>
    </row>
    <row r="846">
      <c r="A846" s="2" t="s">
        <v>2327</v>
      </c>
      <c r="B846" s="2" t="s">
        <v>2328</v>
      </c>
      <c r="C846" s="2" t="s">
        <v>49</v>
      </c>
      <c r="D846" s="5"/>
      <c r="E846" s="5"/>
    </row>
    <row r="847">
      <c r="A847" s="2" t="s">
        <v>2329</v>
      </c>
      <c r="B847" s="2" t="s">
        <v>2330</v>
      </c>
      <c r="C847" s="2" t="s">
        <v>2329</v>
      </c>
      <c r="D847" s="5"/>
      <c r="E847" s="5"/>
    </row>
    <row r="848">
      <c r="A848" s="2" t="s">
        <v>2331</v>
      </c>
      <c r="B848" s="2" t="s">
        <v>2332</v>
      </c>
      <c r="C848" s="2" t="s">
        <v>2333</v>
      </c>
      <c r="D848" s="5"/>
      <c r="E848" s="5"/>
    </row>
    <row r="849">
      <c r="A849" s="2" t="s">
        <v>2334</v>
      </c>
      <c r="B849" s="2" t="s">
        <v>2335</v>
      </c>
      <c r="C849" s="2" t="s">
        <v>2336</v>
      </c>
      <c r="D849" s="5"/>
      <c r="E849" s="5"/>
    </row>
    <row r="850">
      <c r="A850" s="2" t="s">
        <v>2337</v>
      </c>
      <c r="B850" s="2" t="s">
        <v>2338</v>
      </c>
      <c r="C850" s="2" t="s">
        <v>2339</v>
      </c>
      <c r="D850" s="5"/>
      <c r="E850" s="5"/>
    </row>
    <row r="851">
      <c r="A851" s="2" t="s">
        <v>2340</v>
      </c>
      <c r="B851" s="2" t="s">
        <v>2341</v>
      </c>
      <c r="C851" s="2" t="s">
        <v>2342</v>
      </c>
      <c r="D851" s="5"/>
      <c r="E851" s="5"/>
    </row>
    <row r="852">
      <c r="A852" s="2" t="s">
        <v>2343</v>
      </c>
      <c r="B852" s="2" t="s">
        <v>2344</v>
      </c>
      <c r="C852" s="2" t="s">
        <v>2345</v>
      </c>
      <c r="D852" s="5"/>
      <c r="E852" s="5"/>
    </row>
    <row r="853">
      <c r="A853" s="2" t="s">
        <v>2346</v>
      </c>
      <c r="B853" s="2" t="s">
        <v>2347</v>
      </c>
      <c r="C853" s="2" t="s">
        <v>2348</v>
      </c>
      <c r="D853" s="5"/>
      <c r="E853" s="5"/>
    </row>
    <row r="854">
      <c r="A854" s="2" t="s">
        <v>2349</v>
      </c>
      <c r="B854" s="2" t="s">
        <v>1556</v>
      </c>
      <c r="C854" s="2" t="s">
        <v>49</v>
      </c>
      <c r="D854" s="5"/>
      <c r="E854" s="5"/>
    </row>
    <row r="855">
      <c r="A855" s="2" t="s">
        <v>2350</v>
      </c>
      <c r="B855" s="2" t="s">
        <v>2351</v>
      </c>
      <c r="C855" s="2" t="s">
        <v>2352</v>
      </c>
      <c r="D855" s="5"/>
      <c r="E855" s="5"/>
    </row>
    <row r="856">
      <c r="A856" s="2" t="s">
        <v>2353</v>
      </c>
      <c r="B856" s="2" t="s">
        <v>2354</v>
      </c>
      <c r="C856" s="2" t="s">
        <v>2355</v>
      </c>
      <c r="D856" s="5"/>
      <c r="E856" s="5"/>
    </row>
    <row r="857">
      <c r="A857" s="2" t="s">
        <v>2356</v>
      </c>
      <c r="B857" s="2" t="s">
        <v>2357</v>
      </c>
      <c r="C857" s="2" t="s">
        <v>49</v>
      </c>
      <c r="D857" s="5"/>
      <c r="E857" s="5"/>
    </row>
    <row r="858">
      <c r="A858" s="2" t="s">
        <v>2358</v>
      </c>
      <c r="B858" s="2" t="s">
        <v>2359</v>
      </c>
      <c r="C858" s="2" t="s">
        <v>2360</v>
      </c>
      <c r="D858" s="5"/>
      <c r="E858" s="5"/>
    </row>
    <row r="859">
      <c r="A859" s="2" t="s">
        <v>2361</v>
      </c>
      <c r="B859" s="2" t="s">
        <v>2362</v>
      </c>
      <c r="C859" s="2" t="s">
        <v>2363</v>
      </c>
      <c r="D859" s="5"/>
      <c r="E859" s="5"/>
    </row>
    <row r="860">
      <c r="A860" s="2" t="s">
        <v>2364</v>
      </c>
      <c r="B860" s="2" t="s">
        <v>2364</v>
      </c>
      <c r="C860" s="2" t="s">
        <v>2364</v>
      </c>
      <c r="D860" s="5"/>
      <c r="E860" s="5"/>
    </row>
    <row r="861">
      <c r="A861" s="2" t="s">
        <v>2365</v>
      </c>
      <c r="B861" s="2" t="s">
        <v>2366</v>
      </c>
      <c r="C861" s="2" t="s">
        <v>2367</v>
      </c>
      <c r="D861" s="5"/>
      <c r="E861" s="5"/>
    </row>
    <row r="862">
      <c r="A862" s="2" t="s">
        <v>2368</v>
      </c>
      <c r="B862" s="2" t="s">
        <v>2369</v>
      </c>
      <c r="C862" s="7"/>
      <c r="D862" s="7"/>
      <c r="E862" s="7"/>
    </row>
    <row r="863">
      <c r="A863" s="2" t="s">
        <v>2370</v>
      </c>
      <c r="B863" s="2" t="s">
        <v>2371</v>
      </c>
      <c r="C863" s="2" t="s">
        <v>2372</v>
      </c>
      <c r="D863" s="5"/>
      <c r="E863" s="5"/>
    </row>
    <row r="864">
      <c r="A864" s="2" t="s">
        <v>2373</v>
      </c>
      <c r="B864" s="2" t="s">
        <v>2374</v>
      </c>
      <c r="C864" s="2" t="s">
        <v>2375</v>
      </c>
      <c r="D864" s="5"/>
      <c r="E864" s="5"/>
    </row>
    <row r="865">
      <c r="A865" s="2" t="s">
        <v>2376</v>
      </c>
      <c r="B865" s="2" t="s">
        <v>2377</v>
      </c>
      <c r="C865" s="2" t="s">
        <v>2376</v>
      </c>
      <c r="D865" s="5"/>
      <c r="E865" s="5"/>
    </row>
    <row r="866">
      <c r="A866" s="2" t="s">
        <v>2378</v>
      </c>
      <c r="B866" s="2" t="s">
        <v>2379</v>
      </c>
      <c r="C866" s="2" t="s">
        <v>2380</v>
      </c>
      <c r="D866" s="5"/>
      <c r="E866" s="5"/>
    </row>
    <row r="867">
      <c r="A867" s="2" t="s">
        <v>2381</v>
      </c>
      <c r="B867" s="2" t="s">
        <v>2382</v>
      </c>
      <c r="C867" s="2" t="s">
        <v>2383</v>
      </c>
      <c r="D867" s="5"/>
      <c r="E867" s="5"/>
    </row>
    <row r="868">
      <c r="A868" s="2" t="s">
        <v>2384</v>
      </c>
      <c r="B868" s="2" t="s">
        <v>2385</v>
      </c>
      <c r="C868" s="2" t="s">
        <v>2384</v>
      </c>
      <c r="D868" s="5"/>
      <c r="E868" s="5"/>
    </row>
    <row r="869">
      <c r="A869" s="2" t="s">
        <v>2386</v>
      </c>
      <c r="B869" s="2" t="s">
        <v>2387</v>
      </c>
      <c r="C869" s="2" t="s">
        <v>2388</v>
      </c>
      <c r="D869" s="5"/>
      <c r="E869" s="5"/>
    </row>
    <row r="870">
      <c r="A870" s="2" t="s">
        <v>2389</v>
      </c>
      <c r="B870" s="2" t="s">
        <v>2390</v>
      </c>
      <c r="C870" s="2" t="s">
        <v>49</v>
      </c>
      <c r="D870" s="5"/>
      <c r="E870" s="5"/>
    </row>
    <row r="871">
      <c r="A871" s="2" t="s">
        <v>2391</v>
      </c>
      <c r="B871" s="2" t="s">
        <v>2392</v>
      </c>
      <c r="C871" s="2" t="s">
        <v>2393</v>
      </c>
      <c r="D871" s="5"/>
      <c r="E871" s="5"/>
    </row>
    <row r="872">
      <c r="A872" s="2" t="s">
        <v>2394</v>
      </c>
      <c r="B872" s="2" t="s">
        <v>2395</v>
      </c>
      <c r="C872" s="2" t="s">
        <v>2396</v>
      </c>
      <c r="D872" s="5"/>
      <c r="E872" s="5"/>
    </row>
    <row r="873">
      <c r="A873" s="2" t="s">
        <v>2397</v>
      </c>
      <c r="B873" s="2" t="s">
        <v>2398</v>
      </c>
      <c r="C873" s="2" t="s">
        <v>2399</v>
      </c>
      <c r="D873" s="5"/>
      <c r="E873" s="5"/>
    </row>
    <row r="874">
      <c r="A874" s="2" t="s">
        <v>2400</v>
      </c>
      <c r="B874" s="2" t="s">
        <v>2401</v>
      </c>
      <c r="C874" s="2" t="s">
        <v>49</v>
      </c>
      <c r="D874" s="5"/>
      <c r="E874" s="5"/>
    </row>
    <row r="875">
      <c r="A875" s="2" t="s">
        <v>2402</v>
      </c>
      <c r="B875" s="2" t="s">
        <v>2403</v>
      </c>
      <c r="C875" s="2" t="s">
        <v>2404</v>
      </c>
      <c r="D875" s="5"/>
      <c r="E875" s="5"/>
    </row>
    <row r="876">
      <c r="A876" s="2" t="s">
        <v>2405</v>
      </c>
      <c r="B876" s="2" t="s">
        <v>2406</v>
      </c>
      <c r="C876" s="2" t="s">
        <v>2407</v>
      </c>
      <c r="D876" s="5"/>
      <c r="E876" s="5"/>
    </row>
    <row r="877">
      <c r="A877" s="2" t="s">
        <v>2408</v>
      </c>
      <c r="B877" s="2" t="s">
        <v>2409</v>
      </c>
      <c r="C877" s="2" t="s">
        <v>2410</v>
      </c>
      <c r="D877" s="5"/>
      <c r="E877" s="5"/>
    </row>
    <row r="878">
      <c r="A878" s="2" t="s">
        <v>2411</v>
      </c>
      <c r="B878" s="2" t="s">
        <v>2412</v>
      </c>
      <c r="C878" s="2" t="s">
        <v>2413</v>
      </c>
      <c r="D878" s="5"/>
      <c r="E878" s="5"/>
    </row>
    <row r="879">
      <c r="A879" s="2" t="s">
        <v>2414</v>
      </c>
      <c r="B879" s="2" t="s">
        <v>2415</v>
      </c>
      <c r="C879" s="2" t="s">
        <v>49</v>
      </c>
      <c r="D879" s="5"/>
      <c r="E879" s="5"/>
    </row>
    <row r="880">
      <c r="A880" s="2" t="s">
        <v>2416</v>
      </c>
      <c r="B880" s="2" t="s">
        <v>2417</v>
      </c>
      <c r="C880" s="2" t="s">
        <v>2418</v>
      </c>
      <c r="D880" s="5"/>
      <c r="E880" s="5"/>
    </row>
    <row r="881">
      <c r="A881" s="2" t="s">
        <v>2419</v>
      </c>
      <c r="B881" s="2" t="s">
        <v>2420</v>
      </c>
      <c r="C881" s="2" t="s">
        <v>2421</v>
      </c>
      <c r="D881" s="5"/>
      <c r="E881" s="5"/>
    </row>
    <row r="882">
      <c r="A882" s="2" t="s">
        <v>2422</v>
      </c>
      <c r="B882" s="2" t="s">
        <v>2423</v>
      </c>
      <c r="C882" s="2" t="s">
        <v>2424</v>
      </c>
      <c r="D882" s="5"/>
      <c r="E882" s="5"/>
    </row>
    <row r="883">
      <c r="A883" s="2" t="s">
        <v>2425</v>
      </c>
      <c r="B883" s="2" t="s">
        <v>2426</v>
      </c>
      <c r="C883" s="2" t="s">
        <v>2427</v>
      </c>
      <c r="D883" s="5"/>
      <c r="E883" s="5"/>
    </row>
    <row r="884">
      <c r="A884" s="2" t="s">
        <v>2428</v>
      </c>
      <c r="B884" s="2" t="s">
        <v>2429</v>
      </c>
      <c r="C884" s="2" t="s">
        <v>2430</v>
      </c>
      <c r="D884" s="5"/>
      <c r="E884" s="5"/>
    </row>
    <row r="885">
      <c r="A885" s="2" t="s">
        <v>2431</v>
      </c>
      <c r="B885" s="2" t="s">
        <v>2432</v>
      </c>
      <c r="C885" s="2" t="s">
        <v>2433</v>
      </c>
      <c r="D885" s="5"/>
      <c r="E885" s="5"/>
    </row>
    <row r="886">
      <c r="A886" s="2" t="s">
        <v>2434</v>
      </c>
      <c r="B886" s="2" t="s">
        <v>2435</v>
      </c>
      <c r="C886" s="2" t="s">
        <v>2436</v>
      </c>
      <c r="D886" s="5"/>
      <c r="E886" s="5"/>
    </row>
    <row r="887">
      <c r="A887" s="2" t="s">
        <v>2437</v>
      </c>
      <c r="B887" s="2" t="s">
        <v>2438</v>
      </c>
      <c r="C887" s="2" t="s">
        <v>2439</v>
      </c>
      <c r="D887" s="5"/>
      <c r="E887" s="5"/>
    </row>
    <row r="888">
      <c r="A888" s="2" t="s">
        <v>2440</v>
      </c>
      <c r="B888" s="2" t="s">
        <v>2441</v>
      </c>
      <c r="C888" s="2" t="s">
        <v>2442</v>
      </c>
      <c r="D888" s="5"/>
      <c r="E888" s="5"/>
    </row>
    <row r="889">
      <c r="A889" s="2" t="s">
        <v>2443</v>
      </c>
      <c r="B889" s="2" t="s">
        <v>2444</v>
      </c>
      <c r="C889" s="2" t="s">
        <v>2445</v>
      </c>
      <c r="D889" s="5"/>
      <c r="E889" s="5"/>
    </row>
    <row r="890">
      <c r="A890" s="2" t="s">
        <v>2446</v>
      </c>
      <c r="B890" s="2" t="s">
        <v>2447</v>
      </c>
      <c r="C890" s="2" t="s">
        <v>49</v>
      </c>
      <c r="D890" s="5"/>
      <c r="E890" s="5"/>
    </row>
    <row r="891">
      <c r="A891" s="2" t="s">
        <v>2448</v>
      </c>
      <c r="B891" s="2" t="s">
        <v>2449</v>
      </c>
      <c r="C891" s="2" t="s">
        <v>2450</v>
      </c>
      <c r="D891" s="5"/>
      <c r="E891" s="5"/>
    </row>
    <row r="892">
      <c r="A892" s="2" t="s">
        <v>2451</v>
      </c>
      <c r="B892" s="2" t="s">
        <v>2452</v>
      </c>
      <c r="C892" s="2" t="s">
        <v>2453</v>
      </c>
      <c r="D892" s="5"/>
      <c r="E892" s="5"/>
    </row>
    <row r="893">
      <c r="A893" s="2" t="s">
        <v>2454</v>
      </c>
      <c r="B893" s="2" t="s">
        <v>2455</v>
      </c>
      <c r="C893" s="2" t="s">
        <v>2456</v>
      </c>
      <c r="D893" s="5"/>
      <c r="E893" s="5"/>
    </row>
    <row r="894">
      <c r="A894" s="2" t="s">
        <v>2457</v>
      </c>
      <c r="B894" s="2" t="s">
        <v>2458</v>
      </c>
      <c r="C894" s="2" t="s">
        <v>2459</v>
      </c>
      <c r="D894" s="5"/>
      <c r="E894" s="5"/>
    </row>
    <row r="895">
      <c r="A895" s="2" t="s">
        <v>2460</v>
      </c>
      <c r="B895" s="2" t="s">
        <v>2461</v>
      </c>
      <c r="C895" s="2" t="s">
        <v>2462</v>
      </c>
      <c r="D895" s="5"/>
      <c r="E895" s="5"/>
    </row>
    <row r="896">
      <c r="A896" s="2" t="s">
        <v>2463</v>
      </c>
      <c r="B896" s="2" t="s">
        <v>2464</v>
      </c>
      <c r="C896" s="2" t="s">
        <v>2465</v>
      </c>
      <c r="D896" s="5"/>
      <c r="E896" s="5"/>
    </row>
    <row r="897">
      <c r="A897" s="2" t="s">
        <v>2466</v>
      </c>
      <c r="B897" s="2" t="s">
        <v>2467</v>
      </c>
      <c r="C897" s="2" t="s">
        <v>2468</v>
      </c>
      <c r="D897" s="5"/>
      <c r="E897" s="5"/>
    </row>
    <row r="898">
      <c r="A898" s="2" t="s">
        <v>2469</v>
      </c>
      <c r="B898" s="2" t="s">
        <v>2470</v>
      </c>
      <c r="C898" s="2" t="s">
        <v>2471</v>
      </c>
      <c r="D898" s="5"/>
      <c r="E898" s="5"/>
    </row>
    <row r="899">
      <c r="A899" s="2" t="s">
        <v>2472</v>
      </c>
      <c r="B899" s="2" t="s">
        <v>2473</v>
      </c>
      <c r="C899" s="2" t="s">
        <v>2474</v>
      </c>
      <c r="D899" s="5"/>
      <c r="E899" s="5"/>
    </row>
    <row r="900">
      <c r="A900" s="2" t="s">
        <v>2475</v>
      </c>
      <c r="B900" s="2" t="s">
        <v>2476</v>
      </c>
      <c r="C900" s="2" t="s">
        <v>2477</v>
      </c>
      <c r="D900" s="5"/>
      <c r="E900" s="5"/>
    </row>
    <row r="901">
      <c r="A901" s="2" t="s">
        <v>2478</v>
      </c>
      <c r="B901" s="2" t="s">
        <v>2479</v>
      </c>
      <c r="C901" s="2" t="s">
        <v>2480</v>
      </c>
      <c r="D901" s="5"/>
      <c r="E901" s="5"/>
    </row>
    <row r="902">
      <c r="A902" s="2" t="s">
        <v>2481</v>
      </c>
      <c r="B902" s="2" t="s">
        <v>2482</v>
      </c>
      <c r="C902" s="2" t="s">
        <v>2483</v>
      </c>
      <c r="D902" s="5"/>
      <c r="E902" s="5"/>
    </row>
    <row r="903">
      <c r="A903" s="2" t="s">
        <v>2484</v>
      </c>
      <c r="B903" s="2" t="s">
        <v>2485</v>
      </c>
      <c r="C903" s="2" t="s">
        <v>49</v>
      </c>
      <c r="D903" s="5"/>
      <c r="E903" s="5"/>
    </row>
    <row r="904">
      <c r="A904" s="2" t="s">
        <v>2486</v>
      </c>
      <c r="B904" s="2" t="s">
        <v>2487</v>
      </c>
      <c r="C904" s="2" t="s">
        <v>2488</v>
      </c>
      <c r="D904" s="5"/>
      <c r="E904" s="5"/>
    </row>
    <row r="905">
      <c r="A905" s="2" t="s">
        <v>2489</v>
      </c>
      <c r="B905" s="2" t="s">
        <v>2490</v>
      </c>
      <c r="C905" s="2" t="s">
        <v>2491</v>
      </c>
      <c r="D905" s="5"/>
      <c r="E905" s="5"/>
    </row>
    <row r="906">
      <c r="A906" s="2" t="s">
        <v>2492</v>
      </c>
      <c r="B906" s="2" t="s">
        <v>2493</v>
      </c>
      <c r="C906" s="2" t="s">
        <v>2494</v>
      </c>
      <c r="D906" s="5"/>
      <c r="E906" s="5"/>
    </row>
    <row r="907">
      <c r="A907" s="2" t="s">
        <v>2495</v>
      </c>
      <c r="B907" s="2" t="s">
        <v>2496</v>
      </c>
      <c r="C907" s="2" t="s">
        <v>2497</v>
      </c>
      <c r="D907" s="5"/>
      <c r="E907" s="5"/>
    </row>
    <row r="908">
      <c r="A908" s="2" t="s">
        <v>2498</v>
      </c>
      <c r="B908" s="2" t="s">
        <v>2499</v>
      </c>
      <c r="C908" s="2" t="s">
        <v>2500</v>
      </c>
      <c r="D908" s="5"/>
      <c r="E908" s="5"/>
    </row>
    <row r="909">
      <c r="A909" s="2" t="s">
        <v>2501</v>
      </c>
      <c r="B909" s="2" t="s">
        <v>2502</v>
      </c>
      <c r="C909" s="2" t="s">
        <v>49</v>
      </c>
      <c r="D909" s="5"/>
      <c r="E909" s="5"/>
    </row>
    <row r="910">
      <c r="A910" s="2" t="s">
        <v>2503</v>
      </c>
      <c r="B910" s="2" t="s">
        <v>2504</v>
      </c>
      <c r="C910" s="2" t="s">
        <v>2505</v>
      </c>
      <c r="D910" s="5"/>
      <c r="E910" s="5"/>
    </row>
    <row r="911">
      <c r="A911" s="2" t="s">
        <v>2506</v>
      </c>
      <c r="B911" s="2" t="s">
        <v>2507</v>
      </c>
      <c r="C911" s="2" t="s">
        <v>49</v>
      </c>
      <c r="D911" s="5"/>
      <c r="E911" s="5"/>
    </row>
    <row r="912">
      <c r="A912" s="2" t="s">
        <v>2508</v>
      </c>
      <c r="B912" s="2" t="s">
        <v>1987</v>
      </c>
      <c r="C912" s="2" t="s">
        <v>49</v>
      </c>
      <c r="D912" s="5"/>
      <c r="E912" s="5"/>
    </row>
    <row r="913">
      <c r="A913" s="2" t="s">
        <v>2509</v>
      </c>
      <c r="B913" s="2" t="s">
        <v>2510</v>
      </c>
      <c r="C913" s="2" t="s">
        <v>2511</v>
      </c>
      <c r="D913" s="5"/>
      <c r="E913" s="5"/>
    </row>
    <row r="914">
      <c r="A914" s="2" t="s">
        <v>2512</v>
      </c>
      <c r="B914" s="2" t="s">
        <v>2510</v>
      </c>
      <c r="C914" s="2" t="s">
        <v>49</v>
      </c>
      <c r="D914" s="5"/>
      <c r="E914" s="5"/>
    </row>
    <row r="915">
      <c r="A915" s="2" t="s">
        <v>2513</v>
      </c>
      <c r="B915" s="2" t="s">
        <v>2514</v>
      </c>
      <c r="C915" s="2" t="s">
        <v>2515</v>
      </c>
      <c r="D915" s="5"/>
      <c r="E915" s="5"/>
    </row>
    <row r="916">
      <c r="A916" s="2" t="s">
        <v>2516</v>
      </c>
      <c r="B916" s="2" t="s">
        <v>2517</v>
      </c>
      <c r="C916" s="2" t="s">
        <v>2518</v>
      </c>
      <c r="D916" s="5"/>
      <c r="E916" s="5"/>
    </row>
    <row r="917">
      <c r="A917" s="2" t="s">
        <v>2519</v>
      </c>
      <c r="B917" s="2" t="s">
        <v>2520</v>
      </c>
      <c r="C917" s="2" t="s">
        <v>2521</v>
      </c>
      <c r="D917" s="5"/>
      <c r="E917" s="5"/>
    </row>
    <row r="918">
      <c r="A918" s="2" t="s">
        <v>2522</v>
      </c>
      <c r="B918" s="2" t="s">
        <v>2523</v>
      </c>
      <c r="C918" s="2" t="s">
        <v>2524</v>
      </c>
      <c r="D918" s="5"/>
      <c r="E918" s="5"/>
    </row>
    <row r="919">
      <c r="A919" s="2" t="s">
        <v>2525</v>
      </c>
      <c r="B919" s="2" t="s">
        <v>2526</v>
      </c>
      <c r="C919" s="2" t="s">
        <v>2527</v>
      </c>
      <c r="D919" s="5"/>
      <c r="E919" s="5"/>
    </row>
    <row r="920">
      <c r="A920" s="2" t="s">
        <v>2528</v>
      </c>
      <c r="B920" s="2" t="s">
        <v>2529</v>
      </c>
      <c r="C920" s="2" t="s">
        <v>2530</v>
      </c>
      <c r="D920" s="5"/>
      <c r="E920" s="5"/>
    </row>
    <row r="921">
      <c r="A921" s="2" t="s">
        <v>2531</v>
      </c>
      <c r="B921" s="2" t="s">
        <v>2532</v>
      </c>
      <c r="C921" s="2" t="s">
        <v>2533</v>
      </c>
      <c r="D921" s="5"/>
      <c r="E921" s="5"/>
    </row>
    <row r="922">
      <c r="A922" s="2" t="s">
        <v>2534</v>
      </c>
      <c r="B922" s="2" t="s">
        <v>2535</v>
      </c>
      <c r="C922" s="2" t="s">
        <v>2536</v>
      </c>
      <c r="D922" s="5"/>
      <c r="E922" s="5"/>
    </row>
    <row r="923">
      <c r="A923" s="2" t="s">
        <v>2537</v>
      </c>
      <c r="B923" s="2" t="s">
        <v>2538</v>
      </c>
      <c r="C923" s="2" t="s">
        <v>49</v>
      </c>
      <c r="D923" s="5"/>
      <c r="E923" s="5"/>
    </row>
    <row r="924">
      <c r="A924" s="2" t="s">
        <v>2539</v>
      </c>
      <c r="B924" s="2" t="s">
        <v>2540</v>
      </c>
      <c r="C924" s="2" t="s">
        <v>2541</v>
      </c>
      <c r="D924" s="5"/>
      <c r="E924" s="5"/>
    </row>
    <row r="925">
      <c r="A925" s="2" t="s">
        <v>2542</v>
      </c>
      <c r="B925" s="2" t="s">
        <v>2543</v>
      </c>
      <c r="C925" s="2" t="s">
        <v>281</v>
      </c>
      <c r="D925" s="5"/>
      <c r="E925" s="5"/>
    </row>
    <row r="926">
      <c r="A926" s="2" t="s">
        <v>2544</v>
      </c>
      <c r="B926" s="2" t="s">
        <v>2545</v>
      </c>
      <c r="C926" s="2" t="s">
        <v>2546</v>
      </c>
      <c r="D926" s="5"/>
      <c r="E926" s="5"/>
    </row>
    <row r="927">
      <c r="A927" s="2" t="s">
        <v>2547</v>
      </c>
      <c r="B927" s="2" t="s">
        <v>2548</v>
      </c>
      <c r="C927" s="2" t="s">
        <v>2549</v>
      </c>
      <c r="D927" s="5"/>
      <c r="E927" s="5"/>
    </row>
    <row r="928">
      <c r="A928" s="2" t="s">
        <v>2550</v>
      </c>
      <c r="B928" s="2" t="s">
        <v>2551</v>
      </c>
      <c r="C928" s="2" t="s">
        <v>2552</v>
      </c>
      <c r="D928" s="5"/>
      <c r="E928" s="5"/>
    </row>
    <row r="929">
      <c r="A929" s="2" t="s">
        <v>2553</v>
      </c>
      <c r="B929" s="2" t="s">
        <v>2554</v>
      </c>
      <c r="C929" s="2" t="s">
        <v>2555</v>
      </c>
      <c r="D929" s="5"/>
      <c r="E929" s="5"/>
    </row>
    <row r="930">
      <c r="A930" s="2" t="s">
        <v>2556</v>
      </c>
      <c r="B930" s="2" t="s">
        <v>1749</v>
      </c>
      <c r="C930" s="2" t="s">
        <v>1750</v>
      </c>
      <c r="D930" s="5"/>
      <c r="E930" s="5"/>
    </row>
    <row r="931">
      <c r="A931" s="2" t="s">
        <v>2557</v>
      </c>
      <c r="B931" s="2" t="s">
        <v>2558</v>
      </c>
      <c r="C931" s="2" t="s">
        <v>2559</v>
      </c>
      <c r="D931" s="5"/>
      <c r="E931" s="5"/>
    </row>
    <row r="932">
      <c r="A932" s="2" t="s">
        <v>2560</v>
      </c>
      <c r="B932" s="2" t="s">
        <v>2561</v>
      </c>
      <c r="C932" s="2" t="s">
        <v>2562</v>
      </c>
      <c r="D932" s="5"/>
      <c r="E932" s="5"/>
    </row>
    <row r="933">
      <c r="A933" s="2" t="s">
        <v>2563</v>
      </c>
      <c r="B933" s="2" t="s">
        <v>2564</v>
      </c>
      <c r="C933" s="2" t="s">
        <v>2565</v>
      </c>
      <c r="D933" s="5"/>
      <c r="E933" s="5"/>
    </row>
    <row r="934">
      <c r="A934" s="2" t="s">
        <v>2566</v>
      </c>
      <c r="B934" s="2" t="s">
        <v>2567</v>
      </c>
      <c r="C934" s="2" t="s">
        <v>2568</v>
      </c>
      <c r="D934" s="5"/>
      <c r="E934" s="5"/>
    </row>
    <row r="935">
      <c r="A935" s="2" t="s">
        <v>2569</v>
      </c>
      <c r="B935" s="2" t="s">
        <v>2570</v>
      </c>
      <c r="C935" s="2" t="s">
        <v>2571</v>
      </c>
      <c r="D935" s="5"/>
      <c r="E935" s="5"/>
    </row>
    <row r="936">
      <c r="A936" s="2" t="s">
        <v>2572</v>
      </c>
      <c r="B936" s="2" t="s">
        <v>2573</v>
      </c>
      <c r="C936" s="2" t="s">
        <v>2574</v>
      </c>
      <c r="D936" s="5"/>
      <c r="E936" s="5"/>
    </row>
    <row r="937">
      <c r="A937" s="2" t="s">
        <v>2575</v>
      </c>
      <c r="B937" s="2" t="s">
        <v>2576</v>
      </c>
      <c r="C937" s="2" t="s">
        <v>2574</v>
      </c>
      <c r="D937" s="5"/>
      <c r="E937" s="5"/>
    </row>
    <row r="938">
      <c r="A938" s="2" t="s">
        <v>2577</v>
      </c>
      <c r="B938" s="2" t="s">
        <v>2578</v>
      </c>
      <c r="C938" s="2" t="s">
        <v>2579</v>
      </c>
      <c r="D938" s="5"/>
      <c r="E938" s="5"/>
    </row>
    <row r="939">
      <c r="A939" s="2" t="s">
        <v>2580</v>
      </c>
      <c r="B939" s="2" t="s">
        <v>2581</v>
      </c>
      <c r="C939" s="2" t="s">
        <v>49</v>
      </c>
      <c r="D939" s="5"/>
      <c r="E939" s="5"/>
    </row>
    <row r="940">
      <c r="A940" s="2" t="s">
        <v>2582</v>
      </c>
      <c r="B940" s="2" t="s">
        <v>2583</v>
      </c>
      <c r="C940" s="2" t="s">
        <v>2584</v>
      </c>
      <c r="D940" s="5"/>
      <c r="E940" s="5"/>
    </row>
    <row r="941">
      <c r="A941" s="2" t="s">
        <v>2585</v>
      </c>
      <c r="B941" s="2" t="s">
        <v>2586</v>
      </c>
      <c r="C941" s="2" t="s">
        <v>2587</v>
      </c>
      <c r="D941" s="5"/>
      <c r="E941" s="5"/>
    </row>
    <row r="942">
      <c r="A942" s="2" t="s">
        <v>2588</v>
      </c>
      <c r="B942" s="2" t="s">
        <v>2589</v>
      </c>
      <c r="C942" s="7"/>
      <c r="D942" s="7"/>
      <c r="E942" s="7"/>
    </row>
    <row r="943">
      <c r="A943" s="2" t="s">
        <v>2590</v>
      </c>
      <c r="B943" s="2" t="s">
        <v>2591</v>
      </c>
      <c r="C943" s="2" t="s">
        <v>2590</v>
      </c>
      <c r="D943" s="5"/>
      <c r="E943" s="5"/>
    </row>
    <row r="944">
      <c r="A944" s="2" t="s">
        <v>2592</v>
      </c>
      <c r="B944" s="2" t="s">
        <v>2593</v>
      </c>
      <c r="C944" s="2" t="s">
        <v>2592</v>
      </c>
      <c r="D944" s="5"/>
      <c r="E944" s="5"/>
    </row>
    <row r="945">
      <c r="A945" s="2" t="s">
        <v>2594</v>
      </c>
      <c r="B945" s="2" t="s">
        <v>2595</v>
      </c>
      <c r="C945" s="2" t="s">
        <v>2596</v>
      </c>
      <c r="D945" s="5"/>
      <c r="E945" s="5"/>
    </row>
    <row r="946">
      <c r="A946" s="2" t="s">
        <v>2597</v>
      </c>
      <c r="B946" s="2" t="s">
        <v>2598</v>
      </c>
      <c r="C946" s="2" t="s">
        <v>2599</v>
      </c>
      <c r="D946" s="5"/>
      <c r="E946" s="5"/>
    </row>
    <row r="947">
      <c r="A947" s="2" t="s">
        <v>2600</v>
      </c>
      <c r="B947" s="2" t="s">
        <v>2601</v>
      </c>
      <c r="C947" s="2" t="s">
        <v>2602</v>
      </c>
      <c r="D947" s="5"/>
      <c r="E947" s="5"/>
    </row>
    <row r="948">
      <c r="A948" s="2" t="s">
        <v>2603</v>
      </c>
      <c r="B948" s="2" t="s">
        <v>2604</v>
      </c>
      <c r="C948" s="2" t="s">
        <v>2605</v>
      </c>
      <c r="D948" s="5"/>
      <c r="E948" s="5"/>
    </row>
    <row r="949">
      <c r="A949" s="2" t="s">
        <v>2606</v>
      </c>
      <c r="B949" s="2" t="s">
        <v>2607</v>
      </c>
      <c r="C949" s="2" t="s">
        <v>2608</v>
      </c>
      <c r="D949" s="5"/>
      <c r="E949" s="5"/>
    </row>
    <row r="950">
      <c r="A950" s="2" t="s">
        <v>2609</v>
      </c>
      <c r="B950" s="2" t="s">
        <v>2610</v>
      </c>
      <c r="C950" s="2" t="s">
        <v>2609</v>
      </c>
      <c r="D950" s="5"/>
      <c r="E950" s="5"/>
    </row>
    <row r="951">
      <c r="A951" s="2" t="s">
        <v>2611</v>
      </c>
      <c r="B951" s="2" t="s">
        <v>2612</v>
      </c>
      <c r="C951" s="2" t="s">
        <v>2611</v>
      </c>
      <c r="D951" s="5"/>
      <c r="E951" s="5"/>
    </row>
    <row r="952">
      <c r="A952" s="2" t="s">
        <v>2613</v>
      </c>
      <c r="B952" s="2" t="s">
        <v>2614</v>
      </c>
      <c r="C952" s="2" t="s">
        <v>2615</v>
      </c>
      <c r="D952" s="5"/>
      <c r="E952" s="5"/>
    </row>
    <row r="953">
      <c r="A953" s="2" t="s">
        <v>2616</v>
      </c>
      <c r="B953" s="2" t="s">
        <v>2617</v>
      </c>
      <c r="C953" s="2" t="s">
        <v>2618</v>
      </c>
      <c r="D953" s="5"/>
      <c r="E953" s="5"/>
    </row>
    <row r="954">
      <c r="A954" s="2" t="s">
        <v>2619</v>
      </c>
      <c r="B954" s="2" t="s">
        <v>2620</v>
      </c>
      <c r="C954" s="2" t="s">
        <v>2621</v>
      </c>
      <c r="D954" s="5"/>
      <c r="E954" s="5"/>
    </row>
    <row r="955">
      <c r="A955" s="2" t="s">
        <v>2622</v>
      </c>
      <c r="B955" s="2" t="s">
        <v>2623</v>
      </c>
      <c r="C955" s="2" t="s">
        <v>2624</v>
      </c>
      <c r="D955" s="5"/>
      <c r="E955" s="5"/>
    </row>
    <row r="956">
      <c r="A956" s="2" t="s">
        <v>2625</v>
      </c>
      <c r="B956" s="2" t="s">
        <v>2626</v>
      </c>
      <c r="C956" s="2" t="s">
        <v>2627</v>
      </c>
      <c r="D956" s="5"/>
      <c r="E956" s="5"/>
    </row>
    <row r="957">
      <c r="A957" s="2" t="s">
        <v>2628</v>
      </c>
      <c r="B957" s="2" t="s">
        <v>2629</v>
      </c>
      <c r="C957" s="2" t="s">
        <v>2630</v>
      </c>
      <c r="D957" s="5"/>
      <c r="E957" s="5"/>
    </row>
    <row r="958">
      <c r="A958" s="2" t="s">
        <v>2631</v>
      </c>
      <c r="B958" s="2" t="s">
        <v>2632</v>
      </c>
      <c r="C958" s="2" t="s">
        <v>2631</v>
      </c>
      <c r="D958" s="5"/>
      <c r="E958" s="5"/>
    </row>
    <row r="959">
      <c r="A959" s="2" t="s">
        <v>2633</v>
      </c>
      <c r="B959" s="2" t="s">
        <v>2634</v>
      </c>
      <c r="C959" s="2" t="s">
        <v>2633</v>
      </c>
      <c r="D959" s="5"/>
      <c r="E959" s="5"/>
    </row>
    <row r="960">
      <c r="A960" s="2" t="s">
        <v>2635</v>
      </c>
      <c r="B960" s="2" t="s">
        <v>2636</v>
      </c>
      <c r="C960" s="2" t="s">
        <v>2637</v>
      </c>
      <c r="D960" s="5"/>
      <c r="E960" s="5"/>
    </row>
    <row r="961">
      <c r="A961" s="2" t="s">
        <v>2638</v>
      </c>
      <c r="B961" s="2" t="s">
        <v>2639</v>
      </c>
      <c r="C961" s="2" t="s">
        <v>2640</v>
      </c>
      <c r="D961" s="5"/>
      <c r="E961" s="5"/>
    </row>
    <row r="962">
      <c r="A962" s="2" t="s">
        <v>2641</v>
      </c>
      <c r="B962" s="2" t="s">
        <v>2642</v>
      </c>
      <c r="C962" s="2" t="s">
        <v>2643</v>
      </c>
      <c r="D962" s="5"/>
      <c r="E962" s="5"/>
    </row>
    <row r="963">
      <c r="A963" s="2" t="s">
        <v>2644</v>
      </c>
      <c r="B963" s="2" t="s">
        <v>2645</v>
      </c>
      <c r="C963" s="2" t="s">
        <v>2646</v>
      </c>
      <c r="D963" s="5"/>
      <c r="E963" s="5"/>
    </row>
    <row r="964">
      <c r="A964" s="2" t="s">
        <v>2647</v>
      </c>
      <c r="B964" s="2" t="s">
        <v>2648</v>
      </c>
      <c r="C964" s="2" t="s">
        <v>2649</v>
      </c>
      <c r="D964" s="5"/>
      <c r="E964" s="5"/>
    </row>
    <row r="965">
      <c r="A965" s="2" t="s">
        <v>2650</v>
      </c>
      <c r="B965" s="2" t="s">
        <v>2651</v>
      </c>
      <c r="C965" s="2" t="s">
        <v>2652</v>
      </c>
      <c r="D965" s="5"/>
      <c r="E965" s="5"/>
    </row>
    <row r="966">
      <c r="A966" s="2" t="s">
        <v>2653</v>
      </c>
      <c r="B966" s="2" t="s">
        <v>2654</v>
      </c>
      <c r="C966" s="2" t="s">
        <v>2653</v>
      </c>
      <c r="D966" s="5"/>
      <c r="E966" s="5"/>
    </row>
    <row r="967">
      <c r="A967" s="2" t="s">
        <v>2655</v>
      </c>
      <c r="B967" s="2" t="s">
        <v>2656</v>
      </c>
      <c r="C967" s="2" t="s">
        <v>2657</v>
      </c>
      <c r="D967" s="5"/>
      <c r="E967" s="5"/>
    </row>
    <row r="968">
      <c r="A968" s="2" t="s">
        <v>2658</v>
      </c>
      <c r="B968" s="2" t="s">
        <v>2659</v>
      </c>
      <c r="C968" s="2" t="s">
        <v>2660</v>
      </c>
      <c r="D968" s="5"/>
      <c r="E968" s="5"/>
    </row>
    <row r="969">
      <c r="A969" s="2" t="s">
        <v>2661</v>
      </c>
      <c r="B969" s="2" t="s">
        <v>2662</v>
      </c>
      <c r="C969" s="2" t="s">
        <v>2663</v>
      </c>
      <c r="D969" s="5"/>
      <c r="E969" s="5"/>
    </row>
    <row r="970">
      <c r="A970" s="2" t="s">
        <v>2664</v>
      </c>
      <c r="B970" s="2" t="s">
        <v>2283</v>
      </c>
      <c r="C970" s="2" t="s">
        <v>2665</v>
      </c>
      <c r="D970" s="5"/>
      <c r="E970" s="5"/>
    </row>
    <row r="971">
      <c r="A971" s="2" t="s">
        <v>2666</v>
      </c>
      <c r="B971" s="2" t="s">
        <v>2667</v>
      </c>
      <c r="C971" s="2" t="s">
        <v>2666</v>
      </c>
      <c r="D971" s="5"/>
      <c r="E971" s="5"/>
    </row>
    <row r="972">
      <c r="A972" s="2" t="s">
        <v>2668</v>
      </c>
      <c r="B972" s="2" t="s">
        <v>2669</v>
      </c>
      <c r="C972" s="2" t="s">
        <v>2670</v>
      </c>
      <c r="D972" s="5"/>
      <c r="E972" s="5"/>
    </row>
    <row r="973">
      <c r="A973" s="2" t="s">
        <v>2671</v>
      </c>
      <c r="B973" s="2" t="s">
        <v>2672</v>
      </c>
      <c r="C973" s="2" t="s">
        <v>49</v>
      </c>
      <c r="D973" s="5"/>
      <c r="E973" s="5"/>
    </row>
    <row r="974">
      <c r="A974" s="2" t="s">
        <v>2673</v>
      </c>
      <c r="B974" s="2" t="s">
        <v>2674</v>
      </c>
      <c r="C974" s="2" t="s">
        <v>2675</v>
      </c>
      <c r="D974" s="5"/>
      <c r="E974" s="5"/>
    </row>
    <row r="975">
      <c r="A975" s="2" t="s">
        <v>2676</v>
      </c>
      <c r="B975" s="2" t="s">
        <v>2677</v>
      </c>
      <c r="C975" s="2" t="s">
        <v>2678</v>
      </c>
      <c r="D975" s="5"/>
      <c r="E975" s="5"/>
    </row>
    <row r="976">
      <c r="A976" s="2" t="s">
        <v>2679</v>
      </c>
      <c r="B976" s="2" t="s">
        <v>2680</v>
      </c>
      <c r="C976" s="2" t="s">
        <v>2681</v>
      </c>
      <c r="D976" s="5"/>
      <c r="E976" s="5"/>
    </row>
    <row r="977">
      <c r="A977" s="2" t="s">
        <v>2682</v>
      </c>
      <c r="B977" s="2" t="s">
        <v>2683</v>
      </c>
      <c r="C977" s="2" t="s">
        <v>2684</v>
      </c>
      <c r="D977" s="5"/>
      <c r="E977" s="5"/>
    </row>
    <row r="978">
      <c r="A978" s="2" t="s">
        <v>2685</v>
      </c>
      <c r="B978" s="2" t="s">
        <v>2686</v>
      </c>
      <c r="C978" s="2" t="s">
        <v>2687</v>
      </c>
      <c r="D978" s="5"/>
      <c r="E978" s="5"/>
    </row>
    <row r="979">
      <c r="A979" s="2" t="s">
        <v>2688</v>
      </c>
      <c r="B979" s="2" t="s">
        <v>2152</v>
      </c>
      <c r="C979" s="2" t="s">
        <v>2689</v>
      </c>
      <c r="D979" s="5"/>
      <c r="E979" s="5"/>
    </row>
    <row r="980">
      <c r="A980" s="2" t="s">
        <v>2690</v>
      </c>
      <c r="B980" s="2" t="s">
        <v>2691</v>
      </c>
      <c r="C980" s="2" t="s">
        <v>2692</v>
      </c>
      <c r="D980" s="5"/>
      <c r="E980" s="5"/>
    </row>
    <row r="981">
      <c r="A981" s="2" t="s">
        <v>2693</v>
      </c>
      <c r="B981" s="2" t="s">
        <v>2694</v>
      </c>
      <c r="C981" s="2" t="s">
        <v>2695</v>
      </c>
      <c r="D981" s="5"/>
      <c r="E981" s="5"/>
    </row>
    <row r="982">
      <c r="A982" s="2" t="s">
        <v>2696</v>
      </c>
      <c r="B982" s="2" t="s">
        <v>2697</v>
      </c>
      <c r="C982" s="2" t="s">
        <v>2698</v>
      </c>
      <c r="D982" s="5"/>
      <c r="E982" s="5"/>
    </row>
    <row r="983">
      <c r="A983" s="2" t="s">
        <v>2699</v>
      </c>
      <c r="B983" s="2" t="s">
        <v>2700</v>
      </c>
      <c r="C983" s="2" t="s">
        <v>2701</v>
      </c>
      <c r="D983" s="5"/>
      <c r="E983" s="5"/>
    </row>
    <row r="984">
      <c r="A984" s="2" t="s">
        <v>2702</v>
      </c>
      <c r="B984" s="2" t="s">
        <v>2703</v>
      </c>
      <c r="C984" s="2" t="s">
        <v>2702</v>
      </c>
      <c r="D984" s="5"/>
      <c r="E984" s="5"/>
    </row>
    <row r="985">
      <c r="A985" s="2" t="s">
        <v>2704</v>
      </c>
      <c r="B985" s="2" t="s">
        <v>2705</v>
      </c>
      <c r="C985" s="2" t="s">
        <v>2706</v>
      </c>
      <c r="D985" s="5"/>
      <c r="E985" s="5"/>
    </row>
    <row r="986">
      <c r="A986" s="2" t="s">
        <v>2707</v>
      </c>
      <c r="B986" s="2" t="s">
        <v>2708</v>
      </c>
      <c r="C986" s="2" t="s">
        <v>2709</v>
      </c>
      <c r="D986" s="5"/>
      <c r="E986" s="5"/>
    </row>
    <row r="987">
      <c r="A987" s="2" t="s">
        <v>2710</v>
      </c>
      <c r="B987" s="2" t="s">
        <v>2711</v>
      </c>
      <c r="C987" s="2" t="s">
        <v>2712</v>
      </c>
      <c r="D987" s="5"/>
      <c r="E987" s="5"/>
    </row>
    <row r="988">
      <c r="A988" s="2" t="s">
        <v>2713</v>
      </c>
      <c r="B988" s="2" t="s">
        <v>2714</v>
      </c>
      <c r="C988" s="2" t="s">
        <v>2715</v>
      </c>
      <c r="D988" s="5"/>
      <c r="E988" s="5"/>
    </row>
    <row r="989">
      <c r="A989" s="2" t="s">
        <v>2716</v>
      </c>
      <c r="B989" s="2" t="s">
        <v>2717</v>
      </c>
      <c r="C989" s="2" t="s">
        <v>49</v>
      </c>
      <c r="D989" s="5"/>
      <c r="E989" s="5"/>
    </row>
    <row r="990">
      <c r="A990" s="2" t="s">
        <v>2718</v>
      </c>
      <c r="B990" s="2" t="s">
        <v>2719</v>
      </c>
      <c r="C990" s="2" t="s">
        <v>2720</v>
      </c>
      <c r="D990" s="5"/>
      <c r="E990" s="5"/>
    </row>
    <row r="991">
      <c r="A991" s="2" t="s">
        <v>2721</v>
      </c>
      <c r="B991" s="2" t="s">
        <v>2722</v>
      </c>
      <c r="C991" s="2" t="s">
        <v>2723</v>
      </c>
      <c r="D991" s="5"/>
      <c r="E991" s="5"/>
    </row>
    <row r="992">
      <c r="A992" s="2" t="s">
        <v>2724</v>
      </c>
      <c r="B992" s="2" t="s">
        <v>2725</v>
      </c>
      <c r="C992" s="2" t="s">
        <v>2726</v>
      </c>
      <c r="D992" s="5"/>
      <c r="E992" s="5"/>
    </row>
    <row r="993">
      <c r="A993" s="2" t="s">
        <v>2727</v>
      </c>
      <c r="B993" s="2" t="s">
        <v>2728</v>
      </c>
      <c r="C993" s="2" t="s">
        <v>2729</v>
      </c>
      <c r="D993" s="5"/>
      <c r="E993" s="5"/>
    </row>
    <row r="994">
      <c r="A994" s="2" t="s">
        <v>2730</v>
      </c>
      <c r="B994" s="2" t="s">
        <v>2731</v>
      </c>
      <c r="C994" s="2" t="s">
        <v>2732</v>
      </c>
      <c r="D994" s="5"/>
      <c r="E994" s="5"/>
    </row>
    <row r="995">
      <c r="A995" s="2" t="s">
        <v>2733</v>
      </c>
      <c r="B995" s="2" t="s">
        <v>2734</v>
      </c>
      <c r="C995" s="2" t="s">
        <v>2712</v>
      </c>
      <c r="D995" s="5"/>
      <c r="E995" s="5"/>
    </row>
    <row r="996">
      <c r="A996" s="2" t="s">
        <v>2735</v>
      </c>
      <c r="B996" s="2" t="s">
        <v>2736</v>
      </c>
      <c r="C996" s="2" t="s">
        <v>2737</v>
      </c>
      <c r="D996" s="5"/>
      <c r="E996" s="5"/>
    </row>
    <row r="997">
      <c r="A997" s="2" t="s">
        <v>2738</v>
      </c>
      <c r="B997" s="2" t="s">
        <v>2739</v>
      </c>
      <c r="C997" s="2" t="s">
        <v>2712</v>
      </c>
      <c r="D997" s="5"/>
      <c r="E997" s="5"/>
    </row>
    <row r="998">
      <c r="A998" s="2" t="s">
        <v>2740</v>
      </c>
      <c r="B998" s="2" t="s">
        <v>2741</v>
      </c>
      <c r="C998" s="2" t="s">
        <v>1048</v>
      </c>
      <c r="D998" s="5"/>
      <c r="E998" s="5"/>
    </row>
    <row r="999">
      <c r="A999" s="2" t="s">
        <v>2742</v>
      </c>
      <c r="B999" s="2" t="s">
        <v>2743</v>
      </c>
      <c r="C999" s="2" t="s">
        <v>2744</v>
      </c>
      <c r="D999" s="5"/>
      <c r="E999" s="5"/>
    </row>
    <row r="1000">
      <c r="A1000" s="2" t="s">
        <v>2745</v>
      </c>
      <c r="B1000" s="2" t="s">
        <v>2746</v>
      </c>
      <c r="C1000" s="2" t="s">
        <v>2747</v>
      </c>
      <c r="D1000" s="5"/>
      <c r="E1000" s="5"/>
    </row>
    <row r="1001">
      <c r="A1001" s="2" t="s">
        <v>2748</v>
      </c>
      <c r="B1001" s="2" t="s">
        <v>2749</v>
      </c>
      <c r="C1001" s="2" t="s">
        <v>2750</v>
      </c>
      <c r="D1001" s="5"/>
      <c r="E1001" s="5"/>
    </row>
    <row r="1002">
      <c r="A1002" s="2" t="s">
        <v>2751</v>
      </c>
      <c r="B1002" s="2" t="s">
        <v>2752</v>
      </c>
      <c r="C1002" s="2" t="s">
        <v>2753</v>
      </c>
      <c r="D1002" s="5"/>
      <c r="E1002" s="5"/>
    </row>
    <row r="1003">
      <c r="A1003" s="2" t="s">
        <v>2754</v>
      </c>
      <c r="B1003" s="2" t="s">
        <v>2755</v>
      </c>
      <c r="C1003" s="2" t="s">
        <v>2756</v>
      </c>
      <c r="D1003" s="5"/>
      <c r="E1003" s="5"/>
    </row>
    <row r="1004">
      <c r="A1004" s="2" t="s">
        <v>2757</v>
      </c>
      <c r="B1004" s="2" t="s">
        <v>2758</v>
      </c>
      <c r="C1004" s="2" t="s">
        <v>2759</v>
      </c>
      <c r="D1004" s="5"/>
      <c r="E1004" s="5"/>
    </row>
    <row r="1005">
      <c r="A1005" s="2" t="s">
        <v>2760</v>
      </c>
      <c r="B1005" s="2" t="s">
        <v>2761</v>
      </c>
      <c r="C1005" s="2" t="s">
        <v>2762</v>
      </c>
      <c r="D1005" s="5"/>
      <c r="E1005" s="5"/>
    </row>
    <row r="1006">
      <c r="A1006" s="2" t="s">
        <v>2763</v>
      </c>
      <c r="B1006" s="2" t="s">
        <v>2764</v>
      </c>
      <c r="C1006" s="2" t="s">
        <v>2765</v>
      </c>
      <c r="D1006" s="5"/>
      <c r="E1006" s="5"/>
    </row>
    <row r="1007">
      <c r="A1007" s="2" t="s">
        <v>2766</v>
      </c>
      <c r="B1007" s="2" t="s">
        <v>2767</v>
      </c>
      <c r="C1007" s="2" t="s">
        <v>2768</v>
      </c>
      <c r="D1007" s="5"/>
      <c r="E1007" s="5"/>
    </row>
    <row r="1008">
      <c r="A1008" s="2" t="s">
        <v>2769</v>
      </c>
      <c r="B1008" s="2" t="s">
        <v>2770</v>
      </c>
      <c r="C1008" s="2" t="s">
        <v>2771</v>
      </c>
      <c r="D1008" s="5"/>
      <c r="E1008" s="5"/>
    </row>
    <row r="1009">
      <c r="A1009" s="2" t="s">
        <v>2772</v>
      </c>
      <c r="B1009" s="2" t="s">
        <v>2773</v>
      </c>
      <c r="C1009" s="2" t="s">
        <v>2774</v>
      </c>
      <c r="D1009" s="5"/>
      <c r="E1009" s="5"/>
    </row>
    <row r="1010">
      <c r="A1010" s="2" t="s">
        <v>2775</v>
      </c>
      <c r="B1010" s="2" t="s">
        <v>2776</v>
      </c>
      <c r="C1010" s="7"/>
      <c r="D1010" s="7"/>
      <c r="E1010" s="7"/>
    </row>
    <row r="1011">
      <c r="A1011" s="2" t="s">
        <v>2777</v>
      </c>
      <c r="B1011" s="2" t="s">
        <v>2778</v>
      </c>
      <c r="C1011" s="2" t="s">
        <v>49</v>
      </c>
      <c r="D1011" s="5"/>
      <c r="E1011" s="5"/>
    </row>
    <row r="1012">
      <c r="A1012" s="2" t="s">
        <v>2779</v>
      </c>
      <c r="B1012" s="2" t="s">
        <v>2780</v>
      </c>
      <c r="C1012" s="2" t="s">
        <v>2781</v>
      </c>
      <c r="D1012" s="5"/>
      <c r="E1012" s="5"/>
    </row>
    <row r="1013">
      <c r="A1013" s="2" t="s">
        <v>2782</v>
      </c>
      <c r="B1013" s="2" t="s">
        <v>2783</v>
      </c>
      <c r="C1013" s="2" t="s">
        <v>2784</v>
      </c>
      <c r="D1013" s="5"/>
      <c r="E1013" s="5"/>
    </row>
    <row r="1014">
      <c r="A1014" s="2" t="s">
        <v>2785</v>
      </c>
      <c r="B1014" s="2" t="s">
        <v>2786</v>
      </c>
      <c r="C1014" s="2" t="s">
        <v>2787</v>
      </c>
      <c r="D1014" s="5"/>
      <c r="E1014" s="5"/>
    </row>
    <row r="1015">
      <c r="A1015" s="2" t="s">
        <v>2788</v>
      </c>
      <c r="B1015" s="2" t="s">
        <v>1481</v>
      </c>
      <c r="C1015" s="2" t="s">
        <v>2789</v>
      </c>
      <c r="D1015" s="5"/>
      <c r="E1015" s="5"/>
    </row>
    <row r="1016">
      <c r="A1016" s="2" t="s">
        <v>2790</v>
      </c>
      <c r="B1016" s="2" t="s">
        <v>2791</v>
      </c>
      <c r="C1016" s="2" t="s">
        <v>2792</v>
      </c>
      <c r="D1016" s="5"/>
      <c r="E1016" s="5"/>
    </row>
    <row r="1017">
      <c r="A1017" s="2" t="s">
        <v>2793</v>
      </c>
      <c r="B1017" s="2" t="s">
        <v>2794</v>
      </c>
      <c r="C1017" s="2" t="s">
        <v>2795</v>
      </c>
      <c r="D1017" s="5"/>
      <c r="E1017" s="5"/>
    </row>
    <row r="1018">
      <c r="A1018" s="2" t="s">
        <v>2796</v>
      </c>
      <c r="B1018" s="2" t="s">
        <v>2797</v>
      </c>
      <c r="C1018" s="2" t="s">
        <v>2798</v>
      </c>
      <c r="D1018" s="5"/>
      <c r="E1018" s="5"/>
    </row>
    <row r="1019">
      <c r="A1019" s="2" t="s">
        <v>2799</v>
      </c>
      <c r="B1019" s="2" t="s">
        <v>2800</v>
      </c>
      <c r="C1019" s="2" t="s">
        <v>2801</v>
      </c>
      <c r="D1019" s="5"/>
      <c r="E1019" s="5"/>
    </row>
    <row r="1020">
      <c r="A1020" s="2" t="s">
        <v>2802</v>
      </c>
      <c r="B1020" s="2" t="s">
        <v>2803</v>
      </c>
      <c r="C1020" s="2" t="s">
        <v>2804</v>
      </c>
      <c r="D1020" s="5"/>
      <c r="E1020" s="5"/>
    </row>
    <row r="1021">
      <c r="A1021" s="2" t="s">
        <v>2805</v>
      </c>
      <c r="B1021" s="2" t="s">
        <v>2806</v>
      </c>
      <c r="C1021" s="2" t="s">
        <v>2807</v>
      </c>
      <c r="D1021" s="5"/>
      <c r="E1021" s="5"/>
    </row>
    <row r="1022">
      <c r="A1022" s="2" t="s">
        <v>2808</v>
      </c>
      <c r="B1022" s="2" t="s">
        <v>2809</v>
      </c>
      <c r="C1022" s="2" t="s">
        <v>2810</v>
      </c>
      <c r="D1022" s="5"/>
      <c r="E1022" s="5"/>
    </row>
    <row r="1023">
      <c r="A1023" s="2" t="s">
        <v>2811</v>
      </c>
      <c r="B1023" s="2" t="s">
        <v>2812</v>
      </c>
      <c r="C1023" s="2" t="s">
        <v>2813</v>
      </c>
      <c r="D1023" s="5"/>
      <c r="E1023" s="5"/>
    </row>
    <row r="1024">
      <c r="A1024" s="2" t="s">
        <v>2814</v>
      </c>
      <c r="B1024" s="2" t="s">
        <v>2815</v>
      </c>
      <c r="C1024" s="2" t="s">
        <v>2816</v>
      </c>
      <c r="D1024" s="5"/>
      <c r="E1024" s="5"/>
    </row>
    <row r="1025">
      <c r="A1025" s="2" t="s">
        <v>2817</v>
      </c>
      <c r="B1025" s="2" t="s">
        <v>2818</v>
      </c>
      <c r="C1025" s="2" t="s">
        <v>2819</v>
      </c>
      <c r="D1025" s="5"/>
      <c r="E1025" s="5"/>
    </row>
    <row r="1026">
      <c r="A1026" s="2" t="s">
        <v>2820</v>
      </c>
      <c r="B1026" s="2" t="s">
        <v>2821</v>
      </c>
      <c r="C1026" s="2" t="s">
        <v>2822</v>
      </c>
      <c r="D1026" s="5"/>
      <c r="E1026" s="5"/>
    </row>
    <row r="1027">
      <c r="A1027" s="2" t="s">
        <v>2823</v>
      </c>
      <c r="B1027" s="2" t="s">
        <v>2824</v>
      </c>
      <c r="C1027" s="2" t="s">
        <v>2823</v>
      </c>
      <c r="D1027" s="5"/>
      <c r="E1027" s="5"/>
    </row>
    <row r="1028">
      <c r="A1028" s="2" t="s">
        <v>2825</v>
      </c>
      <c r="B1028" s="2" t="s">
        <v>2826</v>
      </c>
      <c r="C1028" s="2" t="s">
        <v>2827</v>
      </c>
      <c r="D1028" s="5"/>
      <c r="E1028" s="5"/>
    </row>
    <row r="1029">
      <c r="A1029" s="2" t="s">
        <v>2828</v>
      </c>
      <c r="B1029" s="2" t="s">
        <v>2829</v>
      </c>
      <c r="C1029" s="2" t="s">
        <v>2830</v>
      </c>
      <c r="D1029" s="5"/>
      <c r="E1029" s="5"/>
    </row>
  </sheetData>
  <hyperlinks>
    <hyperlink r:id="rId1" ref="D2"/>
    <hyperlink r:id="rId2" ref="D3"/>
  </hyperlinks>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5"/>
    <col customWidth="1" min="2" max="2" width="37.75"/>
    <col customWidth="1" min="3" max="3" width="37.38"/>
  </cols>
  <sheetData>
    <row r="1">
      <c r="A1" s="1" t="s">
        <v>1</v>
      </c>
      <c r="B1" s="1" t="s">
        <v>0</v>
      </c>
      <c r="C1" s="1" t="s">
        <v>2</v>
      </c>
      <c r="D1" s="8" t="s">
        <v>3</v>
      </c>
      <c r="E1" s="8" t="s">
        <v>4</v>
      </c>
      <c r="F1" s="9"/>
      <c r="G1" s="9"/>
      <c r="H1" s="9"/>
      <c r="I1" s="9"/>
      <c r="J1" s="9"/>
      <c r="K1" s="9"/>
      <c r="L1" s="9"/>
      <c r="M1" s="9"/>
      <c r="N1" s="9"/>
      <c r="O1" s="9"/>
      <c r="P1" s="9"/>
      <c r="Q1" s="9"/>
      <c r="R1" s="9"/>
      <c r="S1" s="9"/>
      <c r="T1" s="9"/>
      <c r="U1" s="9"/>
      <c r="V1" s="9"/>
      <c r="W1" s="9"/>
      <c r="X1" s="9"/>
      <c r="Y1" s="9"/>
      <c r="Z1" s="9"/>
    </row>
    <row r="2">
      <c r="A2" s="10" t="str">
        <f>IFERROR(__xludf.DUMMYFUNCTION("sort(query('Eng-Fin-Swe (master)'!A2:G1501, ""select B,A,C,D,E,F,G""))"),"aalloke, aaltonen")</f>
        <v>aalloke, aaltonen</v>
      </c>
      <c r="B2" s="2" t="str">
        <f>IFERROR(__xludf.DUMMYFUNCTION("""COMPUTED_VALUE"""),"wavelet")</f>
        <v>wavelet</v>
      </c>
      <c r="C2" s="2" t="str">
        <f>IFERROR(__xludf.DUMMYFUNCTION("""COMPUTED_VALUE"""),"krusning")</f>
        <v>krusning</v>
      </c>
      <c r="D2" s="5"/>
      <c r="E2" s="5"/>
      <c r="F2" s="11"/>
      <c r="G2" s="11"/>
    </row>
    <row r="3">
      <c r="A3" s="2" t="str">
        <f>IFERROR(__xludf.DUMMYFUNCTION("""COMPUTED_VALUE"""),"Abelin ryhmä (""aabelin"")")</f>
        <v>Abelin ryhmä ("aabelin")</v>
      </c>
      <c r="B3" s="2" t="str">
        <f>IFERROR(__xludf.DUMMYFUNCTION("""COMPUTED_VALUE"""),"Abelian group")</f>
        <v>Abelian group</v>
      </c>
      <c r="C3" s="2" t="str">
        <f>IFERROR(__xludf.DUMMYFUNCTION("""COMPUTED_VALUE"""),"Abelsk grupp")</f>
        <v>Abelsk grupp</v>
      </c>
      <c r="D3" s="5"/>
      <c r="E3" s="5"/>
      <c r="F3" s="11"/>
      <c r="G3" s="11"/>
    </row>
    <row r="4">
      <c r="A4" s="2" t="str">
        <f>IFERROR(__xludf.DUMMYFUNCTION("""COMPUTED_VALUE"""),"absoluuttinen jatkuvuus")</f>
        <v>absoluuttinen jatkuvuus</v>
      </c>
      <c r="B4" s="2" t="str">
        <f>IFERROR(__xludf.DUMMYFUNCTION("""COMPUTED_VALUE"""),"absolute continuity")</f>
        <v>absolute continuity</v>
      </c>
      <c r="C4" s="2" t="str">
        <f>IFERROR(__xludf.DUMMYFUNCTION("""COMPUTED_VALUE"""),"absolut kontinuitet")</f>
        <v>absolut kontinuitet</v>
      </c>
      <c r="D4" s="5"/>
      <c r="E4" s="5"/>
      <c r="F4" s="11"/>
      <c r="G4" s="11"/>
    </row>
    <row r="5">
      <c r="A5" s="2" t="str">
        <f>IFERROR(__xludf.DUMMYFUNCTION("""COMPUTED_VALUE"""),"absorboiva")</f>
        <v>absorboiva</v>
      </c>
      <c r="B5" s="2" t="str">
        <f>IFERROR(__xludf.DUMMYFUNCTION("""COMPUTED_VALUE"""),"absorbing")</f>
        <v>absorbing</v>
      </c>
      <c r="C5" s="2" t="str">
        <f>IFERROR(__xludf.DUMMYFUNCTION("""COMPUTED_VALUE"""),"absorberande")</f>
        <v>absorberande</v>
      </c>
      <c r="D5" s="5"/>
      <c r="E5" s="5"/>
      <c r="F5" s="11"/>
      <c r="G5" s="11"/>
    </row>
    <row r="6">
      <c r="A6" s="2" t="str">
        <f>IFERROR(__xludf.DUMMYFUNCTION("""COMPUTED_VALUE"""),"additiivinen")</f>
        <v>additiivinen</v>
      </c>
      <c r="B6" s="2" t="str">
        <f>IFERROR(__xludf.DUMMYFUNCTION("""COMPUTED_VALUE"""),"additive")</f>
        <v>additive</v>
      </c>
      <c r="C6" s="2" t="str">
        <f>IFERROR(__xludf.DUMMYFUNCTION("""COMPUTED_VALUE"""),"additiv")</f>
        <v>additiv</v>
      </c>
      <c r="D6" s="5"/>
      <c r="E6" s="5"/>
      <c r="F6" s="11"/>
      <c r="G6" s="11"/>
    </row>
    <row r="7">
      <c r="A7" s="2" t="str">
        <f>IFERROR(__xludf.DUMMYFUNCTION("""COMPUTED_VALUE"""),"adjungaatti, adjunkti")</f>
        <v>adjungaatti, adjunkti</v>
      </c>
      <c r="B7" s="2" t="str">
        <f>IFERROR(__xludf.DUMMYFUNCTION("""COMPUTED_VALUE"""),"adjoint")</f>
        <v>adjoint</v>
      </c>
      <c r="C7" s="2" t="str">
        <f>IFERROR(__xludf.DUMMYFUNCTION("""COMPUTED_VALUE"""),"adjungerad")</f>
        <v>adjungerad</v>
      </c>
      <c r="D7" s="5"/>
      <c r="E7" s="5"/>
      <c r="F7" s="11"/>
      <c r="G7" s="11"/>
    </row>
    <row r="8">
      <c r="A8" s="2" t="str">
        <f>IFERROR(__xludf.DUMMYFUNCTION("""COMPUTED_VALUE"""),"affiini, affiininen")</f>
        <v>affiini, affiininen</v>
      </c>
      <c r="B8" s="2" t="str">
        <f>IFERROR(__xludf.DUMMYFUNCTION("""COMPUTED_VALUE"""),"affine")</f>
        <v>affine</v>
      </c>
      <c r="C8" s="2" t="str">
        <f>IFERROR(__xludf.DUMMYFUNCTION("""COMPUTED_VALUE"""),"affin")</f>
        <v>affin</v>
      </c>
      <c r="D8" s="5"/>
      <c r="E8" s="5"/>
      <c r="F8" s="11"/>
      <c r="G8" s="11"/>
    </row>
    <row r="9">
      <c r="A9" s="2" t="str">
        <f>IFERROR(__xludf.DUMMYFUNCTION("""COMPUTED_VALUE"""),"aidosti (esim. aidosti kasvava)")</f>
        <v>aidosti (esim. aidosti kasvava)</v>
      </c>
      <c r="B9" s="2" t="str">
        <f>IFERROR(__xludf.DUMMYFUNCTION("""COMPUTED_VALUE"""),"strictly")</f>
        <v>strictly</v>
      </c>
      <c r="C9" s="2" t="str">
        <f>IFERROR(__xludf.DUMMYFUNCTION("""COMPUTED_VALUE"""),"strängt")</f>
        <v>strängt</v>
      </c>
      <c r="D9" s="5"/>
      <c r="E9" s="5"/>
      <c r="F9" s="11"/>
      <c r="G9" s="11"/>
    </row>
    <row r="10">
      <c r="A10" s="2" t="str">
        <f>IFERROR(__xludf.DUMMYFUNCTION("""COMPUTED_VALUE"""),"aito (osajoukko, aliavaruus)")</f>
        <v>aito (osajoukko, aliavaruus)</v>
      </c>
      <c r="B10" s="2" t="str">
        <f>IFERROR(__xludf.DUMMYFUNCTION("""COMPUTED_VALUE"""),"proper")</f>
        <v>proper</v>
      </c>
      <c r="C10" s="2" t="str">
        <f>IFERROR(__xludf.DUMMYFUNCTION("""COMPUTED_VALUE"""),"sträng")</f>
        <v>sträng</v>
      </c>
      <c r="D10" s="5"/>
      <c r="E10" s="5"/>
      <c r="F10" s="11"/>
      <c r="G10" s="11"/>
    </row>
    <row r="11">
      <c r="A11" s="2" t="str">
        <f>IFERROR(__xludf.DUMMYFUNCTION("""COMPUTED_VALUE"""),"aito osajoukko")</f>
        <v>aito osajoukko</v>
      </c>
      <c r="B11" s="2" t="str">
        <f>IFERROR(__xludf.DUMMYFUNCTION("""COMPUTED_VALUE"""),"proper subset")</f>
        <v>proper subset</v>
      </c>
      <c r="C11" s="2" t="str">
        <f>IFERROR(__xludf.DUMMYFUNCTION("""COMPUTED_VALUE"""),"äkta delmängd")</f>
        <v>äkta delmängd</v>
      </c>
      <c r="D11" s="5"/>
      <c r="E11" s="5"/>
      <c r="F11" s="11"/>
      <c r="G11" s="11"/>
    </row>
    <row r="12">
      <c r="A12" s="2" t="str">
        <f>IFERROR(__xludf.DUMMYFUNCTION("""COMPUTED_VALUE"""),"akseli (x-, kartion, paraabelin,...)")</f>
        <v>akseli (x-, kartion, paraabelin,...)</v>
      </c>
      <c r="B12" s="2" t="str">
        <f>IFERROR(__xludf.DUMMYFUNCTION("""COMPUTED_VALUE"""),"axis")</f>
        <v>axis</v>
      </c>
      <c r="C12" s="2" t="str">
        <f>IFERROR(__xludf.DUMMYFUNCTION("""COMPUTED_VALUE"""),"axel")</f>
        <v>axel</v>
      </c>
      <c r="D12" s="5"/>
      <c r="E12" s="5"/>
      <c r="F12" s="11"/>
      <c r="G12" s="11"/>
    </row>
    <row r="13">
      <c r="A13" s="2" t="str">
        <f>IFERROR(__xludf.DUMMYFUNCTION("""COMPUTED_VALUE"""),"aksiooma")</f>
        <v>aksiooma</v>
      </c>
      <c r="B13" s="2" t="str">
        <f>IFERROR(__xludf.DUMMYFUNCTION("""COMPUTED_VALUE"""),"axiom")</f>
        <v>axiom</v>
      </c>
      <c r="C13" s="2" t="str">
        <f>IFERROR(__xludf.DUMMYFUNCTION("""COMPUTED_VALUE"""),"axiom")</f>
        <v>axiom</v>
      </c>
      <c r="D13" s="5"/>
      <c r="E13" s="5"/>
      <c r="F13" s="11"/>
      <c r="G13" s="11"/>
    </row>
    <row r="14">
      <c r="A14" s="2" t="str">
        <f>IFERROR(__xludf.DUMMYFUNCTION("""COMPUTED_VALUE"""),"alakolmiomatriisi")</f>
        <v>alakolmiomatriisi</v>
      </c>
      <c r="B14" s="2" t="str">
        <f>IFERROR(__xludf.DUMMYFUNCTION("""COMPUTED_VALUE"""),"lower triangular matrix")</f>
        <v>lower triangular matrix</v>
      </c>
      <c r="C14" s="2" t="str">
        <f>IFERROR(__xludf.DUMMYFUNCTION("""COMPUTED_VALUE"""),"undertriangulär matris")</f>
        <v>undertriangulär matris</v>
      </c>
      <c r="D14" s="5"/>
      <c r="E14" s="5"/>
      <c r="F14" s="11"/>
      <c r="G14" s="11"/>
    </row>
    <row r="15">
      <c r="A15" s="2" t="str">
        <f>IFERROR(__xludf.DUMMYFUNCTION("""COMPUTED_VALUE"""),"alaraja")</f>
        <v>alaraja</v>
      </c>
      <c r="B15" s="2" t="str">
        <f>IFERROR(__xludf.DUMMYFUNCTION("""COMPUTED_VALUE"""),"lower bound")</f>
        <v>lower bound</v>
      </c>
      <c r="C15" s="2" t="str">
        <f>IFERROR(__xludf.DUMMYFUNCTION("""COMPUTED_VALUE"""),"lägre gräns")</f>
        <v>lägre gräns</v>
      </c>
      <c r="D15" s="5"/>
      <c r="E15" s="5"/>
      <c r="F15" s="11"/>
      <c r="G15" s="11"/>
    </row>
    <row r="16">
      <c r="A16" s="2" t="str">
        <f>IFERROR(__xludf.DUMMYFUNCTION("""COMPUTED_VALUE"""),"alaraja-arvo (liminf)")</f>
        <v>alaraja-arvo (liminf)</v>
      </c>
      <c r="B16" s="2" t="str">
        <f>IFERROR(__xludf.DUMMYFUNCTION("""COMPUTED_VALUE"""),"limes inferior")</f>
        <v>limes inferior</v>
      </c>
      <c r="C16" s="2" t="str">
        <f>IFERROR(__xludf.DUMMYFUNCTION("""COMPUTED_VALUE"""),"nedre gränsvärde")</f>
        <v>nedre gränsvärde</v>
      </c>
      <c r="D16" s="5"/>
      <c r="E16" s="5"/>
      <c r="F16" s="11"/>
      <c r="G16" s="11"/>
    </row>
    <row r="17">
      <c r="A17" s="2" t="str">
        <f>IFERROR(__xludf.DUMMYFUNCTION("""COMPUTED_VALUE"""),"alasumma")</f>
        <v>alasumma</v>
      </c>
      <c r="B17" s="2" t="str">
        <f>IFERROR(__xludf.DUMMYFUNCTION("""COMPUTED_VALUE"""),"lower sum")</f>
        <v>lower sum</v>
      </c>
      <c r="C17" s="2" t="str">
        <f>IFERROR(__xludf.DUMMYFUNCTION("""COMPUTED_VALUE"""),"undersumma")</f>
        <v>undersumma</v>
      </c>
      <c r="D17" s="5"/>
      <c r="E17" s="5"/>
      <c r="F17" s="11"/>
      <c r="G17" s="11"/>
    </row>
    <row r="18">
      <c r="A18" s="2" t="str">
        <f>IFERROR(__xludf.DUMMYFUNCTION("""COMPUTED_VALUE"""),"alfa (lausutaankin alfa, ei alffa; vast. beeta)")</f>
        <v>alfa (lausutaankin alfa, ei alffa; vast. beeta)</v>
      </c>
      <c r="B18" s="2" t="str">
        <f>IFERROR(__xludf.DUMMYFUNCTION("""COMPUTED_VALUE"""),"alpha")</f>
        <v>alpha</v>
      </c>
      <c r="C18" s="2" t="str">
        <f>IFERROR(__xludf.DUMMYFUNCTION("""COMPUTED_VALUE"""),"alfa")</f>
        <v>alfa</v>
      </c>
      <c r="D18" s="5"/>
      <c r="E18" s="5"/>
      <c r="F18" s="11"/>
      <c r="G18" s="11"/>
    </row>
    <row r="19">
      <c r="A19" s="2" t="str">
        <f>IFERROR(__xludf.DUMMYFUNCTION("""COMPUTED_VALUE"""),"algebrallinen kanta, Hamel-kanta, vektorikanta")</f>
        <v>algebrallinen kanta, Hamel-kanta, vektorikanta</v>
      </c>
      <c r="B19" s="2" t="str">
        <f>IFERROR(__xludf.DUMMYFUNCTION("""COMPUTED_VALUE"""),"algebraic basis, Hamel basis, vector basis")</f>
        <v>algebraic basis, Hamel basis, vector basis</v>
      </c>
      <c r="C19" s="2" t="str">
        <f>IFERROR(__xludf.DUMMYFUNCTION("""COMPUTED_VALUE"""),"algebraisk bas")</f>
        <v>algebraisk bas</v>
      </c>
      <c r="D19" s="5"/>
      <c r="E19" s="5"/>
      <c r="F19" s="11"/>
      <c r="G19" s="11"/>
    </row>
    <row r="20">
      <c r="A20" s="2" t="str">
        <f>IFERROR(__xludf.DUMMYFUNCTION("""COMPUTED_VALUE"""),"algebrallinen kertaluku")</f>
        <v>algebrallinen kertaluku</v>
      </c>
      <c r="B20" s="2" t="str">
        <f>IFERROR(__xludf.DUMMYFUNCTION("""COMPUTED_VALUE"""),"algebraic multiplicity")</f>
        <v>algebraic multiplicity</v>
      </c>
      <c r="C20" s="2" t="str">
        <f>IFERROR(__xludf.DUMMYFUNCTION("""COMPUTED_VALUE"""),"algebraisk mångfald")</f>
        <v>algebraisk mångfald</v>
      </c>
      <c r="D20" s="5"/>
      <c r="E20" s="5"/>
      <c r="F20" s="11"/>
      <c r="G20" s="11"/>
    </row>
    <row r="21">
      <c r="A21" s="2" t="str">
        <f>IFERROR(__xludf.DUMMYFUNCTION("""COMPUTED_VALUE"""),"algoritmi")</f>
        <v>algoritmi</v>
      </c>
      <c r="B21" s="2" t="str">
        <f>IFERROR(__xludf.DUMMYFUNCTION("""COMPUTED_VALUE"""),"algorithm")</f>
        <v>algorithm</v>
      </c>
      <c r="C21" s="2" t="str">
        <f>IFERROR(__xludf.DUMMYFUNCTION("""COMPUTED_VALUE"""),"algoritm")</f>
        <v>algoritm</v>
      </c>
      <c r="D21" s="5"/>
      <c r="E21" s="5"/>
      <c r="F21" s="11"/>
      <c r="G21" s="11"/>
    </row>
    <row r="22">
      <c r="A22" s="2" t="str">
        <f>IFERROR(__xludf.DUMMYFUNCTION("""COMPUTED_VALUE"""),"alhaalta puolijatkuva, alaspäin puolijatkuva")</f>
        <v>alhaalta puolijatkuva, alaspäin puolijatkuva</v>
      </c>
      <c r="B22" s="2" t="str">
        <f>IFERROR(__xludf.DUMMYFUNCTION("""COMPUTED_VALUE"""),"lower semicontinuous")</f>
        <v>lower semicontinuous</v>
      </c>
      <c r="C22" s="2" t="str">
        <f>IFERROR(__xludf.DUMMYFUNCTION("""COMPUTED_VALUE"""),"-")</f>
        <v>-</v>
      </c>
      <c r="D22" s="5"/>
      <c r="E22" s="5"/>
      <c r="F22" s="11"/>
      <c r="G22" s="11"/>
    </row>
    <row r="23">
      <c r="A23" s="2" t="str">
        <f>IFERROR(__xludf.DUMMYFUNCTION("""COMPUTED_VALUE"""),"aliavaruus")</f>
        <v>aliavaruus</v>
      </c>
      <c r="B23" s="2" t="str">
        <f>IFERROR(__xludf.DUMMYFUNCTION("""COMPUTED_VALUE"""),"subspace")</f>
        <v>subspace</v>
      </c>
      <c r="C23" s="2" t="str">
        <f>IFERROR(__xludf.DUMMYFUNCTION("""COMPUTED_VALUE"""),"underrum")</f>
        <v>underrum</v>
      </c>
      <c r="D23" s="5"/>
      <c r="E23" s="5"/>
      <c r="F23" s="11"/>
      <c r="G23" s="11"/>
    </row>
    <row r="24">
      <c r="A24" s="2" t="str">
        <f>IFERROR(__xludf.DUMMYFUNCTION("""COMPUTED_VALUE"""),"alideterminantti (mm.)")</f>
        <v>alideterminantti (mm.)</v>
      </c>
      <c r="B24" s="2" t="str">
        <f>IFERROR(__xludf.DUMMYFUNCTION("""COMPUTED_VALUE"""),"minor")</f>
        <v>minor</v>
      </c>
      <c r="C24" s="2" t="str">
        <f>IFERROR(__xludf.DUMMYFUNCTION("""COMPUTED_VALUE"""),"underdeterminant")</f>
        <v>underdeterminant</v>
      </c>
      <c r="D24" s="5"/>
      <c r="E24" s="5"/>
      <c r="F24" s="11"/>
      <c r="G24" s="11"/>
    </row>
    <row r="25">
      <c r="A25" s="2" t="str">
        <f>IFERROR(__xludf.DUMMYFUNCTION("""COMPUTED_VALUE"""),"alkeismatriisi")</f>
        <v>alkeismatriisi</v>
      </c>
      <c r="B25" s="2" t="str">
        <f>IFERROR(__xludf.DUMMYFUNCTION("""COMPUTED_VALUE"""),"elementary matrix")</f>
        <v>elementary matrix</v>
      </c>
      <c r="C25" s="2" t="str">
        <f>IFERROR(__xludf.DUMMYFUNCTION("""COMPUTED_VALUE"""),"elementärmatris")</f>
        <v>elementärmatris</v>
      </c>
      <c r="D25" s="5"/>
      <c r="E25" s="5"/>
      <c r="F25" s="11"/>
      <c r="G25" s="11"/>
    </row>
    <row r="26">
      <c r="A26" s="2" t="str">
        <f>IFERROR(__xludf.DUMMYFUNCTION("""COMPUTED_VALUE"""),"alkio (joukon), jäsen")</f>
        <v>alkio (joukon), jäsen</v>
      </c>
      <c r="B26" s="2" t="str">
        <f>IFERROR(__xludf.DUMMYFUNCTION("""COMPUTED_VALUE"""),"member, element")</f>
        <v>member, element</v>
      </c>
      <c r="C26" s="2" t="str">
        <f>IFERROR(__xludf.DUMMYFUNCTION("""COMPUTED_VALUE"""),"element")</f>
        <v>element</v>
      </c>
      <c r="D26" s="5"/>
      <c r="E26" s="5"/>
      <c r="F26" s="11"/>
      <c r="G26" s="11"/>
    </row>
    <row r="27">
      <c r="A27" s="2" t="str">
        <f>IFERROR(__xludf.DUMMYFUNCTION("""COMPUTED_VALUE"""),"alkio (matriisin)")</f>
        <v>alkio (matriisin)</v>
      </c>
      <c r="B27" s="2" t="str">
        <f>IFERROR(__xludf.DUMMYFUNCTION("""COMPUTED_VALUE"""),"entry, element")</f>
        <v>entry, element</v>
      </c>
      <c r="C27" s="2" t="str">
        <f>IFERROR(__xludf.DUMMYFUNCTION("""COMPUTED_VALUE"""),"element")</f>
        <v>element</v>
      </c>
      <c r="D27" s="5"/>
      <c r="E27" s="5"/>
      <c r="F27" s="11"/>
      <c r="G27" s="11"/>
    </row>
    <row r="28">
      <c r="A28" s="2" t="str">
        <f>IFERROR(__xludf.DUMMYFUNCTION("""COMPUTED_VALUE"""),"alkio, jäsen")</f>
        <v>alkio, jäsen</v>
      </c>
      <c r="B28" s="2" t="str">
        <f>IFERROR(__xludf.DUMMYFUNCTION("""COMPUTED_VALUE"""),"element, member")</f>
        <v>element, member</v>
      </c>
      <c r="C28" s="2" t="str">
        <f>IFERROR(__xludf.DUMMYFUNCTION("""COMPUTED_VALUE"""),"element")</f>
        <v>element</v>
      </c>
      <c r="D28" s="5"/>
      <c r="E28" s="5"/>
      <c r="F28" s="11"/>
      <c r="G28" s="11"/>
    </row>
    <row r="29">
      <c r="A29" s="2" t="str">
        <f>IFERROR(__xludf.DUMMYFUNCTION("""COMPUTED_VALUE"""),"alkuarvo")</f>
        <v>alkuarvo</v>
      </c>
      <c r="B29" s="2" t="str">
        <f>IFERROR(__xludf.DUMMYFUNCTION("""COMPUTED_VALUE"""),"initial value")</f>
        <v>initial value</v>
      </c>
      <c r="C29" s="2" t="str">
        <f>IFERROR(__xludf.DUMMYFUNCTION("""COMPUTED_VALUE"""),"begynnelsevärde")</f>
        <v>begynnelsevärde</v>
      </c>
      <c r="D29" s="5"/>
      <c r="E29" s="5"/>
      <c r="F29" s="11"/>
      <c r="G29" s="11"/>
    </row>
    <row r="30">
      <c r="A30" s="2" t="str">
        <f>IFERROR(__xludf.DUMMYFUNCTION("""COMPUTED_VALUE"""),"alkukuva")</f>
        <v>alkukuva</v>
      </c>
      <c r="B30" s="2" t="str">
        <f>IFERROR(__xludf.DUMMYFUNCTION("""COMPUTED_VALUE"""),"inverse image")</f>
        <v>inverse image</v>
      </c>
      <c r="C30" s="2" t="str">
        <f>IFERROR(__xludf.DUMMYFUNCTION("""COMPUTED_VALUE"""),"-")</f>
        <v>-</v>
      </c>
      <c r="D30" s="5"/>
      <c r="E30" s="5"/>
      <c r="F30" s="11"/>
      <c r="G30" s="11"/>
    </row>
    <row r="31">
      <c r="A31" s="2" t="str">
        <f>IFERROR(__xludf.DUMMYFUNCTION("""COMPUTED_VALUE"""),"alkukuva")</f>
        <v>alkukuva</v>
      </c>
      <c r="B31" s="2" t="str">
        <f>IFERROR(__xludf.DUMMYFUNCTION("""COMPUTED_VALUE"""),"preimage")</f>
        <v>preimage</v>
      </c>
      <c r="C31" s="2" t="str">
        <f>IFERROR(__xludf.DUMMYFUNCTION("""COMPUTED_VALUE"""),"urbild")</f>
        <v>urbild</v>
      </c>
      <c r="D31" s="5"/>
      <c r="E31" s="5"/>
      <c r="F31" s="11"/>
      <c r="G31" s="11"/>
    </row>
    <row r="32">
      <c r="A32" s="2" t="str">
        <f>IFERROR(__xludf.DUMMYFUNCTION("""COMPUTED_VALUE"""),"alkuluku, jaoton luku")</f>
        <v>alkuluku, jaoton luku</v>
      </c>
      <c r="B32" s="2" t="str">
        <f>IFERROR(__xludf.DUMMYFUNCTION("""COMPUTED_VALUE"""),"prime (number)")</f>
        <v>prime (number)</v>
      </c>
      <c r="C32" s="2" t="str">
        <f>IFERROR(__xludf.DUMMYFUNCTION("""COMPUTED_VALUE"""),"primtal")</f>
        <v>primtal</v>
      </c>
      <c r="D32" s="5"/>
      <c r="E32" s="5"/>
      <c r="F32" s="11"/>
      <c r="G32" s="11"/>
    </row>
    <row r="33">
      <c r="A33" s="2" t="str">
        <f>IFERROR(__xludf.DUMMYFUNCTION("""COMPUTED_VALUE"""),"alkulukukaksoset")</f>
        <v>alkulukukaksoset</v>
      </c>
      <c r="B33" s="2" t="str">
        <f>IFERROR(__xludf.DUMMYFUNCTION("""COMPUTED_VALUE"""),"twin primes")</f>
        <v>twin primes</v>
      </c>
      <c r="C33" s="2" t="str">
        <f>IFERROR(__xludf.DUMMYFUNCTION("""COMPUTED_VALUE"""),"-")</f>
        <v>-</v>
      </c>
      <c r="D33" s="5"/>
      <c r="E33" s="5"/>
      <c r="F33" s="11"/>
      <c r="G33" s="11"/>
    </row>
    <row r="34">
      <c r="A34" s="2" t="str">
        <f>IFERROR(__xludf.DUMMYFUNCTION("""COMPUTED_VALUE"""),"alue")</f>
        <v>alue</v>
      </c>
      <c r="B34" s="2" t="str">
        <f>IFERROR(__xludf.DUMMYFUNCTION("""COMPUTED_VALUE"""),"region")</f>
        <v>region</v>
      </c>
      <c r="C34" s="2" t="str">
        <f>IFERROR(__xludf.DUMMYFUNCTION("""COMPUTED_VALUE"""),"område")</f>
        <v>område</v>
      </c>
      <c r="D34" s="5"/>
      <c r="E34" s="5"/>
      <c r="F34" s="11"/>
      <c r="G34" s="11"/>
    </row>
    <row r="35">
      <c r="A35" s="2" t="str">
        <f>IFERROR(__xludf.DUMMYFUNCTION("""COMPUTED_VALUE"""),"amplitudi")</f>
        <v>amplitudi</v>
      </c>
      <c r="B35" s="2" t="str">
        <f>IFERROR(__xludf.DUMMYFUNCTION("""COMPUTED_VALUE"""),"amplitude")</f>
        <v>amplitude</v>
      </c>
      <c r="C35" s="2" t="str">
        <f>IFERROR(__xludf.DUMMYFUNCTION("""COMPUTED_VALUE"""),"amplitud")</f>
        <v>amplitud</v>
      </c>
      <c r="D35" s="5"/>
      <c r="E35" s="5"/>
      <c r="F35" s="11"/>
      <c r="G35" s="11"/>
    </row>
    <row r="36">
      <c r="A36" s="2" t="str">
        <f>IFERROR(__xludf.DUMMYFUNCTION("""COMPUTED_VALUE"""),"analyyttinen, holomorfinen")</f>
        <v>analyyttinen, holomorfinen</v>
      </c>
      <c r="B36" s="2" t="str">
        <f>IFERROR(__xludf.DUMMYFUNCTION("""COMPUTED_VALUE"""),"analytic, holomorphic")</f>
        <v>analytic, holomorphic</v>
      </c>
      <c r="C36" s="2" t="str">
        <f>IFERROR(__xludf.DUMMYFUNCTION("""COMPUTED_VALUE"""),"analytisk, holomorf")</f>
        <v>analytisk, holomorf</v>
      </c>
      <c r="D36" s="5"/>
      <c r="E36" s="5"/>
      <c r="F36" s="11"/>
      <c r="G36" s="11"/>
    </row>
    <row r="37">
      <c r="A37" s="2" t="str">
        <f>IFERROR(__xludf.DUMMYFUNCTION("""COMPUTED_VALUE"""),"antikommutatiivinen")</f>
        <v>antikommutatiivinen</v>
      </c>
      <c r="B37" s="2" t="str">
        <f>IFERROR(__xludf.DUMMYFUNCTION("""COMPUTED_VALUE"""),"anticommutative")</f>
        <v>anticommutative</v>
      </c>
      <c r="C37" s="2" t="str">
        <f>IFERROR(__xludf.DUMMYFUNCTION("""COMPUTED_VALUE"""),"antikommutativ")</f>
        <v>antikommutativ</v>
      </c>
      <c r="D37" s="5"/>
      <c r="E37" s="5"/>
      <c r="F37" s="11"/>
      <c r="G37" s="11"/>
    </row>
    <row r="38">
      <c r="A38" s="2" t="str">
        <f>IFERROR(__xludf.DUMMYFUNCTION("""COMPUTED_VALUE"""),"approksimaatio")</f>
        <v>approksimaatio</v>
      </c>
      <c r="B38" s="2" t="str">
        <f>IFERROR(__xludf.DUMMYFUNCTION("""COMPUTED_VALUE"""),"approximation")</f>
        <v>approximation</v>
      </c>
      <c r="C38" s="2" t="str">
        <f>IFERROR(__xludf.DUMMYFUNCTION("""COMPUTED_VALUE"""),"approximation")</f>
        <v>approximation</v>
      </c>
      <c r="D38" s="5"/>
      <c r="E38" s="5"/>
      <c r="F38" s="11"/>
      <c r="G38" s="11"/>
    </row>
    <row r="39">
      <c r="A39" s="2" t="str">
        <f>IFERROR(__xludf.DUMMYFUNCTION("""COMPUTED_VALUE"""),"approksimoida")</f>
        <v>approksimoida</v>
      </c>
      <c r="B39" s="2" t="str">
        <f>IFERROR(__xludf.DUMMYFUNCTION("""COMPUTED_VALUE"""),"approximate")</f>
        <v>approximate</v>
      </c>
      <c r="C39" s="2" t="str">
        <f>IFERROR(__xludf.DUMMYFUNCTION("""COMPUTED_VALUE"""),"approximera")</f>
        <v>approximera</v>
      </c>
      <c r="D39" s="5"/>
      <c r="E39" s="5"/>
      <c r="F39" s="11"/>
      <c r="G39" s="11"/>
    </row>
    <row r="40">
      <c r="A40" s="2" t="str">
        <f>IFERROR(__xludf.DUMMYFUNCTION("""COMPUTED_VALUE"""),"arccos, arkuskosini")</f>
        <v>arccos, arkuskosini</v>
      </c>
      <c r="B40" s="2" t="str">
        <f>IFERROR(__xludf.DUMMYFUNCTION("""COMPUTED_VALUE"""),"arccos, arcus cosine")</f>
        <v>arccos, arcus cosine</v>
      </c>
      <c r="C40" s="2" t="str">
        <f>IFERROR(__xludf.DUMMYFUNCTION("""COMPUTED_VALUE"""),"arcus cosinus")</f>
        <v>arcus cosinus</v>
      </c>
      <c r="D40" s="5"/>
      <c r="E40" s="5"/>
      <c r="F40" s="11"/>
      <c r="G40" s="11"/>
    </row>
    <row r="41">
      <c r="A41" s="2" t="str">
        <f>IFERROR(__xludf.DUMMYFUNCTION("""COMPUTED_VALUE"""),"arccot, arkuskotangentti")</f>
        <v>arccot, arkuskotangentti</v>
      </c>
      <c r="B41" s="2" t="str">
        <f>IFERROR(__xludf.DUMMYFUNCTION("""COMPUTED_VALUE"""),"arccot, arcus cotangent")</f>
        <v>arccot, arcus cotangent</v>
      </c>
      <c r="C41" s="2" t="str">
        <f>IFERROR(__xludf.DUMMYFUNCTION("""COMPUTED_VALUE"""),"arcus cotangent")</f>
        <v>arcus cotangent</v>
      </c>
      <c r="D41" s="5"/>
      <c r="E41" s="5"/>
      <c r="F41" s="11"/>
      <c r="G41" s="11"/>
    </row>
    <row r="42">
      <c r="A42" s="2" t="str">
        <f>IFERROR(__xludf.DUMMYFUNCTION("""COMPUTED_VALUE"""),"arcosh, area hyperbelikosini")</f>
        <v>arcosh, area hyperbelikosini</v>
      </c>
      <c r="B42" s="2" t="str">
        <f>IFERROR(__xludf.DUMMYFUNCTION("""COMPUTED_VALUE"""),"arcosh, area hyperbolic cosine")</f>
        <v>arcosh, area hyperbolic cosine</v>
      </c>
      <c r="C42" s="2" t="str">
        <f>IFERROR(__xludf.DUMMYFUNCTION("""COMPUTED_VALUE"""),"areacosinus (hyperbolicus)")</f>
        <v>areacosinus (hyperbolicus)</v>
      </c>
      <c r="D42" s="5"/>
      <c r="E42" s="5"/>
      <c r="F42" s="11"/>
      <c r="G42" s="11"/>
    </row>
    <row r="43">
      <c r="A43" s="2" t="str">
        <f>IFERROR(__xludf.DUMMYFUNCTION("""COMPUTED_VALUE"""),"arcoth, area hyperbelikotangentti")</f>
        <v>arcoth, area hyperbelikotangentti</v>
      </c>
      <c r="B43" s="2" t="str">
        <f>IFERROR(__xludf.DUMMYFUNCTION("""COMPUTED_VALUE"""),"arcoth, area hyperbolic cotangent")</f>
        <v>arcoth, area hyperbolic cotangent</v>
      </c>
      <c r="C43" s="2" t="str">
        <f>IFERROR(__xludf.DUMMYFUNCTION("""COMPUTED_VALUE"""),"areacotangent (hyperbolicus)")</f>
        <v>areacotangent (hyperbolicus)</v>
      </c>
      <c r="D43" s="5"/>
      <c r="E43" s="5"/>
      <c r="F43" s="11"/>
      <c r="G43" s="11"/>
    </row>
    <row r="44">
      <c r="A44" s="2" t="str">
        <f>IFERROR(__xludf.DUMMYFUNCTION("""COMPUTED_VALUE"""),"arcsin, arkussini")</f>
        <v>arcsin, arkussini</v>
      </c>
      <c r="B44" s="2" t="str">
        <f>IFERROR(__xludf.DUMMYFUNCTION("""COMPUTED_VALUE"""),"arcsin, arcus sine")</f>
        <v>arcsin, arcus sine</v>
      </c>
      <c r="C44" s="2" t="str">
        <f>IFERROR(__xludf.DUMMYFUNCTION("""COMPUTED_VALUE"""),"arcussinus")</f>
        <v>arcussinus</v>
      </c>
      <c r="D44" s="5"/>
      <c r="E44" s="5"/>
      <c r="F44" s="11"/>
      <c r="G44" s="11"/>
    </row>
    <row r="45">
      <c r="A45" s="2" t="str">
        <f>IFERROR(__xludf.DUMMYFUNCTION("""COMPUTED_VALUE"""),"arctan, arkustangentti")</f>
        <v>arctan, arkustangentti</v>
      </c>
      <c r="B45" s="2" t="str">
        <f>IFERROR(__xludf.DUMMYFUNCTION("""COMPUTED_VALUE"""),"arctan, arcus tangent")</f>
        <v>arctan, arcus tangent</v>
      </c>
      <c r="C45" s="2" t="str">
        <f>IFERROR(__xludf.DUMMYFUNCTION("""COMPUTED_VALUE"""),"arcustangent")</f>
        <v>arcustangent</v>
      </c>
      <c r="D45" s="5"/>
      <c r="E45" s="5"/>
      <c r="F45" s="11"/>
      <c r="G45" s="11"/>
    </row>
    <row r="46">
      <c r="A46" s="2" t="str">
        <f>IFERROR(__xludf.DUMMYFUNCTION("""COMPUTED_VALUE"""),"aritmeettinen keskiarvo")</f>
        <v>aritmeettinen keskiarvo</v>
      </c>
      <c r="B46" s="2" t="str">
        <f>IFERROR(__xludf.DUMMYFUNCTION("""COMPUTED_VALUE"""),"arithmetic mean")</f>
        <v>arithmetic mean</v>
      </c>
      <c r="C46" s="2" t="str">
        <f>IFERROR(__xludf.DUMMYFUNCTION("""COMPUTED_VALUE"""),"aritmetiskt medelvärde")</f>
        <v>aritmetiskt medelvärde</v>
      </c>
      <c r="D46" s="5"/>
      <c r="E46" s="5"/>
      <c r="F46" s="11"/>
      <c r="G46" s="11"/>
    </row>
    <row r="47">
      <c r="A47" s="2" t="str">
        <f>IFERROR(__xludf.DUMMYFUNCTION("""COMPUTED_VALUE"""),"aritmeettinen sarja")</f>
        <v>aritmeettinen sarja</v>
      </c>
      <c r="B47" s="2" t="str">
        <f>IFERROR(__xludf.DUMMYFUNCTION("""COMPUTED_VALUE"""),"arithmetic series")</f>
        <v>arithmetic series</v>
      </c>
      <c r="C47" s="2" t="str">
        <f>IFERROR(__xludf.DUMMYFUNCTION("""COMPUTED_VALUE"""),"aritmetisk serie")</f>
        <v>aritmetisk serie</v>
      </c>
      <c r="D47" s="5"/>
      <c r="E47" s="5"/>
      <c r="F47" s="11"/>
      <c r="G47" s="11"/>
    </row>
    <row r="48">
      <c r="A48" s="2" t="str">
        <f>IFERROR(__xludf.DUMMYFUNCTION("""COMPUTED_VALUE"""),"arsinh, area hyperbelisini")</f>
        <v>arsinh, area hyperbelisini</v>
      </c>
      <c r="B48" s="2" t="str">
        <f>IFERROR(__xludf.DUMMYFUNCTION("""COMPUTED_VALUE"""),"arsinh, area hyperbolic sine")</f>
        <v>arsinh, area hyperbolic sine</v>
      </c>
      <c r="C48" s="2" t="str">
        <f>IFERROR(__xludf.DUMMYFUNCTION("""COMPUTED_VALUE"""),"areasinus")</f>
        <v>areasinus</v>
      </c>
      <c r="D48" s="5"/>
      <c r="E48" s="5"/>
      <c r="F48" s="11"/>
      <c r="G48" s="11"/>
    </row>
    <row r="49">
      <c r="A49" s="2" t="str">
        <f>IFERROR(__xludf.DUMMYFUNCTION("""COMPUTED_VALUE"""),"artanh, area hyperbelitangentti")</f>
        <v>artanh, area hyperbelitangentti</v>
      </c>
      <c r="B49" s="2" t="str">
        <f>IFERROR(__xludf.DUMMYFUNCTION("""COMPUTED_VALUE"""),"artanh, area hyperbolic tangent")</f>
        <v>artanh, area hyperbolic tangent</v>
      </c>
      <c r="C49" s="2" t="str">
        <f>IFERROR(__xludf.DUMMYFUNCTION("""COMPUTED_VALUE"""),"areatangent")</f>
        <v>areatangent</v>
      </c>
      <c r="D49" s="5"/>
      <c r="E49" s="5"/>
      <c r="F49" s="11"/>
      <c r="G49" s="11"/>
    </row>
    <row r="50">
      <c r="A50" s="2" t="str">
        <f>IFERROR(__xludf.DUMMYFUNCTION("""COMPUTED_VALUE"""),"arvo")</f>
        <v>arvo</v>
      </c>
      <c r="B50" s="2" t="str">
        <f>IFERROR(__xludf.DUMMYFUNCTION("""COMPUTED_VALUE"""),"value")</f>
        <v>value</v>
      </c>
      <c r="C50" s="2" t="str">
        <f>IFERROR(__xludf.DUMMYFUNCTION("""COMPUTED_VALUE"""),"värde")</f>
        <v>värde</v>
      </c>
      <c r="D50" s="5"/>
      <c r="E50" s="5"/>
      <c r="F50" s="11"/>
      <c r="G50" s="11"/>
    </row>
    <row r="51">
      <c r="A51" s="2" t="str">
        <f>IFERROR(__xludf.DUMMYFUNCTION("""COMPUTED_VALUE"""),"aste (approksimaation tms.)")</f>
        <v>aste (approksimaation tms.)</v>
      </c>
      <c r="B51" s="2" t="str">
        <f>IFERROR(__xludf.DUMMYFUNCTION("""COMPUTED_VALUE"""),"order")</f>
        <v>order</v>
      </c>
      <c r="C51" s="2" t="str">
        <f>IFERROR(__xludf.DUMMYFUNCTION("""COMPUTED_VALUE"""),"grad")</f>
        <v>grad</v>
      </c>
      <c r="D51" s="5"/>
      <c r="E51" s="5"/>
      <c r="F51" s="11"/>
      <c r="G51" s="11"/>
    </row>
    <row r="52">
      <c r="A52" s="2" t="str">
        <f>IFERROR(__xludf.DUMMYFUNCTION("""COMPUTED_VALUE"""),"aste (polynomin tms.)")</f>
        <v>aste (polynomin tms.)</v>
      </c>
      <c r="B52" s="2" t="str">
        <f>IFERROR(__xludf.DUMMYFUNCTION("""COMPUTED_VALUE"""),"degree")</f>
        <v>degree</v>
      </c>
      <c r="C52" s="2" t="str">
        <f>IFERROR(__xludf.DUMMYFUNCTION("""COMPUTED_VALUE"""),"grad")</f>
        <v>grad</v>
      </c>
      <c r="D52" s="5"/>
      <c r="E52" s="5"/>
      <c r="F52" s="11"/>
      <c r="G52" s="11"/>
    </row>
    <row r="53">
      <c r="A53" s="2" t="str">
        <f>IFERROR(__xludf.DUMMYFUNCTION("""COMPUTED_VALUE"""),"asymptootti")</f>
        <v>asymptootti</v>
      </c>
      <c r="B53" s="2" t="str">
        <f>IFERROR(__xludf.DUMMYFUNCTION("""COMPUTED_VALUE"""),"asymptote")</f>
        <v>asymptote</v>
      </c>
      <c r="C53" s="2" t="str">
        <f>IFERROR(__xludf.DUMMYFUNCTION("""COMPUTED_VALUE"""),"asymptot")</f>
        <v>asymptot</v>
      </c>
      <c r="D53" s="5"/>
      <c r="E53" s="5"/>
      <c r="F53" s="11"/>
      <c r="G53" s="11"/>
    </row>
    <row r="54">
      <c r="A54" s="2" t="str">
        <f>IFERROR(__xludf.DUMMYFUNCTION("""COMPUTED_VALUE"""),"attraktori")</f>
        <v>attraktori</v>
      </c>
      <c r="B54" s="2" t="str">
        <f>IFERROR(__xludf.DUMMYFUNCTION("""COMPUTED_VALUE"""),"attractor")</f>
        <v>attractor</v>
      </c>
      <c r="C54" s="2" t="str">
        <f>IFERROR(__xludf.DUMMYFUNCTION("""COMPUTED_VALUE"""),"attraktor")</f>
        <v>attraktor</v>
      </c>
      <c r="D54" s="5"/>
      <c r="E54" s="5"/>
      <c r="F54" s="11"/>
      <c r="G54" s="11"/>
    </row>
    <row r="55">
      <c r="A55" s="2" t="str">
        <f>IFERROR(__xludf.DUMMYFUNCTION("""COMPUTED_VALUE"""),"autonominen")</f>
        <v>autonominen</v>
      </c>
      <c r="B55" s="2" t="str">
        <f>IFERROR(__xludf.DUMMYFUNCTION("""COMPUTED_VALUE"""),"autonomous")</f>
        <v>autonomous</v>
      </c>
      <c r="C55" s="2" t="str">
        <f>IFERROR(__xludf.DUMMYFUNCTION("""COMPUTED_VALUE"""),"autonom")</f>
        <v>autonom</v>
      </c>
      <c r="D55" s="5"/>
      <c r="E55" s="5"/>
      <c r="F55" s="11"/>
      <c r="G55" s="11"/>
    </row>
    <row r="56">
      <c r="A56" s="2" t="str">
        <f>IFERROR(__xludf.DUMMYFUNCTION("""COMPUTED_VALUE"""),"avoin")</f>
        <v>avoin</v>
      </c>
      <c r="B56" s="2" t="str">
        <f>IFERROR(__xludf.DUMMYFUNCTION("""COMPUTED_VALUE"""),"open")</f>
        <v>open</v>
      </c>
      <c r="C56" s="2" t="str">
        <f>IFERROR(__xludf.DUMMYFUNCTION("""COMPUTED_VALUE"""),"öppen")</f>
        <v>öppen</v>
      </c>
      <c r="D56" s="5"/>
      <c r="E56" s="5"/>
      <c r="F56" s="11"/>
      <c r="G56" s="11"/>
    </row>
    <row r="57">
      <c r="A57" s="2" t="str">
        <f>IFERROR(__xludf.DUMMYFUNCTION("""COMPUTED_VALUE"""),"balansoitu")</f>
        <v>balansoitu</v>
      </c>
      <c r="B57" s="2" t="str">
        <f>IFERROR(__xludf.DUMMYFUNCTION("""COMPUTED_VALUE"""),"balanced")</f>
        <v>balanced</v>
      </c>
      <c r="C57" s="2" t="str">
        <f>IFERROR(__xludf.DUMMYFUNCTION("""COMPUTED_VALUE"""),"balanserad")</f>
        <v>balanserad</v>
      </c>
      <c r="D57" s="5"/>
      <c r="E57" s="5"/>
      <c r="F57" s="11"/>
      <c r="G57" s="11"/>
    </row>
    <row r="58">
      <c r="A58" s="2" t="str">
        <f>IFERROR(__xludf.DUMMYFUNCTION("""COMPUTED_VALUE"""),"banachoituva")</f>
        <v>banachoituva</v>
      </c>
      <c r="B58" s="2" t="str">
        <f>IFERROR(__xludf.DUMMYFUNCTION("""COMPUTED_VALUE"""),"banachizable")</f>
        <v>banachizable</v>
      </c>
      <c r="C58" s="2" t="str">
        <f>IFERROR(__xludf.DUMMYFUNCTION("""COMPUTED_VALUE"""),"-")</f>
        <v>-</v>
      </c>
      <c r="D58" s="5"/>
      <c r="E58" s="5"/>
      <c r="F58" s="11"/>
      <c r="G58" s="11"/>
    </row>
    <row r="59">
      <c r="A59" s="2" t="str">
        <f>IFERROR(__xludf.DUMMYFUNCTION("""COMPUTED_VALUE"""),"barysentrinen, painopiste-")</f>
        <v>barysentrinen, painopiste-</v>
      </c>
      <c r="B59" s="2" t="str">
        <f>IFERROR(__xludf.DUMMYFUNCTION("""COMPUTED_VALUE"""),"barycentric")</f>
        <v>barycentric</v>
      </c>
      <c r="C59" s="2" t="str">
        <f>IFERROR(__xludf.DUMMYFUNCTION("""COMPUTED_VALUE"""),"barycentrisk, med avseende å tyngdpunkten")</f>
        <v>barycentrisk, med avseende å tyngdpunkten</v>
      </c>
      <c r="D59" s="5"/>
      <c r="E59" s="5"/>
      <c r="F59" s="11"/>
      <c r="G59" s="11"/>
    </row>
    <row r="60">
      <c r="A60" s="2" t="str">
        <f>IFERROR(__xludf.DUMMYFUNCTION("""COMPUTED_VALUE"""),"beeta-funktio")</f>
        <v>beeta-funktio</v>
      </c>
      <c r="B60" s="2" t="str">
        <f>IFERROR(__xludf.DUMMYFUNCTION("""COMPUTED_VALUE"""),"beta function")</f>
        <v>beta function</v>
      </c>
      <c r="C60" s="2" t="str">
        <f>IFERROR(__xludf.DUMMYFUNCTION("""COMPUTED_VALUE"""),"betafunktion")</f>
        <v>betafunktion</v>
      </c>
      <c r="D60" s="5"/>
      <c r="E60" s="5"/>
      <c r="F60" s="11"/>
      <c r="G60" s="11"/>
    </row>
    <row r="61">
      <c r="A61" s="2" t="str">
        <f>IFERROR(__xludf.DUMMYFUNCTION("""COMPUTED_VALUE"""),"biduaali, duaalin duaali")</f>
        <v>biduaali, duaalin duaali</v>
      </c>
      <c r="B61" s="2" t="str">
        <f>IFERROR(__xludf.DUMMYFUNCTION("""COMPUTED_VALUE"""),"bidual")</f>
        <v>bidual</v>
      </c>
      <c r="C61" s="2" t="str">
        <f>IFERROR(__xludf.DUMMYFUNCTION("""COMPUTED_VALUE"""),"bidual")</f>
        <v>bidual</v>
      </c>
      <c r="D61" s="5"/>
      <c r="E61" s="5"/>
      <c r="F61" s="11"/>
      <c r="G61" s="11"/>
    </row>
    <row r="62">
      <c r="A62" s="2" t="str">
        <f>IFERROR(__xludf.DUMMYFUNCTION("""COMPUTED_VALUE"""),"bijektio")</f>
        <v>bijektio</v>
      </c>
      <c r="B62" s="2" t="str">
        <f>IFERROR(__xludf.DUMMYFUNCTION("""COMPUTED_VALUE"""),"1-1 correspondence, bijection")</f>
        <v>1-1 correspondence, bijection</v>
      </c>
      <c r="C62" s="2" t="str">
        <f>IFERROR(__xludf.DUMMYFUNCTION("""COMPUTED_VALUE"""),"bijektion")</f>
        <v>bijektion</v>
      </c>
      <c r="D62" s="12" t="str">
        <f>IFERROR(__xludf.DUMMYFUNCTION("""COMPUTED_VALUE"""),"https://fi.wikipedia.org/wiki/Bijektio")</f>
        <v>https://fi.wikipedia.org/wiki/Bijektio</v>
      </c>
      <c r="E62" s="5"/>
      <c r="F62" s="11"/>
      <c r="G62" s="11"/>
    </row>
    <row r="63">
      <c r="A63" s="2" t="str">
        <f>IFERROR(__xludf.DUMMYFUNCTION("""COMPUTED_VALUE"""),"bijektio")</f>
        <v>bijektio</v>
      </c>
      <c r="B63" s="2" t="str">
        <f>IFERROR(__xludf.DUMMYFUNCTION("""COMPUTED_VALUE"""),"bijection, one-to-one and onto")</f>
        <v>bijection, one-to-one and onto</v>
      </c>
      <c r="C63" s="2" t="str">
        <f>IFERROR(__xludf.DUMMYFUNCTION("""COMPUTED_VALUE"""),"bijektion")</f>
        <v>bijektion</v>
      </c>
      <c r="D63" s="5"/>
      <c r="E63" s="5"/>
      <c r="F63" s="11"/>
      <c r="G63" s="11"/>
    </row>
    <row r="64">
      <c r="A64" s="2" t="str">
        <f>IFERROR(__xludf.DUMMYFUNCTION("""COMPUTED_VALUE"""),"bilineaarinen")</f>
        <v>bilineaarinen</v>
      </c>
      <c r="B64" s="2" t="str">
        <f>IFERROR(__xludf.DUMMYFUNCTION("""COMPUTED_VALUE"""),"bilinear")</f>
        <v>bilinear</v>
      </c>
      <c r="C64" s="2" t="str">
        <f>IFERROR(__xludf.DUMMYFUNCTION("""COMPUTED_VALUE"""),"bilineär")</f>
        <v>bilineär</v>
      </c>
      <c r="D64" s="5"/>
      <c r="E64" s="5"/>
      <c r="F64" s="11"/>
      <c r="G64" s="11"/>
    </row>
    <row r="65">
      <c r="A65" s="2" t="str">
        <f>IFERROR(__xludf.DUMMYFUNCTION("""COMPUTED_VALUE"""),"binomijakauma")</f>
        <v>binomijakauma</v>
      </c>
      <c r="B65" s="2" t="str">
        <f>IFERROR(__xludf.DUMMYFUNCTION("""COMPUTED_VALUE"""),"binomial distribution")</f>
        <v>binomial distribution</v>
      </c>
      <c r="C65" s="2" t="str">
        <f>IFERROR(__xludf.DUMMYFUNCTION("""COMPUTED_VALUE"""),"binomialfördelning")</f>
        <v>binomialfördelning</v>
      </c>
      <c r="D65" s="5"/>
      <c r="E65" s="5"/>
      <c r="F65" s="11"/>
      <c r="G65" s="11"/>
    </row>
    <row r="66">
      <c r="A66" s="2" t="str">
        <f>IFERROR(__xludf.DUMMYFUNCTION("""COMPUTED_VALUE"""),"binomikerroin")</f>
        <v>binomikerroin</v>
      </c>
      <c r="B66" s="2" t="str">
        <f>IFERROR(__xludf.DUMMYFUNCTION("""COMPUTED_VALUE"""),"binomial coefficient")</f>
        <v>binomial coefficient</v>
      </c>
      <c r="C66" s="2" t="str">
        <f>IFERROR(__xludf.DUMMYFUNCTION("""COMPUTED_VALUE"""),"binomialkoefficient")</f>
        <v>binomialkoefficient</v>
      </c>
      <c r="D66" s="5"/>
      <c r="E66" s="5"/>
      <c r="F66" s="11"/>
      <c r="G66" s="11"/>
    </row>
    <row r="67">
      <c r="A67" s="2" t="str">
        <f>IFERROR(__xludf.DUMMYFUNCTION("""COMPUTED_VALUE"""),"binomilause")</f>
        <v>binomilause</v>
      </c>
      <c r="B67" s="2" t="str">
        <f>IFERROR(__xludf.DUMMYFUNCTION("""COMPUTED_VALUE"""),"binomial theorem")</f>
        <v>binomial theorem</v>
      </c>
      <c r="C67" s="2" t="str">
        <f>IFERROR(__xludf.DUMMYFUNCTION("""COMPUTED_VALUE"""),"binomialteoremet")</f>
        <v>binomialteoremet</v>
      </c>
      <c r="D67" s="5"/>
      <c r="E67" s="5"/>
      <c r="F67" s="11"/>
      <c r="G67" s="11"/>
    </row>
    <row r="68">
      <c r="A68" s="2" t="str">
        <f>IFERROR(__xludf.DUMMYFUNCTION("""COMPUTED_VALUE"""),"binääriluku")</f>
        <v>binääriluku</v>
      </c>
      <c r="B68" s="2" t="str">
        <f>IFERROR(__xludf.DUMMYFUNCTION("""COMPUTED_VALUE"""),"binary number")</f>
        <v>binary number</v>
      </c>
      <c r="C68" s="2" t="str">
        <f>IFERROR(__xludf.DUMMYFUNCTION("""COMPUTED_VALUE"""),"binärtal")</f>
        <v>binärtal</v>
      </c>
      <c r="D68" s="5"/>
      <c r="E68" s="5"/>
      <c r="F68" s="11"/>
      <c r="G68" s="11"/>
    </row>
    <row r="69">
      <c r="A69" s="2" t="str">
        <f>IFERROR(__xludf.DUMMYFUNCTION("""COMPUTED_VALUE"""),"bornologinen")</f>
        <v>bornologinen</v>
      </c>
      <c r="B69" s="2" t="str">
        <f>IFERROR(__xludf.DUMMYFUNCTION("""COMPUTED_VALUE"""),"bornological")</f>
        <v>bornological</v>
      </c>
      <c r="C69" s="2" t="str">
        <f>IFERROR(__xludf.DUMMYFUNCTION("""COMPUTED_VALUE"""),"-")</f>
        <v>-</v>
      </c>
      <c r="D69" s="5"/>
      <c r="E69" s="5"/>
      <c r="F69" s="11"/>
      <c r="G69" s="11"/>
    </row>
    <row r="70">
      <c r="A70" s="2" t="str">
        <f>IFERROR(__xludf.DUMMYFUNCTION("""COMPUTED_VALUE"""),"Dedekindin leikkaus")</f>
        <v>Dedekindin leikkaus</v>
      </c>
      <c r="B70" s="2" t="str">
        <f>IFERROR(__xludf.DUMMYFUNCTION("""COMPUTED_VALUE"""),"Dedekind cut")</f>
        <v>Dedekind cut</v>
      </c>
      <c r="C70" s="2" t="str">
        <f>IFERROR(__xludf.DUMMYFUNCTION("""COMPUTED_VALUE"""),"Dedekinds snitt")</f>
        <v>Dedekinds snitt</v>
      </c>
      <c r="D70" s="5"/>
      <c r="E70" s="5"/>
      <c r="F70" s="11"/>
      <c r="G70" s="11"/>
    </row>
    <row r="71">
      <c r="A71" s="2" t="str">
        <f>IFERROR(__xludf.DUMMYFUNCTION("""COMPUTED_VALUE"""),"defektiivinen")</f>
        <v>defektiivinen</v>
      </c>
      <c r="B71" s="2" t="str">
        <f>IFERROR(__xludf.DUMMYFUNCTION("""COMPUTED_VALUE"""),"defective")</f>
        <v>defective</v>
      </c>
      <c r="C71" s="2" t="str">
        <f>IFERROR(__xludf.DUMMYFUNCTION("""COMPUTED_VALUE"""),"defektiv")</f>
        <v>defektiv</v>
      </c>
      <c r="D71" s="5"/>
      <c r="E71" s="5"/>
      <c r="F71" s="11"/>
      <c r="G71" s="11"/>
    </row>
    <row r="72">
      <c r="A72" s="2" t="str">
        <f>IFERROR(__xludf.DUMMYFUNCTION("""COMPUTED_VALUE"""),"definiitti (matriisi, neliömuoto)")</f>
        <v>definiitti (matriisi, neliömuoto)</v>
      </c>
      <c r="B72" s="2" t="str">
        <f>IFERROR(__xludf.DUMMYFUNCTION("""COMPUTED_VALUE"""),"definite")</f>
        <v>definite</v>
      </c>
      <c r="C72" s="2" t="str">
        <f>IFERROR(__xludf.DUMMYFUNCTION("""COMPUTED_VALUE"""),"definit")</f>
        <v>definit</v>
      </c>
      <c r="D72" s="5"/>
      <c r="E72" s="5"/>
      <c r="F72" s="11"/>
      <c r="G72" s="11"/>
    </row>
    <row r="73">
      <c r="A73" s="2" t="str">
        <f>IFERROR(__xludf.DUMMYFUNCTION("""COMPUTED_VALUE"""),"degeneroitunut")</f>
        <v>degeneroitunut</v>
      </c>
      <c r="B73" s="2" t="str">
        <f>IFERROR(__xludf.DUMMYFUNCTION("""COMPUTED_VALUE"""),"degenerate")</f>
        <v>degenerate</v>
      </c>
      <c r="C73" s="2" t="str">
        <f>IFERROR(__xludf.DUMMYFUNCTION("""COMPUTED_VALUE"""),"degenererad")</f>
        <v>degenererad</v>
      </c>
      <c r="D73" s="5"/>
      <c r="E73" s="5"/>
      <c r="F73" s="11"/>
      <c r="G73" s="11"/>
    </row>
    <row r="74">
      <c r="A74" s="2" t="str">
        <f>IFERROR(__xludf.DUMMYFUNCTION("""COMPUTED_VALUE"""),"derivaatta")</f>
        <v>derivaatta</v>
      </c>
      <c r="B74" s="2" t="str">
        <f>IFERROR(__xludf.DUMMYFUNCTION("""COMPUTED_VALUE"""),"derivative")</f>
        <v>derivative</v>
      </c>
      <c r="C74" s="2" t="str">
        <f>IFERROR(__xludf.DUMMYFUNCTION("""COMPUTED_VALUE"""),"derivata")</f>
        <v>derivata</v>
      </c>
      <c r="D74" s="5"/>
      <c r="E74" s="5"/>
      <c r="F74" s="11"/>
      <c r="G74" s="11"/>
    </row>
    <row r="75">
      <c r="A75" s="2" t="str">
        <f>IFERROR(__xludf.DUMMYFUNCTION("""COMPUTED_VALUE"""),"determinantti")</f>
        <v>determinantti</v>
      </c>
      <c r="B75" s="2" t="str">
        <f>IFERROR(__xludf.DUMMYFUNCTION("""COMPUTED_VALUE"""),"determinant")</f>
        <v>determinant</v>
      </c>
      <c r="C75" s="2" t="str">
        <f>IFERROR(__xludf.DUMMYFUNCTION("""COMPUTED_VALUE"""),"determinant")</f>
        <v>determinant</v>
      </c>
      <c r="D75" s="5"/>
      <c r="E75" s="5"/>
      <c r="F75" s="11"/>
      <c r="G75" s="11"/>
    </row>
    <row r="76">
      <c r="A76" s="2" t="str">
        <f>IFERROR(__xludf.DUMMYFUNCTION("""COMPUTED_VALUE"""),"diagonalisoituva")</f>
        <v>diagonalisoituva</v>
      </c>
      <c r="B76" s="2" t="str">
        <f>IFERROR(__xludf.DUMMYFUNCTION("""COMPUTED_VALUE"""),"diagonalizable")</f>
        <v>diagonalizable</v>
      </c>
      <c r="C76" s="2" t="str">
        <f>IFERROR(__xludf.DUMMYFUNCTION("""COMPUTED_VALUE"""),"diagonaliserbar")</f>
        <v>diagonaliserbar</v>
      </c>
      <c r="D76" s="5"/>
      <c r="E76" s="5"/>
      <c r="F76" s="11"/>
      <c r="G76" s="11"/>
    </row>
    <row r="77">
      <c r="A77" s="2" t="str">
        <f>IFERROR(__xludf.DUMMYFUNCTION("""COMPUTED_VALUE"""),"differenssiyhtälö")</f>
        <v>differenssiyhtälö</v>
      </c>
      <c r="B77" s="2" t="str">
        <f>IFERROR(__xludf.DUMMYFUNCTION("""COMPUTED_VALUE"""),"difference equation")</f>
        <v>difference equation</v>
      </c>
      <c r="C77" s="2" t="str">
        <f>IFERROR(__xludf.DUMMYFUNCTION("""COMPUTED_VALUE"""),"differensekvation")</f>
        <v>differensekvation</v>
      </c>
      <c r="D77" s="5"/>
      <c r="E77" s="5"/>
      <c r="F77" s="11"/>
      <c r="G77" s="11"/>
    </row>
    <row r="78">
      <c r="A78" s="2" t="str">
        <f>IFERROR(__xludf.DUMMYFUNCTION("""COMPUTED_VALUE"""),"differentiaali- ja integraalilaskenta; laskento, kalkyyli")</f>
        <v>differentiaali- ja integraalilaskenta; laskento, kalkyyli</v>
      </c>
      <c r="B78" s="2" t="str">
        <f>IFERROR(__xludf.DUMMYFUNCTION("""COMPUTED_VALUE"""),"calculus")</f>
        <v>calculus</v>
      </c>
      <c r="C78" s="2" t="str">
        <f>IFERROR(__xludf.DUMMYFUNCTION("""COMPUTED_VALUE"""),"differential- och integralräkning, kalkyl")</f>
        <v>differential- och integralräkning, kalkyl</v>
      </c>
      <c r="D78" s="5"/>
      <c r="E78" s="5"/>
      <c r="F78" s="11"/>
      <c r="G78" s="11"/>
    </row>
    <row r="79">
      <c r="A79" s="2" t="str">
        <f>IFERROR(__xludf.DUMMYFUNCTION("""COMPUTED_VALUE"""),"differentiaalilaskenta")</f>
        <v>differentiaalilaskenta</v>
      </c>
      <c r="B79" s="2" t="str">
        <f>IFERROR(__xludf.DUMMYFUNCTION("""COMPUTED_VALUE"""),"differential calculus")</f>
        <v>differential calculus</v>
      </c>
      <c r="C79" s="2" t="str">
        <f>IFERROR(__xludf.DUMMYFUNCTION("""COMPUTED_VALUE"""),"differentialkalkyl")</f>
        <v>differentialkalkyl</v>
      </c>
      <c r="D79" s="5"/>
      <c r="E79" s="5"/>
      <c r="F79" s="11"/>
      <c r="G79" s="11"/>
    </row>
    <row r="80">
      <c r="A80" s="2" t="str">
        <f>IFERROR(__xludf.DUMMYFUNCTION("""COMPUTED_VALUE"""),"differentiaaliyhtälö")</f>
        <v>differentiaaliyhtälö</v>
      </c>
      <c r="B80" s="2" t="str">
        <f>IFERROR(__xludf.DUMMYFUNCTION("""COMPUTED_VALUE"""),"differential equation")</f>
        <v>differential equation</v>
      </c>
      <c r="C80" s="2" t="str">
        <f>IFERROR(__xludf.DUMMYFUNCTION("""COMPUTED_VALUE"""),"differentialekvation")</f>
        <v>differentialekvation</v>
      </c>
      <c r="D80" s="5"/>
      <c r="E80" s="5"/>
      <c r="F80" s="11"/>
      <c r="G80" s="11"/>
    </row>
    <row r="81">
      <c r="A81" s="2" t="str">
        <f>IFERROR(__xludf.DUMMYFUNCTION("""COMPUTED_VALUE"""),"differentioituva")</f>
        <v>differentioituva</v>
      </c>
      <c r="B81" s="2" t="str">
        <f>IFERROR(__xludf.DUMMYFUNCTION("""COMPUTED_VALUE"""),"differentiable")</f>
        <v>differentiable</v>
      </c>
      <c r="C81" s="2" t="str">
        <f>IFERROR(__xludf.DUMMYFUNCTION("""COMPUTED_VALUE"""),"differentierbar")</f>
        <v>differentierbar</v>
      </c>
      <c r="D81" s="5"/>
      <c r="E81" s="5"/>
      <c r="F81" s="11"/>
      <c r="G81" s="11"/>
    </row>
    <row r="82">
      <c r="A82" s="2" t="str">
        <f>IFERROR(__xludf.DUMMYFUNCTION("""COMPUTED_VALUE"""),"diffuusio")</f>
        <v>diffuusio</v>
      </c>
      <c r="B82" s="2" t="str">
        <f>IFERROR(__xludf.DUMMYFUNCTION("""COMPUTED_VALUE"""),"diffusion")</f>
        <v>diffusion</v>
      </c>
      <c r="C82" s="2" t="str">
        <f>IFERROR(__xludf.DUMMYFUNCTION("""COMPUTED_VALUE"""),"diffusion")</f>
        <v>diffusion</v>
      </c>
      <c r="D82" s="5"/>
      <c r="E82" s="5"/>
      <c r="F82" s="11"/>
      <c r="G82" s="11"/>
    </row>
    <row r="83">
      <c r="A83" s="2" t="str">
        <f>IFERROR(__xludf.DUMMYFUNCTION("""COMPUTED_VALUE"""),"diskreetti")</f>
        <v>diskreetti</v>
      </c>
      <c r="B83" s="2" t="str">
        <f>IFERROR(__xludf.DUMMYFUNCTION("""COMPUTED_VALUE"""),"discrete")</f>
        <v>discrete</v>
      </c>
      <c r="C83" s="2" t="str">
        <f>IFERROR(__xludf.DUMMYFUNCTION("""COMPUTED_VALUE"""),"diskret")</f>
        <v>diskret</v>
      </c>
      <c r="D83" s="5"/>
      <c r="E83" s="5"/>
      <c r="F83" s="11"/>
      <c r="G83" s="11"/>
    </row>
    <row r="84">
      <c r="A84" s="2" t="str">
        <f>IFERROR(__xludf.DUMMYFUNCTION("""COMPUTED_VALUE"""),"diskriminantti (b^2-4ac)")</f>
        <v>diskriminantti (b^2-4ac)</v>
      </c>
      <c r="B84" s="2" t="str">
        <f>IFERROR(__xludf.DUMMYFUNCTION("""COMPUTED_VALUE"""),"discriminant")</f>
        <v>discriminant</v>
      </c>
      <c r="C84" s="2" t="str">
        <f>IFERROR(__xludf.DUMMYFUNCTION("""COMPUTED_VALUE"""),"diskriminant")</f>
        <v>diskriminant</v>
      </c>
      <c r="D84" s="5"/>
      <c r="E84" s="5"/>
      <c r="F84" s="11"/>
      <c r="G84" s="11"/>
    </row>
    <row r="85">
      <c r="A85" s="2" t="str">
        <f>IFERROR(__xludf.DUMMYFUNCTION("""COMPUTED_VALUE"""),"dissipatiivinen")</f>
        <v>dissipatiivinen</v>
      </c>
      <c r="B85" s="2" t="str">
        <f>IFERROR(__xludf.DUMMYFUNCTION("""COMPUTED_VALUE"""),"dissipative")</f>
        <v>dissipative</v>
      </c>
      <c r="C85" s="2" t="str">
        <f>IFERROR(__xludf.DUMMYFUNCTION("""COMPUTED_VALUE"""),"dissipativ")</f>
        <v>dissipativ</v>
      </c>
      <c r="D85" s="5"/>
      <c r="E85" s="5"/>
      <c r="F85" s="11"/>
      <c r="G85" s="11"/>
    </row>
    <row r="86">
      <c r="A86" s="2" t="str">
        <f>IFERROR(__xludf.DUMMYFUNCTION("""COMPUTED_VALUE"""),"distribuutio, yleistetty funktio")</f>
        <v>distribuutio, yleistetty funktio</v>
      </c>
      <c r="B86" s="2" t="str">
        <f>IFERROR(__xludf.DUMMYFUNCTION("""COMPUTED_VALUE"""),"generalized function, distribution")</f>
        <v>generalized function, distribution</v>
      </c>
      <c r="C86" s="2" t="str">
        <f>IFERROR(__xludf.DUMMYFUNCTION("""COMPUTED_VALUE"""),"generaliserad funktion, distribution")</f>
        <v>generaliserad funktion, distribution</v>
      </c>
      <c r="D86" s="5"/>
      <c r="E86" s="5"/>
      <c r="F86" s="11"/>
      <c r="G86" s="11"/>
    </row>
    <row r="87">
      <c r="A87" s="2" t="str">
        <f>IFERROR(__xludf.DUMMYFUNCTION("""COMPUTED_VALUE"""),"distribuutio; jakauma")</f>
        <v>distribuutio; jakauma</v>
      </c>
      <c r="B87" s="2" t="str">
        <f>IFERROR(__xludf.DUMMYFUNCTION("""COMPUTED_VALUE"""),"distribution")</f>
        <v>distribution</v>
      </c>
      <c r="C87" s="2" t="str">
        <f>IFERROR(__xludf.DUMMYFUNCTION("""COMPUTED_VALUE"""),"fördelning")</f>
        <v>fördelning</v>
      </c>
      <c r="D87" s="5"/>
      <c r="E87" s="5"/>
      <c r="F87" s="11"/>
      <c r="G87" s="11"/>
    </row>
    <row r="88">
      <c r="A88" s="2" t="str">
        <f>IFERROR(__xludf.DUMMYFUNCTION("""COMPUTED_VALUE"""),"duaali, duaaliavaruus")</f>
        <v>duaali, duaaliavaruus</v>
      </c>
      <c r="B88" s="2" t="str">
        <f>IFERROR(__xludf.DUMMYFUNCTION("""COMPUTED_VALUE"""),"dual, dual space")</f>
        <v>dual, dual space</v>
      </c>
      <c r="C88" s="2" t="str">
        <f>IFERROR(__xludf.DUMMYFUNCTION("""COMPUTED_VALUE"""),"dual, dualrum")</f>
        <v>dual, dualrum</v>
      </c>
      <c r="D88" s="5"/>
      <c r="E88" s="5"/>
      <c r="F88" s="11"/>
      <c r="G88" s="11"/>
    </row>
    <row r="89">
      <c r="A89" s="2" t="str">
        <f>IFERROR(__xludf.DUMMYFUNCTION("""COMPUTED_VALUE"""),"duaali(avaruus)")</f>
        <v>duaali(avaruus)</v>
      </c>
      <c r="B89" s="2" t="str">
        <f>IFERROR(__xludf.DUMMYFUNCTION("""COMPUTED_VALUE"""),"adjoint space, dual space, conjugate space")</f>
        <v>adjoint space, dual space, conjugate space</v>
      </c>
      <c r="C89" s="2" t="str">
        <f>IFERROR(__xludf.DUMMYFUNCTION("""COMPUTED_VALUE"""),"dualrum")</f>
        <v>dualrum</v>
      </c>
      <c r="D89" s="5"/>
      <c r="E89" s="5"/>
      <c r="F89" s="11"/>
      <c r="G89" s="11"/>
    </row>
    <row r="90">
      <c r="A90" s="2" t="str">
        <f>IFERROR(__xludf.DUMMYFUNCTION("""COMPUTED_VALUE"""),"duaali(avaruus)")</f>
        <v>duaali(avaruus)</v>
      </c>
      <c r="B90" s="2" t="str">
        <f>IFERROR(__xludf.DUMMYFUNCTION("""COMPUTED_VALUE"""),"conjugate space, dual space, adjoint space")</f>
        <v>conjugate space, dual space, adjoint space</v>
      </c>
      <c r="C90" s="2" t="str">
        <f>IFERROR(__xludf.DUMMYFUNCTION("""COMPUTED_VALUE"""),"konjugatrum")</f>
        <v>konjugatrum</v>
      </c>
      <c r="D90" s="5"/>
      <c r="E90" s="5"/>
      <c r="F90" s="11"/>
      <c r="G90" s="11"/>
    </row>
    <row r="91">
      <c r="A91" s="2" t="str">
        <f>IFERROR(__xludf.DUMMYFUNCTION("""COMPUTED_VALUE"""),"duaaliongelma")</f>
        <v>duaaliongelma</v>
      </c>
      <c r="B91" s="2" t="str">
        <f>IFERROR(__xludf.DUMMYFUNCTION("""COMPUTED_VALUE"""),"dual problem")</f>
        <v>dual problem</v>
      </c>
      <c r="C91" s="2" t="str">
        <f>IFERROR(__xludf.DUMMYFUNCTION("""COMPUTED_VALUE"""),"dualproblem")</f>
        <v>dualproblem</v>
      </c>
      <c r="D91" s="5"/>
      <c r="E91" s="5"/>
      <c r="F91" s="11"/>
      <c r="G91" s="11"/>
    </row>
    <row r="92">
      <c r="A92" s="2" t="str">
        <f>IFERROR(__xludf.DUMMYFUNCTION("""COMPUTED_VALUE"""),"ehdollinen suppeneminen")</f>
        <v>ehdollinen suppeneminen</v>
      </c>
      <c r="B92" s="2" t="str">
        <f>IFERROR(__xludf.DUMMYFUNCTION("""COMPUTED_VALUE"""),"conditional convergence")</f>
        <v>conditional convergence</v>
      </c>
      <c r="C92" s="2" t="str">
        <f>IFERROR(__xludf.DUMMYFUNCTION("""COMPUTED_VALUE"""),"betingad konvergens")</f>
        <v>betingad konvergens</v>
      </c>
      <c r="D92" s="5"/>
      <c r="E92" s="5"/>
      <c r="F92" s="11"/>
      <c r="G92" s="11"/>
    </row>
    <row r="93">
      <c r="A93" s="2" t="str">
        <f>IFERROR(__xludf.DUMMYFUNCTION("""COMPUTED_VALUE"""),"eksakti")</f>
        <v>eksakti</v>
      </c>
      <c r="B93" s="2" t="str">
        <f>IFERROR(__xludf.DUMMYFUNCTION("""COMPUTED_VALUE"""),"exact")</f>
        <v>exact</v>
      </c>
      <c r="C93" s="2" t="str">
        <f>IFERROR(__xludf.DUMMYFUNCTION("""COMPUTED_VALUE"""),"exakt")</f>
        <v>exakt</v>
      </c>
      <c r="D93" s="5"/>
      <c r="E93" s="5"/>
      <c r="F93" s="11"/>
      <c r="G93" s="11"/>
    </row>
    <row r="94">
      <c r="A94" s="2" t="str">
        <f>IFERROR(__xludf.DUMMYFUNCTION("""COMPUTED_VALUE"""),"eksakti jono")</f>
        <v>eksakti jono</v>
      </c>
      <c r="B94" s="2" t="str">
        <f>IFERROR(__xludf.DUMMYFUNCTION("""COMPUTED_VALUE"""),"exact sequence")</f>
        <v>exact sequence</v>
      </c>
      <c r="C94" s="2" t="str">
        <f>IFERROR(__xludf.DUMMYFUNCTION("""COMPUTED_VALUE"""),"exakt sekvens")</f>
        <v>exakt sekvens</v>
      </c>
      <c r="D94" s="5"/>
      <c r="E94" s="5"/>
      <c r="F94" s="11"/>
      <c r="G94" s="11"/>
    </row>
    <row r="95">
      <c r="A95" s="2" t="str">
        <f>IFERROR(__xludf.DUMMYFUNCTION("""COMPUTED_VALUE"""),"eksentrisyys")</f>
        <v>eksentrisyys</v>
      </c>
      <c r="B95" s="2" t="str">
        <f>IFERROR(__xludf.DUMMYFUNCTION("""COMPUTED_VALUE"""),"eccentricity")</f>
        <v>eccentricity</v>
      </c>
      <c r="C95" s="2" t="str">
        <f>IFERROR(__xludf.DUMMYFUNCTION("""COMPUTED_VALUE"""),"excentricitet")</f>
        <v>excentricitet</v>
      </c>
      <c r="D95" s="5"/>
      <c r="E95" s="5"/>
      <c r="F95" s="11"/>
      <c r="G95" s="11"/>
    </row>
    <row r="96">
      <c r="A96" s="2" t="str">
        <f>IFERROR(__xludf.DUMMYFUNCTION("""COMPUTED_VALUE"""),"eksponentiaalinen kasvu")</f>
        <v>eksponentiaalinen kasvu</v>
      </c>
      <c r="B96" s="2" t="str">
        <f>IFERROR(__xludf.DUMMYFUNCTION("""COMPUTED_VALUE"""),"exponential growth")</f>
        <v>exponential growth</v>
      </c>
      <c r="C96" s="2" t="str">
        <f>IFERROR(__xludf.DUMMYFUNCTION("""COMPUTED_VALUE"""),"exponentiell ökning")</f>
        <v>exponentiell ökning</v>
      </c>
      <c r="D96" s="5"/>
      <c r="E96" s="5"/>
      <c r="F96" s="11"/>
      <c r="G96" s="11"/>
    </row>
    <row r="97">
      <c r="A97" s="2" t="str">
        <f>IFERROR(__xludf.DUMMYFUNCTION("""COMPUTED_VALUE"""),"eksponenttifunktio")</f>
        <v>eksponenttifunktio</v>
      </c>
      <c r="B97" s="2" t="str">
        <f>IFERROR(__xludf.DUMMYFUNCTION("""COMPUTED_VALUE"""),"exponential function")</f>
        <v>exponential function</v>
      </c>
      <c r="C97" s="2" t="str">
        <f>IFERROR(__xludf.DUMMYFUNCTION("""COMPUTED_VALUE"""),"exponentfunktion")</f>
        <v>exponentfunktion</v>
      </c>
      <c r="D97" s="5"/>
      <c r="E97" s="5"/>
      <c r="F97" s="11"/>
      <c r="G97" s="11"/>
    </row>
    <row r="98">
      <c r="A98" s="2" t="str">
        <f>IFERROR(__xludf.DUMMYFUNCTION("""COMPUTED_VALUE"""),"ekvivalenssi")</f>
        <v>ekvivalenssi</v>
      </c>
      <c r="B98" s="2" t="str">
        <f>IFERROR(__xludf.DUMMYFUNCTION("""COMPUTED_VALUE"""),"equivalence")</f>
        <v>equivalence</v>
      </c>
      <c r="C98" s="2" t="str">
        <f>IFERROR(__xludf.DUMMYFUNCTION("""COMPUTED_VALUE"""),"ekvivalens")</f>
        <v>ekvivalens</v>
      </c>
      <c r="D98" s="5"/>
      <c r="E98" s="5"/>
      <c r="F98" s="11"/>
      <c r="G98" s="11"/>
    </row>
    <row r="99">
      <c r="A99" s="2" t="str">
        <f>IFERROR(__xludf.DUMMYFUNCTION("""COMPUTED_VALUE"""),"ekvivalentti, yhtäpitävä")</f>
        <v>ekvivalentti, yhtäpitävä</v>
      </c>
      <c r="B99" s="2" t="str">
        <f>IFERROR(__xludf.DUMMYFUNCTION("""COMPUTED_VALUE"""),"equivalent")</f>
        <v>equivalent</v>
      </c>
      <c r="C99" s="2" t="str">
        <f>IFERROR(__xludf.DUMMYFUNCTION("""COMPUTED_VALUE"""),"ekvivalent")</f>
        <v>ekvivalent</v>
      </c>
      <c r="D99" s="5"/>
      <c r="E99" s="5"/>
      <c r="F99" s="11"/>
      <c r="G99" s="11"/>
    </row>
    <row r="100">
      <c r="A100" s="2" t="str">
        <f>IFERROR(__xludf.DUMMYFUNCTION("""COMPUTED_VALUE"""),"eliminointi")</f>
        <v>eliminointi</v>
      </c>
      <c r="B100" s="2" t="str">
        <f>IFERROR(__xludf.DUMMYFUNCTION("""COMPUTED_VALUE"""),"elimination")</f>
        <v>elimination</v>
      </c>
      <c r="C100" s="2" t="str">
        <f>IFERROR(__xludf.DUMMYFUNCTION("""COMPUTED_VALUE"""),"eliminering")</f>
        <v>eliminering</v>
      </c>
      <c r="D100" s="5"/>
      <c r="E100" s="5"/>
      <c r="F100" s="11"/>
      <c r="G100" s="11"/>
    </row>
    <row r="101">
      <c r="A101" s="2" t="str">
        <f>IFERROR(__xludf.DUMMYFUNCTION("""COMPUTED_VALUE"""),"ellipsi")</f>
        <v>ellipsi</v>
      </c>
      <c r="B101" s="2" t="str">
        <f>IFERROR(__xludf.DUMMYFUNCTION("""COMPUTED_VALUE"""),"ellipse")</f>
        <v>ellipse</v>
      </c>
      <c r="C101" s="2" t="str">
        <f>IFERROR(__xludf.DUMMYFUNCTION("""COMPUTED_VALUE"""),"ellips")</f>
        <v>ellips</v>
      </c>
      <c r="D101" s="5"/>
      <c r="E101" s="5"/>
      <c r="F101" s="11"/>
      <c r="G101" s="11"/>
    </row>
    <row r="102">
      <c r="A102" s="2" t="str">
        <f>IFERROR(__xludf.DUMMYFUNCTION("""COMPUTED_VALUE"""),"ellipsoidi")</f>
        <v>ellipsoidi</v>
      </c>
      <c r="B102" s="2" t="str">
        <f>IFERROR(__xludf.DUMMYFUNCTION("""COMPUTED_VALUE"""),"ellipsoid")</f>
        <v>ellipsoid</v>
      </c>
      <c r="C102" s="2" t="str">
        <f>IFERROR(__xludf.DUMMYFUNCTION("""COMPUTED_VALUE"""),"ellipsoid")</f>
        <v>ellipsoid</v>
      </c>
      <c r="D102" s="5"/>
      <c r="E102" s="5"/>
      <c r="F102" s="11"/>
      <c r="G102" s="11"/>
    </row>
    <row r="103">
      <c r="A103" s="2" t="str">
        <f>IFERROR(__xludf.DUMMYFUNCTION("""COMPUTED_VALUE"""),"elliptinen")</f>
        <v>elliptinen</v>
      </c>
      <c r="B103" s="2" t="str">
        <f>IFERROR(__xludf.DUMMYFUNCTION("""COMPUTED_VALUE"""),"elliptic")</f>
        <v>elliptic</v>
      </c>
      <c r="C103" s="2" t="str">
        <f>IFERROR(__xludf.DUMMYFUNCTION("""COMPUTED_VALUE"""),"elliptisk")</f>
        <v>elliptisk</v>
      </c>
      <c r="D103" s="5"/>
      <c r="E103" s="5"/>
      <c r="F103" s="11"/>
      <c r="G103" s="11"/>
    </row>
    <row r="104">
      <c r="A104" s="2" t="str">
        <f>IFERROR(__xludf.DUMMYFUNCTION("""COMPUTED_VALUE"""),"elliptinen ruuvikierre")</f>
        <v>elliptinen ruuvikierre</v>
      </c>
      <c r="B104" s="2" t="str">
        <f>IFERROR(__xludf.DUMMYFUNCTION("""COMPUTED_VALUE"""),"elliptical helix")</f>
        <v>elliptical helix</v>
      </c>
      <c r="C104" s="2" t="str">
        <f>IFERROR(__xludf.DUMMYFUNCTION("""COMPUTED_VALUE"""),"-")</f>
        <v>-</v>
      </c>
      <c r="D104" s="5"/>
      <c r="E104" s="5"/>
      <c r="F104" s="11"/>
      <c r="G104" s="11"/>
    </row>
    <row r="105">
      <c r="A105" s="2" t="str">
        <f>IFERROR(__xludf.DUMMYFUNCTION("""COMPUTED_VALUE"""),"empiirinen, kokeellinen")</f>
        <v>empiirinen, kokeellinen</v>
      </c>
      <c r="B105" s="2" t="str">
        <f>IFERROR(__xludf.DUMMYFUNCTION("""COMPUTED_VALUE"""),"empirical")</f>
        <v>empirical</v>
      </c>
      <c r="C105" s="2" t="str">
        <f>IFERROR(__xludf.DUMMYFUNCTION("""COMPUTED_VALUE"""),"empirisk, erfarenhetsbaserad")</f>
        <v>empirisk, erfarenhetsbaserad</v>
      </c>
      <c r="D105" s="5"/>
      <c r="E105" s="5"/>
      <c r="F105" s="11"/>
      <c r="G105" s="11"/>
    </row>
    <row r="106">
      <c r="A106" s="2" t="str">
        <f>IFERROR(__xludf.DUMMYFUNCTION("""COMPUTED_VALUE"""),"emäsuora (kartion)")</f>
        <v>emäsuora (kartion)</v>
      </c>
      <c r="B106" s="2" t="str">
        <f>IFERROR(__xludf.DUMMYFUNCTION("""COMPUTED_VALUE"""),"generator")</f>
        <v>generator</v>
      </c>
      <c r="C106" s="2" t="str">
        <f>IFERROR(__xludf.DUMMYFUNCTION("""COMPUTED_VALUE"""),"generatris")</f>
        <v>generatris</v>
      </c>
      <c r="D106" s="5"/>
      <c r="E106" s="5"/>
      <c r="F106" s="11"/>
      <c r="G106" s="11"/>
    </row>
    <row r="107">
      <c r="A107" s="2" t="str">
        <f>IFERROR(__xludf.DUMMYFUNCTION("""COMPUTED_VALUE"""),"ennalta")</f>
        <v>ennalta</v>
      </c>
      <c r="B107" s="2" t="str">
        <f>IFERROR(__xludf.DUMMYFUNCTION("""COMPUTED_VALUE"""),"a priori (""aa pri'oorii"", lat.)")</f>
        <v>a priori ("aa pri'oorii", lat.)</v>
      </c>
      <c r="C107" s="2" t="str">
        <f>IFERROR(__xludf.DUMMYFUNCTION("""COMPUTED_VALUE"""),"på förhand")</f>
        <v>på förhand</v>
      </c>
      <c r="D107" s="5"/>
      <c r="E107" s="5"/>
      <c r="F107" s="11"/>
      <c r="G107" s="11"/>
    </row>
    <row r="108">
      <c r="A108" s="2" t="str">
        <f>IFERROR(__xludf.DUMMYFUNCTION("""COMPUTED_VALUE"""),"ensimmäinen kategoria (Baire)")</f>
        <v>ensimmäinen kategoria (Baire)</v>
      </c>
      <c r="B108" s="2" t="str">
        <f>IFERROR(__xludf.DUMMYFUNCTION("""COMPUTED_VALUE"""),"first category")</f>
        <v>first category</v>
      </c>
      <c r="C108" s="2" t="str">
        <f>IFERROR(__xludf.DUMMYFUNCTION("""COMPUTED_VALUE"""),"-")</f>
        <v>-</v>
      </c>
      <c r="D108" s="5"/>
      <c r="E108" s="5"/>
      <c r="F108" s="11"/>
      <c r="G108" s="11"/>
    </row>
    <row r="109">
      <c r="A109" s="2" t="str">
        <f>IFERROR(__xludf.DUMMYFUNCTION("""COMPUTED_VALUE"""),"ensimmäisen kertaluvun differentiaaliyhtälö")</f>
        <v>ensimmäisen kertaluvun differentiaaliyhtälö</v>
      </c>
      <c r="B109" s="2" t="str">
        <f>IFERROR(__xludf.DUMMYFUNCTION("""COMPUTED_VALUE"""),"first-order differential equation")</f>
        <v>first-order differential equation</v>
      </c>
      <c r="C109" s="2" t="str">
        <f>IFERROR(__xludf.DUMMYFUNCTION("""COMPUTED_VALUE"""),"differentialekvation av första graden")</f>
        <v>differentialekvation av första graden</v>
      </c>
      <c r="D109" s="5"/>
      <c r="E109" s="5"/>
      <c r="F109" s="11"/>
      <c r="G109" s="11"/>
    </row>
    <row r="110">
      <c r="A110" s="2" t="str">
        <f>IFERROR(__xludf.DUMMYFUNCTION("""COMPUTED_VALUE"""),"epähomogeeninen")</f>
        <v>epähomogeeninen</v>
      </c>
      <c r="B110" s="2" t="str">
        <f>IFERROR(__xludf.DUMMYFUNCTION("""COMPUTED_VALUE"""),"nonhomogeneous")</f>
        <v>nonhomogeneous</v>
      </c>
      <c r="C110" s="2" t="str">
        <f>IFERROR(__xludf.DUMMYFUNCTION("""COMPUTED_VALUE"""),"ohomogen")</f>
        <v>ohomogen</v>
      </c>
      <c r="D110" s="5"/>
      <c r="E110" s="5"/>
      <c r="F110" s="11"/>
      <c r="G110" s="11"/>
    </row>
    <row r="111">
      <c r="A111" s="2" t="str">
        <f>IFERROR(__xludf.DUMMYFUNCTION("""COMPUTED_VALUE"""),"epäjatkuva")</f>
        <v>epäjatkuva</v>
      </c>
      <c r="B111" s="2" t="str">
        <f>IFERROR(__xludf.DUMMYFUNCTION("""COMPUTED_VALUE"""),"discontinuous")</f>
        <v>discontinuous</v>
      </c>
      <c r="C111" s="2" t="str">
        <f>IFERROR(__xludf.DUMMYFUNCTION("""COMPUTED_VALUE"""),"okontinuerlig")</f>
        <v>okontinuerlig</v>
      </c>
      <c r="D111" s="5"/>
      <c r="E111" s="5"/>
      <c r="F111" s="11"/>
      <c r="G111" s="11"/>
    </row>
    <row r="112">
      <c r="A112" s="2" t="str">
        <f>IFERROR(__xludf.DUMMYFUNCTION("""COMPUTED_VALUE"""),"epäjatkuvuus; epäjatkuvuuspiste")</f>
        <v>epäjatkuvuus; epäjatkuvuuspiste</v>
      </c>
      <c r="B112" s="2" t="str">
        <f>IFERROR(__xludf.DUMMYFUNCTION("""COMPUTED_VALUE"""),"discontinuity")</f>
        <v>discontinuity</v>
      </c>
      <c r="C112" s="2" t="str">
        <f>IFERROR(__xludf.DUMMYFUNCTION("""COMPUTED_VALUE"""),"diskontinuitet")</f>
        <v>diskontinuitet</v>
      </c>
      <c r="D112" s="5"/>
      <c r="E112" s="5"/>
      <c r="F112" s="11"/>
      <c r="G112" s="11"/>
    </row>
    <row r="113">
      <c r="A113" s="2" t="str">
        <f>IFERROR(__xludf.DUMMYFUNCTION("""COMPUTED_VALUE"""),"epäjatkuvuuspiste, -kohta")</f>
        <v>epäjatkuvuuspiste, -kohta</v>
      </c>
      <c r="B113" s="2" t="str">
        <f>IFERROR(__xludf.DUMMYFUNCTION("""COMPUTED_VALUE"""),"point of discontinuity")</f>
        <v>point of discontinuity</v>
      </c>
      <c r="C113" s="2" t="str">
        <f>IFERROR(__xludf.DUMMYFUNCTION("""COMPUTED_VALUE"""),"diskontinuitetspunkt")</f>
        <v>diskontinuitetspunkt</v>
      </c>
      <c r="D113" s="5"/>
      <c r="E113" s="5"/>
      <c r="F113" s="11"/>
      <c r="G113" s="11"/>
    </row>
    <row r="114">
      <c r="A114" s="2" t="str">
        <f>IFERROR(__xludf.DUMMYFUNCTION("""COMPUTED_VALUE"""),"epälineaarinen")</f>
        <v>epälineaarinen</v>
      </c>
      <c r="B114" s="2" t="str">
        <f>IFERROR(__xludf.DUMMYFUNCTION("""COMPUTED_VALUE"""),"nonlinear")</f>
        <v>nonlinear</v>
      </c>
      <c r="C114" s="2" t="str">
        <f>IFERROR(__xludf.DUMMYFUNCTION("""COMPUTED_VALUE"""),"olinjär")</f>
        <v>olinjär</v>
      </c>
      <c r="D114" s="5"/>
      <c r="E114" s="5"/>
      <c r="F114" s="11"/>
      <c r="G114" s="11"/>
    </row>
    <row r="115">
      <c r="A115" s="2" t="str">
        <f>IFERROR(__xludf.DUMMYFUNCTION("""COMPUTED_VALUE"""),"epäoleellinen integraali")</f>
        <v>epäoleellinen integraali</v>
      </c>
      <c r="B115" s="2" t="str">
        <f>IFERROR(__xludf.DUMMYFUNCTION("""COMPUTED_VALUE"""),"generalized integral, improper integral")</f>
        <v>generalized integral, improper integral</v>
      </c>
      <c r="C115" s="2" t="str">
        <f>IFERROR(__xludf.DUMMYFUNCTION("""COMPUTED_VALUE"""),"oegentlig integral")</f>
        <v>oegentlig integral</v>
      </c>
      <c r="D115" s="5"/>
      <c r="E115" s="5"/>
      <c r="F115" s="11"/>
      <c r="G115" s="11"/>
    </row>
    <row r="116">
      <c r="A116" s="2" t="str">
        <f>IFERROR(__xludf.DUMMYFUNCTION("""COMPUTED_VALUE"""),"epäoleellinen integraali")</f>
        <v>epäoleellinen integraali</v>
      </c>
      <c r="B116" s="2" t="str">
        <f>IFERROR(__xludf.DUMMYFUNCTION("""COMPUTED_VALUE"""),"improper integral")</f>
        <v>improper integral</v>
      </c>
      <c r="C116" s="2" t="str">
        <f>IFERROR(__xludf.DUMMYFUNCTION("""COMPUTED_VALUE"""),"oegentlig integral")</f>
        <v>oegentlig integral</v>
      </c>
      <c r="D116" s="5"/>
      <c r="E116" s="5"/>
      <c r="F116" s="11"/>
      <c r="G116" s="11"/>
    </row>
    <row r="117">
      <c r="A117" s="2" t="str">
        <f>IFERROR(__xludf.DUMMYFUNCTION("""COMPUTED_VALUE"""),"epästabiili")</f>
        <v>epästabiili</v>
      </c>
      <c r="B117" s="2" t="str">
        <f>IFERROR(__xludf.DUMMYFUNCTION("""COMPUTED_VALUE"""),"unstable")</f>
        <v>unstable</v>
      </c>
      <c r="C117" s="2" t="str">
        <f>IFERROR(__xludf.DUMMYFUNCTION("""COMPUTED_VALUE"""),"ostabil")</f>
        <v>ostabil</v>
      </c>
      <c r="D117" s="5"/>
      <c r="E117" s="5"/>
      <c r="F117" s="11"/>
      <c r="G117" s="11"/>
    </row>
    <row r="118">
      <c r="A118" s="2" t="str">
        <f>IFERROR(__xludf.DUMMYFUNCTION("""COMPUTED_VALUE"""),"epätriviaali")</f>
        <v>epätriviaali</v>
      </c>
      <c r="B118" s="2" t="str">
        <f>IFERROR(__xludf.DUMMYFUNCTION("""COMPUTED_VALUE"""),"nontrivial")</f>
        <v>nontrivial</v>
      </c>
      <c r="C118" s="2" t="str">
        <f>IFERROR(__xludf.DUMMYFUNCTION("""COMPUTED_VALUE"""),"icke trivial")</f>
        <v>icke trivial</v>
      </c>
      <c r="D118" s="5"/>
      <c r="E118" s="5"/>
      <c r="F118" s="11"/>
      <c r="G118" s="11"/>
    </row>
    <row r="119">
      <c r="A119" s="2" t="str">
        <f>IFERROR(__xludf.DUMMYFUNCTION("""COMPUTED_VALUE"""),"epätyhjä")</f>
        <v>epätyhjä</v>
      </c>
      <c r="B119" s="2" t="str">
        <f>IFERROR(__xludf.DUMMYFUNCTION("""COMPUTED_VALUE"""),"nonempty")</f>
        <v>nonempty</v>
      </c>
      <c r="C119" s="2" t="str">
        <f>IFERROR(__xludf.DUMMYFUNCTION("""COMPUTED_VALUE"""),"icke tom")</f>
        <v>icke tom</v>
      </c>
      <c r="D119" s="5"/>
      <c r="E119" s="5"/>
      <c r="F119" s="11"/>
      <c r="G119" s="11"/>
    </row>
    <row r="120">
      <c r="A120" s="2" t="str">
        <f>IFERROR(__xludf.DUMMYFUNCTION("""COMPUTED_VALUE"""),"epäyhtenäinen")</f>
        <v>epäyhtenäinen</v>
      </c>
      <c r="B120" s="2" t="str">
        <f>IFERROR(__xludf.DUMMYFUNCTION("""COMPUTED_VALUE"""),"disconnected")</f>
        <v>disconnected</v>
      </c>
      <c r="C120" s="2" t="str">
        <f>IFERROR(__xludf.DUMMYFUNCTION("""COMPUTED_VALUE"""),"osammanhängande")</f>
        <v>osammanhängande</v>
      </c>
      <c r="D120" s="5"/>
      <c r="E120" s="5"/>
      <c r="F120" s="11"/>
      <c r="G120" s="11"/>
    </row>
    <row r="121">
      <c r="A121" s="2" t="str">
        <f>IFERROR(__xludf.DUMMYFUNCTION("""COMPUTED_VALUE"""),"epäyhtälö")</f>
        <v>epäyhtälö</v>
      </c>
      <c r="B121" s="2" t="str">
        <f>IFERROR(__xludf.DUMMYFUNCTION("""COMPUTED_VALUE"""),"inequality")</f>
        <v>inequality</v>
      </c>
      <c r="C121" s="2" t="str">
        <f>IFERROR(__xludf.DUMMYFUNCTION("""COMPUTED_VALUE"""),"olikhet")</f>
        <v>olikhet</v>
      </c>
      <c r="D121" s="5"/>
      <c r="E121" s="5"/>
      <c r="F121" s="11"/>
      <c r="G121" s="11"/>
    </row>
    <row r="122">
      <c r="A122" s="2" t="str">
        <f>IFERROR(__xludf.DUMMYFUNCTION("""COMPUTED_VALUE"""),"erikoispiste")</f>
        <v>erikoispiste</v>
      </c>
      <c r="B122" s="2" t="str">
        <f>IFERROR(__xludf.DUMMYFUNCTION("""COMPUTED_VALUE"""),"singularity, singular point")</f>
        <v>singularity, singular point</v>
      </c>
      <c r="C122" s="2" t="str">
        <f>IFERROR(__xludf.DUMMYFUNCTION("""COMPUTED_VALUE"""),"singulär punkt")</f>
        <v>singulär punkt</v>
      </c>
      <c r="D122" s="5"/>
      <c r="E122" s="5"/>
      <c r="F122" s="11"/>
      <c r="G122" s="11"/>
    </row>
    <row r="123">
      <c r="A123" s="2" t="str">
        <f>IFERROR(__xludf.DUMMYFUNCTION("""COMPUTED_VALUE"""),"erikoisratkaisu")</f>
        <v>erikoisratkaisu</v>
      </c>
      <c r="B123" s="2" t="str">
        <f>IFERROR(__xludf.DUMMYFUNCTION("""COMPUTED_VALUE"""),"special solution")</f>
        <v>special solution</v>
      </c>
      <c r="C123" s="2" t="str">
        <f>IFERROR(__xludf.DUMMYFUNCTION("""COMPUTED_VALUE"""),"speciallösning")</f>
        <v>speciallösning</v>
      </c>
      <c r="D123" s="5"/>
      <c r="E123" s="5"/>
      <c r="F123" s="11"/>
      <c r="G123" s="11"/>
    </row>
    <row r="124">
      <c r="A124" s="2" t="str">
        <f>IFERROR(__xludf.DUMMYFUNCTION("""COMPUTED_VALUE"""),"erilliset joukot, pistevieraat joukot")</f>
        <v>erilliset joukot, pistevieraat joukot</v>
      </c>
      <c r="B124" s="2" t="str">
        <f>IFERROR(__xludf.DUMMYFUNCTION("""COMPUTED_VALUE"""),"disjoint sets")</f>
        <v>disjoint sets</v>
      </c>
      <c r="C124" s="2" t="str">
        <f>IFERROR(__xludf.DUMMYFUNCTION("""COMPUTED_VALUE"""),"disjunkta mängder")</f>
        <v>disjunkta mängder</v>
      </c>
      <c r="D124" s="5"/>
      <c r="E124" s="5"/>
      <c r="F124" s="11"/>
      <c r="G124" s="11"/>
    </row>
    <row r="125">
      <c r="A125" s="2" t="str">
        <f>IFERROR(__xludf.DUMMYFUNCTION("""COMPUTED_VALUE"""),"eristetty piste")</f>
        <v>eristetty piste</v>
      </c>
      <c r="B125" s="2" t="str">
        <f>IFERROR(__xludf.DUMMYFUNCTION("""COMPUTED_VALUE"""),"isolated point")</f>
        <v>isolated point</v>
      </c>
      <c r="C125" s="2" t="str">
        <f>IFERROR(__xludf.DUMMYFUNCTION("""COMPUTED_VALUE"""),"isolerad punkt")</f>
        <v>isolerad punkt</v>
      </c>
      <c r="D125" s="5"/>
      <c r="E125" s="5"/>
      <c r="F125" s="11"/>
      <c r="G125" s="11"/>
    </row>
    <row r="126">
      <c r="A126" s="2" t="str">
        <f>IFERROR(__xludf.DUMMYFUNCTION("""COMPUTED_VALUE"""),"erotus")</f>
        <v>erotus</v>
      </c>
      <c r="B126" s="2" t="str">
        <f>IFERROR(__xludf.DUMMYFUNCTION("""COMPUTED_VALUE"""),"difference")</f>
        <v>difference</v>
      </c>
      <c r="C126" s="2" t="str">
        <f>IFERROR(__xludf.DUMMYFUNCTION("""COMPUTED_VALUE"""),"differens")</f>
        <v>differens</v>
      </c>
      <c r="D126" s="5"/>
      <c r="E126" s="5"/>
      <c r="F126" s="11"/>
      <c r="G126" s="11"/>
    </row>
    <row r="127">
      <c r="A127" s="2" t="str">
        <f>IFERROR(__xludf.DUMMYFUNCTION("""COMPUTED_VALUE"""),"erotus, vähennyslasku; vähennys")</f>
        <v>erotus, vähennyslasku; vähennys</v>
      </c>
      <c r="B127" s="2" t="str">
        <f>IFERROR(__xludf.DUMMYFUNCTION("""COMPUTED_VALUE"""),"subtraction")</f>
        <v>subtraction</v>
      </c>
      <c r="C127" s="2" t="str">
        <f>IFERROR(__xludf.DUMMYFUNCTION("""COMPUTED_VALUE"""),"subtraktion")</f>
        <v>subtraktion</v>
      </c>
      <c r="D127" s="5"/>
      <c r="E127" s="5"/>
      <c r="F127" s="11"/>
      <c r="G127" s="11"/>
    </row>
    <row r="128">
      <c r="A128" s="2" t="str">
        <f>IFERROR(__xludf.DUMMYFUNCTION("""COMPUTED_VALUE"""),"esikanta (topologian, filtterin)")</f>
        <v>esikanta (topologian, filtterin)</v>
      </c>
      <c r="B128" s="2" t="str">
        <f>IFERROR(__xludf.DUMMYFUNCTION("""COMPUTED_VALUE"""),"subbase, subbasis")</f>
        <v>subbase, subbasis</v>
      </c>
      <c r="C128" s="2" t="str">
        <f>IFERROR(__xludf.DUMMYFUNCTION("""COMPUTED_VALUE"""),"-")</f>
        <v>-</v>
      </c>
      <c r="D128" s="5"/>
      <c r="E128" s="5"/>
      <c r="F128" s="11"/>
      <c r="G128" s="11"/>
    </row>
    <row r="129">
      <c r="A129" s="2" t="str">
        <f>IFERROR(__xludf.DUMMYFUNCTION("""COMPUTED_VALUE"""),"esikanta, alikanta")</f>
        <v>esikanta, alikanta</v>
      </c>
      <c r="B129" s="2" t="str">
        <f>IFERROR(__xludf.DUMMYFUNCTION("""COMPUTED_VALUE"""),"prebasis")</f>
        <v>prebasis</v>
      </c>
      <c r="C129" s="2" t="str">
        <f>IFERROR(__xludf.DUMMYFUNCTION("""COMPUTED_VALUE"""),"-")</f>
        <v>-</v>
      </c>
      <c r="D129" s="5"/>
      <c r="E129" s="5"/>
      <c r="F129" s="11"/>
      <c r="G129" s="11"/>
    </row>
    <row r="130">
      <c r="A130" s="2" t="str">
        <f>IFERROR(__xludf.DUMMYFUNCTION("""COMPUTED_VALUE"""),"esikanta, alikanta")</f>
        <v>esikanta, alikanta</v>
      </c>
      <c r="B130" s="2" t="str">
        <f>IFERROR(__xludf.DUMMYFUNCTION("""COMPUTED_VALUE"""),"subbasis")</f>
        <v>subbasis</v>
      </c>
      <c r="C130" s="2" t="str">
        <f>IFERROR(__xludf.DUMMYFUNCTION("""COMPUTED_VALUE"""),"-")</f>
        <v>-</v>
      </c>
      <c r="D130" s="5"/>
      <c r="E130" s="5"/>
      <c r="F130" s="11"/>
      <c r="G130" s="11"/>
    </row>
    <row r="131">
      <c r="A131" s="2" t="str">
        <f>IFERROR(__xludf.DUMMYFUNCTION("""COMPUTED_VALUE"""),"esimerkki")</f>
        <v>esimerkki</v>
      </c>
      <c r="B131" s="2" t="str">
        <f>IFERROR(__xludf.DUMMYFUNCTION("""COMPUTED_VALUE"""),"example")</f>
        <v>example</v>
      </c>
      <c r="C131" s="2" t="str">
        <f>IFERROR(__xludf.DUMMYFUNCTION("""COMPUTED_VALUE"""),"exempel")</f>
        <v>exempel</v>
      </c>
      <c r="D131" s="5"/>
      <c r="E131" s="5"/>
      <c r="F131" s="11"/>
      <c r="G131" s="11"/>
    </row>
    <row r="132">
      <c r="A132" s="2" t="str">
        <f>IFERROR(__xludf.DUMMYFUNCTION("""COMPUTED_VALUE"""),"esitys")</f>
        <v>esitys</v>
      </c>
      <c r="B132" s="2" t="str">
        <f>IFERROR(__xludf.DUMMYFUNCTION("""COMPUTED_VALUE"""),"representation")</f>
        <v>representation</v>
      </c>
      <c r="C132" s="2" t="str">
        <f>IFERROR(__xludf.DUMMYFUNCTION("""COMPUTED_VALUE"""),"framställning, representation")</f>
        <v>framställning, representation</v>
      </c>
      <c r="D132" s="5"/>
      <c r="E132" s="5"/>
      <c r="F132" s="11"/>
      <c r="G132" s="11"/>
    </row>
    <row r="133">
      <c r="A133" s="2" t="str">
        <f>IFERROR(__xludf.DUMMYFUNCTION("""COMPUTED_VALUE"""),"este")</f>
        <v>este</v>
      </c>
      <c r="B133" s="2" t="str">
        <f>IFERROR(__xludf.DUMMYFUNCTION("""COMPUTED_VALUE"""),"obstruction")</f>
        <v>obstruction</v>
      </c>
      <c r="C133" s="2" t="str">
        <f>IFERROR(__xludf.DUMMYFUNCTION("""COMPUTED_VALUE"""),"hinder")</f>
        <v>hinder</v>
      </c>
      <c r="D133" s="5"/>
      <c r="E133" s="5"/>
      <c r="F133" s="11"/>
      <c r="G133" s="11"/>
    </row>
    <row r="134">
      <c r="A134" s="2" t="str">
        <f>IFERROR(__xludf.DUMMYFUNCTION("""COMPUTED_VALUE"""),"estimaatio; estimointi")</f>
        <v>estimaatio; estimointi</v>
      </c>
      <c r="B134" s="2" t="str">
        <f>IFERROR(__xludf.DUMMYFUNCTION("""COMPUTED_VALUE"""),"estimation")</f>
        <v>estimation</v>
      </c>
      <c r="C134" s="2" t="str">
        <f>IFERROR(__xludf.DUMMYFUNCTION("""COMPUTED_VALUE"""),"estimat")</f>
        <v>estimat</v>
      </c>
      <c r="D134" s="5"/>
      <c r="E134" s="5"/>
      <c r="F134" s="11"/>
      <c r="G134" s="11"/>
    </row>
    <row r="135">
      <c r="A135" s="2" t="str">
        <f>IFERROR(__xludf.DUMMYFUNCTION("""COMPUTED_VALUE"""),"estimoida, arvioida, estimaatti, arvio")</f>
        <v>estimoida, arvioida, estimaatti, arvio</v>
      </c>
      <c r="B135" s="2" t="str">
        <f>IFERROR(__xludf.DUMMYFUNCTION("""COMPUTED_VALUE"""),"estimate")</f>
        <v>estimate</v>
      </c>
      <c r="C135" s="2" t="str">
        <f>IFERROR(__xludf.DUMMYFUNCTION("""COMPUTED_VALUE"""),"estimera, estimat")</f>
        <v>estimera, estimat</v>
      </c>
      <c r="D135" s="5"/>
      <c r="E135" s="5"/>
      <c r="F135" s="11"/>
      <c r="G135" s="11"/>
    </row>
    <row r="136">
      <c r="A136" s="2" t="str">
        <f>IFERROR(__xludf.DUMMYFUNCTION("""COMPUTED_VALUE"""),"etumerkki; merkki")</f>
        <v>etumerkki; merkki</v>
      </c>
      <c r="B136" s="2" t="str">
        <f>IFERROR(__xludf.DUMMYFUNCTION("""COMPUTED_VALUE"""),"sign, signum")</f>
        <v>sign, signum</v>
      </c>
      <c r="C136" s="2" t="str">
        <f>IFERROR(__xludf.DUMMYFUNCTION("""COMPUTED_VALUE"""),"tecken, signum")</f>
        <v>tecken, signum</v>
      </c>
      <c r="D136" s="5"/>
      <c r="E136" s="5"/>
      <c r="F136" s="11"/>
      <c r="G136" s="11"/>
    </row>
    <row r="137">
      <c r="A137" s="2" t="str">
        <f>IFERROR(__xludf.DUMMYFUNCTION("""COMPUTED_VALUE"""),"etäisyys")</f>
        <v>etäisyys</v>
      </c>
      <c r="B137" s="2" t="str">
        <f>IFERROR(__xludf.DUMMYFUNCTION("""COMPUTED_VALUE"""),"distance")</f>
        <v>distance</v>
      </c>
      <c r="C137" s="2" t="str">
        <f>IFERROR(__xludf.DUMMYFUNCTION("""COMPUTED_VALUE"""),"distans")</f>
        <v>distans</v>
      </c>
      <c r="D137" s="5"/>
      <c r="E137" s="5"/>
      <c r="F137" s="11"/>
      <c r="G137" s="11"/>
    </row>
    <row r="138">
      <c r="A138" s="2" t="str">
        <f>IFERROR(__xludf.DUMMYFUNCTION("""COMPUTED_VALUE"""),"euklidinen avaruus")</f>
        <v>euklidinen avaruus</v>
      </c>
      <c r="B138" s="2" t="str">
        <f>IFERROR(__xludf.DUMMYFUNCTION("""COMPUTED_VALUE"""),"Euclidean space")</f>
        <v>Euclidean space</v>
      </c>
      <c r="C138" s="2" t="str">
        <f>IFERROR(__xludf.DUMMYFUNCTION("""COMPUTED_VALUE"""),"Euklidiskt rum")</f>
        <v>Euklidiskt rum</v>
      </c>
      <c r="D138" s="5"/>
      <c r="E138" s="5"/>
      <c r="F138" s="11"/>
      <c r="G138" s="11"/>
    </row>
    <row r="139">
      <c r="A139" s="2" t="str">
        <f>IFERROR(__xludf.DUMMYFUNCTION("""COMPUTED_VALUE"""),"evaluaatio, laskeminen")</f>
        <v>evaluaatio, laskeminen</v>
      </c>
      <c r="B139" s="2" t="str">
        <f>IFERROR(__xludf.DUMMYFUNCTION("""COMPUTED_VALUE"""),"evaluation")</f>
        <v>evaluation</v>
      </c>
      <c r="C139" s="2" t="str">
        <f>IFERROR(__xludf.DUMMYFUNCTION("""COMPUTED_VALUE"""),"evaluering, uträkning")</f>
        <v>evaluering, uträkning</v>
      </c>
      <c r="D139" s="5"/>
      <c r="E139" s="5"/>
      <c r="F139" s="11"/>
      <c r="G139" s="11"/>
    </row>
    <row r="140">
      <c r="A140" s="2" t="str">
        <f>IFERROR(__xludf.DUMMYFUNCTION("""COMPUTED_VALUE"""),"F-avaruus")</f>
        <v>F-avaruus</v>
      </c>
      <c r="B140" s="2" t="str">
        <f>IFERROR(__xludf.DUMMYFUNCTION("""COMPUTED_VALUE"""),"F-space")</f>
        <v>F-space</v>
      </c>
      <c r="C140" s="2"/>
      <c r="D140" s="5"/>
      <c r="E140" s="5"/>
      <c r="F140" s="11"/>
      <c r="G140" s="11"/>
    </row>
    <row r="141">
      <c r="A141" s="2" t="str">
        <f>IFERROR(__xludf.DUMMYFUNCTION("""COMPUTED_VALUE"""),"faasitaso")</f>
        <v>faasitaso</v>
      </c>
      <c r="B141" s="2" t="str">
        <f>IFERROR(__xludf.DUMMYFUNCTION("""COMPUTED_VALUE"""),"phase plane")</f>
        <v>phase plane</v>
      </c>
      <c r="C141" s="2" t="str">
        <f>IFERROR(__xludf.DUMMYFUNCTION("""COMPUTED_VALUE"""),"fasplan")</f>
        <v>fasplan</v>
      </c>
      <c r="D141" s="5"/>
      <c r="E141" s="5"/>
      <c r="F141" s="11"/>
      <c r="G141" s="11"/>
    </row>
    <row r="142">
      <c r="A142" s="2" t="str">
        <f>IFERROR(__xludf.DUMMYFUNCTION("""COMPUTED_VALUE"""),"filtteri; suodatin")</f>
        <v>filtteri; suodatin</v>
      </c>
      <c r="B142" s="2" t="str">
        <f>IFERROR(__xludf.DUMMYFUNCTION("""COMPUTED_VALUE"""),"filter")</f>
        <v>filter</v>
      </c>
      <c r="C142" s="2" t="str">
        <f>IFERROR(__xludf.DUMMYFUNCTION("""COMPUTED_VALUE"""),"filter")</f>
        <v>filter</v>
      </c>
      <c r="D142" s="5"/>
      <c r="E142" s="5"/>
      <c r="F142" s="11"/>
      <c r="G142" s="11"/>
    </row>
    <row r="143">
      <c r="A143" s="2" t="str">
        <f>IFERROR(__xludf.DUMMYFUNCTION("""COMPUTED_VALUE"""),"filtterikanta (rasteri)")</f>
        <v>filtterikanta (rasteri)</v>
      </c>
      <c r="B143" s="2" t="str">
        <f>IFERROR(__xludf.DUMMYFUNCTION("""COMPUTED_VALUE"""),"filter basis")</f>
        <v>filter basis</v>
      </c>
      <c r="C143" s="2" t="str">
        <f>IFERROR(__xludf.DUMMYFUNCTION("""COMPUTED_VALUE"""),"-")</f>
        <v>-</v>
      </c>
      <c r="D143" s="5"/>
      <c r="E143" s="5"/>
      <c r="F143" s="11"/>
      <c r="G143" s="11"/>
    </row>
    <row r="144">
      <c r="A144" s="2" t="str">
        <f>IFERROR(__xludf.DUMMYFUNCTION("""COMPUTED_VALUE"""),"filtterikanta, rasteri")</f>
        <v>filtterikanta, rasteri</v>
      </c>
      <c r="B144" s="2" t="str">
        <f>IFERROR(__xludf.DUMMYFUNCTION("""COMPUTED_VALUE"""),"filter base")</f>
        <v>filter base</v>
      </c>
      <c r="C144" s="2" t="str">
        <f>IFERROR(__xludf.DUMMYFUNCTION("""COMPUTED_VALUE"""),"-")</f>
        <v>-</v>
      </c>
      <c r="D144" s="5"/>
      <c r="E144" s="5"/>
      <c r="F144" s="11"/>
      <c r="G144" s="11"/>
    </row>
    <row r="145">
      <c r="A145" s="2" t="str">
        <f>IFERROR(__xludf.DUMMYFUNCTION("""COMPUTED_VALUE"""),"Fourier-muunnos")</f>
        <v>Fourier-muunnos</v>
      </c>
      <c r="B145" s="2" t="str">
        <f>IFERROR(__xludf.DUMMYFUNCTION("""COMPUTED_VALUE"""),"Fourier transform")</f>
        <v>Fourier transform</v>
      </c>
      <c r="C145" s="2" t="str">
        <f>IFERROR(__xludf.DUMMYFUNCTION("""COMPUTED_VALUE"""),"Fouriertransformation")</f>
        <v>Fouriertransformation</v>
      </c>
      <c r="D145" s="5"/>
      <c r="E145" s="5"/>
      <c r="F145" s="11"/>
      <c r="G145" s="11"/>
    </row>
    <row r="146">
      <c r="A146" s="2" t="str">
        <f>IFERROR(__xludf.DUMMYFUNCTION("""COMPUTED_VALUE"""),"Fourier-sarja")</f>
        <v>Fourier-sarja</v>
      </c>
      <c r="B146" s="2" t="str">
        <f>IFERROR(__xludf.DUMMYFUNCTION("""COMPUTED_VALUE"""),"Fourier series")</f>
        <v>Fourier series</v>
      </c>
      <c r="C146" s="2" t="str">
        <f>IFERROR(__xludf.DUMMYFUNCTION("""COMPUTED_VALUE"""),"Fourier serie")</f>
        <v>Fourier serie</v>
      </c>
      <c r="D146" s="5"/>
      <c r="E146" s="5"/>
      <c r="F146" s="11"/>
      <c r="G146" s="11"/>
    </row>
    <row r="147">
      <c r="A147" s="2" t="str">
        <f>IFERROR(__xludf.DUMMYFUNCTION("""COMPUTED_VALUE"""),"Frechet-avaruus (Fréchet, ""Fre'shee"")")</f>
        <v>Frechet-avaruus (Fréchet, "Fre'shee")</v>
      </c>
      <c r="B147" s="2" t="str">
        <f>IFERROR(__xludf.DUMMYFUNCTION("""COMPUTED_VALUE"""),"Frechet space")</f>
        <v>Frechet space</v>
      </c>
      <c r="C147" s="2" t="str">
        <f>IFERROR(__xludf.DUMMYFUNCTION("""COMPUTED_VALUE"""),"-")</f>
        <v>-</v>
      </c>
      <c r="D147" s="5"/>
      <c r="E147" s="5"/>
      <c r="F147" s="11"/>
      <c r="G147" s="11"/>
    </row>
    <row r="148">
      <c r="A148" s="2" t="str">
        <f>IFERROR(__xludf.DUMMYFUNCTION("""COMPUTED_VALUE"""),"funktio")</f>
        <v>funktio</v>
      </c>
      <c r="B148" s="2" t="str">
        <f>IFERROR(__xludf.DUMMYFUNCTION("""COMPUTED_VALUE"""),"function")</f>
        <v>function</v>
      </c>
      <c r="C148" s="2" t="str">
        <f>IFERROR(__xludf.DUMMYFUNCTION("""COMPUTED_VALUE"""),"funktion")</f>
        <v>funktion</v>
      </c>
      <c r="D148" s="5"/>
      <c r="E148" s="5"/>
      <c r="F148" s="11"/>
      <c r="G148" s="11"/>
    </row>
    <row r="149">
      <c r="A149" s="2" t="str">
        <f>IFERROR(__xludf.DUMMYFUNCTION("""COMPUTED_VALUE"""),"funktionaali")</f>
        <v>funktionaali</v>
      </c>
      <c r="B149" s="2" t="str">
        <f>IFERROR(__xludf.DUMMYFUNCTION("""COMPUTED_VALUE"""),"functional")</f>
        <v>functional</v>
      </c>
      <c r="C149" s="2" t="str">
        <f>IFERROR(__xludf.DUMMYFUNCTION("""COMPUTED_VALUE"""),"funktional")</f>
        <v>funktional</v>
      </c>
      <c r="D149" s="5"/>
      <c r="E149" s="5"/>
      <c r="F149" s="11"/>
      <c r="G149" s="11"/>
    </row>
    <row r="150">
      <c r="A150" s="2" t="str">
        <f>IFERROR(__xludf.DUMMYFUNCTION("""COMPUTED_VALUE"""),"funktori")</f>
        <v>funktori</v>
      </c>
      <c r="B150" s="2" t="str">
        <f>IFERROR(__xludf.DUMMYFUNCTION("""COMPUTED_VALUE"""),"functor")</f>
        <v>functor</v>
      </c>
      <c r="C150" s="2" t="str">
        <f>IFERROR(__xludf.DUMMYFUNCTION("""COMPUTED_VALUE"""),"-")</f>
        <v>-</v>
      </c>
      <c r="D150" s="5"/>
      <c r="E150" s="5"/>
      <c r="F150" s="11"/>
      <c r="G150" s="11"/>
    </row>
    <row r="151">
      <c r="A151" s="2" t="str">
        <f>IFERROR(__xludf.DUMMYFUNCTION("""COMPUTED_VALUE"""),"gamma-funktio")</f>
        <v>gamma-funktio</v>
      </c>
      <c r="B151" s="2" t="str">
        <f>IFERROR(__xludf.DUMMYFUNCTION("""COMPUTED_VALUE"""),"gamma function")</f>
        <v>gamma function</v>
      </c>
      <c r="C151" s="2" t="str">
        <f>IFERROR(__xludf.DUMMYFUNCTION("""COMPUTED_VALUE"""),"gammafunktion")</f>
        <v>gammafunktion</v>
      </c>
      <c r="D151" s="5"/>
      <c r="E151" s="5"/>
      <c r="F151" s="11"/>
      <c r="G151" s="11"/>
    </row>
    <row r="152">
      <c r="A152" s="2" t="str">
        <f>IFERROR(__xludf.DUMMYFUNCTION("""COMPUTED_VALUE"""),"generaattori (infinitesimaalinen)")</f>
        <v>generaattori (infinitesimaalinen)</v>
      </c>
      <c r="B152" s="2" t="str">
        <f>IFERROR(__xludf.DUMMYFUNCTION("""COMPUTED_VALUE"""),"generator")</f>
        <v>generator</v>
      </c>
      <c r="C152" s="2" t="str">
        <f>IFERROR(__xludf.DUMMYFUNCTION("""COMPUTED_VALUE"""),"generatris")</f>
        <v>generatris</v>
      </c>
      <c r="D152" s="5"/>
      <c r="E152" s="5"/>
      <c r="F152" s="11"/>
      <c r="G152" s="11"/>
    </row>
    <row r="153">
      <c r="A153" s="2" t="str">
        <f>IFERROR(__xludf.DUMMYFUNCTION("""COMPUTED_VALUE"""),"geometrinen kertaluku")</f>
        <v>geometrinen kertaluku</v>
      </c>
      <c r="B153" s="2" t="str">
        <f>IFERROR(__xludf.DUMMYFUNCTION("""COMPUTED_VALUE"""),"geometric multiplicity")</f>
        <v>geometric multiplicity</v>
      </c>
      <c r="C153" s="2" t="str">
        <f>IFERROR(__xludf.DUMMYFUNCTION("""COMPUTED_VALUE"""),"geometrisk mångfald")</f>
        <v>geometrisk mångfald</v>
      </c>
      <c r="D153" s="5"/>
      <c r="E153" s="5"/>
      <c r="F153" s="11"/>
      <c r="G153" s="11"/>
    </row>
    <row r="154">
      <c r="A154" s="2" t="str">
        <f>IFERROR(__xludf.DUMMYFUNCTION("""COMPUTED_VALUE"""),"geometrinen keskiarvo")</f>
        <v>geometrinen keskiarvo</v>
      </c>
      <c r="B154" s="2" t="str">
        <f>IFERROR(__xludf.DUMMYFUNCTION("""COMPUTED_VALUE"""),"geometric mean")</f>
        <v>geometric mean</v>
      </c>
      <c r="C154" s="2" t="str">
        <f>IFERROR(__xludf.DUMMYFUNCTION("""COMPUTED_VALUE"""),"geometriskt medelvärde")</f>
        <v>geometriskt medelvärde</v>
      </c>
      <c r="D154" s="5"/>
      <c r="E154" s="5"/>
      <c r="F154" s="11"/>
      <c r="G154" s="11"/>
    </row>
    <row r="155">
      <c r="A155" s="2" t="str">
        <f>IFERROR(__xludf.DUMMYFUNCTION("""COMPUTED_VALUE"""),"geometrinen sarja")</f>
        <v>geometrinen sarja</v>
      </c>
      <c r="B155" s="2" t="str">
        <f>IFERROR(__xludf.DUMMYFUNCTION("""COMPUTED_VALUE"""),"geometric series")</f>
        <v>geometric series</v>
      </c>
      <c r="C155" s="2" t="str">
        <f>IFERROR(__xludf.DUMMYFUNCTION("""COMPUTED_VALUE"""),"geometrisk serie")</f>
        <v>geometrisk serie</v>
      </c>
      <c r="D155" s="5"/>
      <c r="E155" s="5"/>
      <c r="F155" s="11"/>
      <c r="G155" s="11"/>
    </row>
    <row r="156">
      <c r="A156" s="2" t="str">
        <f>IFERROR(__xludf.DUMMYFUNCTION("""COMPUTED_VALUE"""),"globaali ääriarvo")</f>
        <v>globaali ääriarvo</v>
      </c>
      <c r="B156" s="2" t="str">
        <f>IFERROR(__xludf.DUMMYFUNCTION("""COMPUTED_VALUE"""),"global extremum")</f>
        <v>global extremum</v>
      </c>
      <c r="C156" s="2" t="str">
        <f>IFERROR(__xludf.DUMMYFUNCTION("""COMPUTED_VALUE"""),"globalt extremvärde")</f>
        <v>globalt extremvärde</v>
      </c>
      <c r="D156" s="5"/>
      <c r="E156" s="5"/>
      <c r="F156" s="11"/>
      <c r="G156" s="11"/>
    </row>
    <row r="157">
      <c r="A157" s="2" t="str">
        <f>IFERROR(__xludf.DUMMYFUNCTION("""COMPUTED_VALUE"""),"gradientti (nabla f)")</f>
        <v>gradientti (nabla f)</v>
      </c>
      <c r="B157" s="2" t="str">
        <f>IFERROR(__xludf.DUMMYFUNCTION("""COMPUTED_VALUE"""),"gradient")</f>
        <v>gradient</v>
      </c>
      <c r="C157" s="2" t="str">
        <f>IFERROR(__xludf.DUMMYFUNCTION("""COMPUTED_VALUE"""),"gradient")</f>
        <v>gradient</v>
      </c>
      <c r="D157" s="5"/>
      <c r="E157" s="5"/>
      <c r="F157" s="11"/>
      <c r="G157" s="11"/>
    </row>
    <row r="158">
      <c r="A158" s="2" t="str">
        <f>IFERROR(__xludf.DUMMYFUNCTION("""COMPUTED_VALUE"""),"gravitaatio")</f>
        <v>gravitaatio</v>
      </c>
      <c r="B158" s="2" t="str">
        <f>IFERROR(__xludf.DUMMYFUNCTION("""COMPUTED_VALUE"""),"gravity")</f>
        <v>gravity</v>
      </c>
      <c r="C158" s="2" t="str">
        <f>IFERROR(__xludf.DUMMYFUNCTION("""COMPUTED_VALUE"""),"tyngdkraft, gravitation")</f>
        <v>tyngdkraft, gravitation</v>
      </c>
      <c r="D158" s="5"/>
      <c r="E158" s="5"/>
      <c r="F158" s="11"/>
      <c r="G158" s="11"/>
    </row>
    <row r="159">
      <c r="A159" s="2" t="str">
        <f>IFERROR(__xludf.DUMMYFUNCTION("""COMPUTED_VALUE"""),"hahmo")</f>
        <v>hahmo</v>
      </c>
      <c r="B159" s="2" t="str">
        <f>IFERROR(__xludf.DUMMYFUNCTION("""COMPUTED_VALUE"""),"shape")</f>
        <v>shape</v>
      </c>
      <c r="C159" s="2" t="str">
        <f>IFERROR(__xludf.DUMMYFUNCTION("""COMPUTED_VALUE"""),"form")</f>
        <v>form</v>
      </c>
      <c r="D159" s="5"/>
      <c r="E159" s="5"/>
      <c r="F159" s="11"/>
      <c r="G159" s="11"/>
    </row>
    <row r="160">
      <c r="A160" s="2" t="str">
        <f>IFERROR(__xludf.DUMMYFUNCTION("""COMPUTED_VALUE"""),"hajaantuminen; divergenssi (div f eli nabla.f)")</f>
        <v>hajaantuminen; divergenssi (div f eli nabla.f)</v>
      </c>
      <c r="B160" s="2" t="str">
        <f>IFERROR(__xludf.DUMMYFUNCTION("""COMPUTED_VALUE"""),"divergence")</f>
        <v>divergence</v>
      </c>
      <c r="C160" s="2" t="str">
        <f>IFERROR(__xludf.DUMMYFUNCTION("""COMPUTED_VALUE"""),"divergens")</f>
        <v>divergens</v>
      </c>
      <c r="D160" s="5"/>
      <c r="E160" s="5"/>
      <c r="F160" s="11"/>
      <c r="G160" s="11"/>
    </row>
    <row r="161">
      <c r="A161" s="2" t="str">
        <f>IFERROR(__xludf.DUMMYFUNCTION("""COMPUTED_VALUE"""),"hajotelma (matriisin)")</f>
        <v>hajotelma (matriisin)</v>
      </c>
      <c r="B161" s="2" t="str">
        <f>IFERROR(__xludf.DUMMYFUNCTION("""COMPUTED_VALUE"""),"partition")</f>
        <v>partition</v>
      </c>
      <c r="C161" s="2" t="str">
        <f>IFERROR(__xludf.DUMMYFUNCTION("""COMPUTED_VALUE"""),"indelning, partitition")</f>
        <v>indelning, partitition</v>
      </c>
      <c r="D161" s="5"/>
      <c r="E161" s="5"/>
      <c r="F161" s="11"/>
      <c r="G161" s="11"/>
    </row>
    <row r="162">
      <c r="A162" s="2" t="str">
        <f>IFERROR(__xludf.DUMMYFUNCTION("""COMPUTED_VALUE"""),"hajotelma, tekijöihinjako")</f>
        <v>hajotelma, tekijöihinjako</v>
      </c>
      <c r="B162" s="2" t="str">
        <f>IFERROR(__xludf.DUMMYFUNCTION("""COMPUTED_VALUE"""),"decomposition; factorization")</f>
        <v>decomposition; factorization</v>
      </c>
      <c r="C162" s="2" t="str">
        <f>IFERROR(__xludf.DUMMYFUNCTION("""COMPUTED_VALUE"""),"sönderläggning")</f>
        <v>sönderläggning</v>
      </c>
      <c r="D162" s="5"/>
      <c r="E162" s="5"/>
      <c r="F162" s="11"/>
      <c r="G162" s="11"/>
    </row>
    <row r="163">
      <c r="A163" s="2" t="str">
        <f>IFERROR(__xludf.DUMMYFUNCTION("""COMPUTED_VALUE"""),"halkaisija, läpimitta")</f>
        <v>halkaisija, läpimitta</v>
      </c>
      <c r="B163" s="2" t="str">
        <f>IFERROR(__xludf.DUMMYFUNCTION("""COMPUTED_VALUE"""),"diameter")</f>
        <v>diameter</v>
      </c>
      <c r="C163" s="2" t="str">
        <f>IFERROR(__xludf.DUMMYFUNCTION("""COMPUTED_VALUE"""),"diameter")</f>
        <v>diameter</v>
      </c>
      <c r="D163" s="5"/>
      <c r="E163" s="5"/>
      <c r="F163" s="11"/>
      <c r="G163" s="11"/>
    </row>
    <row r="164">
      <c r="A164" s="2" t="str">
        <f>IFERROR(__xludf.DUMMYFUNCTION("""COMPUTED_VALUE"""),"harhainen")</f>
        <v>harhainen</v>
      </c>
      <c r="B164" s="2" t="str">
        <f>IFERROR(__xludf.DUMMYFUNCTION("""COMPUTED_VALUE"""),"biased")</f>
        <v>biased</v>
      </c>
      <c r="C164" s="2" t="str">
        <f>IFERROR(__xludf.DUMMYFUNCTION("""COMPUTED_VALUE"""),"förväntningsskev")</f>
        <v>förväntningsskev</v>
      </c>
      <c r="D164" s="5"/>
      <c r="E164" s="5"/>
      <c r="F164" s="11"/>
      <c r="G164" s="11"/>
    </row>
    <row r="165">
      <c r="A165" s="2" t="str">
        <f>IFERROR(__xludf.DUMMYFUNCTION("""COMPUTED_VALUE"""),"harhaton")</f>
        <v>harhaton</v>
      </c>
      <c r="B165" s="2" t="str">
        <f>IFERROR(__xludf.DUMMYFUNCTION("""COMPUTED_VALUE"""),"unbiased")</f>
        <v>unbiased</v>
      </c>
      <c r="C165" s="2" t="str">
        <f>IFERROR(__xludf.DUMMYFUNCTION("""COMPUTED_VALUE"""),"förväntningsrätt")</f>
        <v>förväntningsrätt</v>
      </c>
      <c r="D165" s="5"/>
      <c r="E165" s="5"/>
      <c r="F165" s="11"/>
      <c r="G165" s="11"/>
    </row>
    <row r="166">
      <c r="A166" s="2" t="str">
        <f>IFERROR(__xludf.DUMMYFUNCTION("""COMPUTED_VALUE"""),"harmoninen")</f>
        <v>harmoninen</v>
      </c>
      <c r="B166" s="2" t="str">
        <f>IFERROR(__xludf.DUMMYFUNCTION("""COMPUTED_VALUE"""),"harmonic")</f>
        <v>harmonic</v>
      </c>
      <c r="C166" s="2" t="str">
        <f>IFERROR(__xludf.DUMMYFUNCTION("""COMPUTED_VALUE"""),"harmonisk")</f>
        <v>harmonisk</v>
      </c>
      <c r="D166" s="5"/>
      <c r="E166" s="5"/>
      <c r="F166" s="11"/>
      <c r="G166" s="11"/>
    </row>
    <row r="167">
      <c r="A167" s="2" t="str">
        <f>IFERROR(__xludf.DUMMYFUNCTION("""COMPUTED_VALUE"""),"harva (Baire)")</f>
        <v>harva (Baire)</v>
      </c>
      <c r="B167" s="2" t="str">
        <f>IFERROR(__xludf.DUMMYFUNCTION("""COMPUTED_VALUE"""),"nowhere dense")</f>
        <v>nowhere dense</v>
      </c>
      <c r="C167" s="2" t="str">
        <f>IFERROR(__xludf.DUMMYFUNCTION("""COMPUTED_VALUE"""),"gles")</f>
        <v>gles</v>
      </c>
      <c r="D167" s="5"/>
      <c r="E167" s="5"/>
      <c r="F167" s="11"/>
      <c r="G167" s="11"/>
    </row>
    <row r="168">
      <c r="A168" s="2" t="str">
        <f>IFERROR(__xludf.DUMMYFUNCTION("""COMPUTED_VALUE"""),"harva matriisi")</f>
        <v>harva matriisi</v>
      </c>
      <c r="B168" s="2" t="str">
        <f>IFERROR(__xludf.DUMMYFUNCTION("""COMPUTED_VALUE"""),"sparse matrix")</f>
        <v>sparse matrix</v>
      </c>
      <c r="C168" s="2" t="str">
        <f>IFERROR(__xludf.DUMMYFUNCTION("""COMPUTED_VALUE"""),"gles matris")</f>
        <v>gles matris</v>
      </c>
      <c r="D168" s="5"/>
      <c r="E168" s="5"/>
      <c r="F168" s="11"/>
      <c r="G168" s="11"/>
    </row>
    <row r="169">
      <c r="A169" s="2" t="str">
        <f>IFERROR(__xludf.DUMMYFUNCTION("""COMPUTED_VALUE"""),"heikko topologia")</f>
        <v>heikko topologia</v>
      </c>
      <c r="B169" s="2" t="str">
        <f>IFERROR(__xludf.DUMMYFUNCTION("""COMPUTED_VALUE"""),"weak topology")</f>
        <v>weak topology</v>
      </c>
      <c r="C169" s="2"/>
      <c r="D169" s="5"/>
      <c r="E169" s="5"/>
      <c r="F169" s="11"/>
      <c r="G169" s="11"/>
    </row>
    <row r="170">
      <c r="A170" s="2" t="str">
        <f>IFERROR(__xludf.DUMMYFUNCTION("""COMPUTED_VALUE"""),"heikko tyyppi")</f>
        <v>heikko tyyppi</v>
      </c>
      <c r="B170" s="2" t="str">
        <f>IFERROR(__xludf.DUMMYFUNCTION("""COMPUTED_VALUE"""),"weak type")</f>
        <v>weak type</v>
      </c>
      <c r="C170" s="2" t="str">
        <f>IFERROR(__xludf.DUMMYFUNCTION("""COMPUTED_VALUE"""),"-")</f>
        <v>-</v>
      </c>
      <c r="D170" s="5"/>
      <c r="E170" s="5"/>
      <c r="F170" s="11"/>
      <c r="G170" s="11"/>
    </row>
    <row r="171">
      <c r="A171" s="2" t="str">
        <f>IFERROR(__xludf.DUMMYFUNCTION("""COMPUTED_VALUE"""),"heiluri")</f>
        <v>heiluri</v>
      </c>
      <c r="B171" s="2" t="str">
        <f>IFERROR(__xludf.DUMMYFUNCTION("""COMPUTED_VALUE"""),"pendulum")</f>
        <v>pendulum</v>
      </c>
      <c r="C171" s="2" t="str">
        <f>IFERROR(__xludf.DUMMYFUNCTION("""COMPUTED_VALUE"""),"pendel")</f>
        <v>pendel</v>
      </c>
      <c r="D171" s="5"/>
      <c r="E171" s="5"/>
      <c r="F171" s="11"/>
      <c r="G171" s="11"/>
    </row>
    <row r="172">
      <c r="A172" s="2" t="str">
        <f>IFERROR(__xludf.DUMMYFUNCTION("""COMPUTED_VALUE"""),"heksadesimaaliluku")</f>
        <v>heksadesimaaliluku</v>
      </c>
      <c r="B172" s="2" t="str">
        <f>IFERROR(__xludf.DUMMYFUNCTION("""COMPUTED_VALUE"""),"hexadecimal number")</f>
        <v>hexadecimal number</v>
      </c>
      <c r="C172" s="2" t="str">
        <f>IFERROR(__xludf.DUMMYFUNCTION("""COMPUTED_VALUE"""),"hexadecimaltal")</f>
        <v>hexadecimaltal</v>
      </c>
      <c r="D172" s="5"/>
      <c r="E172" s="5"/>
      <c r="F172" s="11"/>
      <c r="G172" s="11"/>
    </row>
    <row r="173">
      <c r="A173" s="2" t="str">
        <f>IFERROR(__xludf.DUMMYFUNCTION("""COMPUTED_VALUE"""),"hermiittinen, Hermiten")</f>
        <v>hermiittinen, Hermiten</v>
      </c>
      <c r="B173" s="2" t="str">
        <f>IFERROR(__xludf.DUMMYFUNCTION("""COMPUTED_VALUE"""),"hermitian")</f>
        <v>hermitian</v>
      </c>
      <c r="C173" s="2" t="str">
        <f>IFERROR(__xludf.DUMMYFUNCTION("""COMPUTED_VALUE"""),"Hermitesk")</f>
        <v>Hermitesk</v>
      </c>
      <c r="D173" s="5"/>
      <c r="E173" s="5"/>
      <c r="F173" s="11"/>
      <c r="G173" s="11"/>
    </row>
    <row r="174">
      <c r="A174" s="2" t="str">
        <f>IFERROR(__xludf.DUMMYFUNCTION("""COMPUTED_VALUE"""),"hermitoitu matriisi")</f>
        <v>hermitoitu matriisi</v>
      </c>
      <c r="B174" s="2" t="str">
        <f>IFERROR(__xludf.DUMMYFUNCTION("""COMPUTED_VALUE"""),"conjugate transpose")</f>
        <v>conjugate transpose</v>
      </c>
      <c r="C174" s="2" t="str">
        <f>IFERROR(__xludf.DUMMYFUNCTION("""COMPUTED_VALUE"""),"konjugatlinjär")</f>
        <v>konjugatlinjär</v>
      </c>
      <c r="D174" s="5"/>
      <c r="E174" s="5"/>
      <c r="F174" s="11"/>
      <c r="G174" s="11"/>
    </row>
    <row r="175">
      <c r="A175" s="2" t="str">
        <f>IFERROR(__xludf.DUMMYFUNCTION("""COMPUTED_VALUE"""),"hermo")</f>
        <v>hermo</v>
      </c>
      <c r="B175" s="2" t="str">
        <f>IFERROR(__xludf.DUMMYFUNCTION("""COMPUTED_VALUE"""),"nerve")</f>
        <v>nerve</v>
      </c>
      <c r="C175" s="2" t="str">
        <f>IFERROR(__xludf.DUMMYFUNCTION("""COMPUTED_VALUE"""),"nerv")</f>
        <v>nerv</v>
      </c>
      <c r="D175" s="5"/>
      <c r="E175" s="5"/>
      <c r="F175" s="11"/>
      <c r="G175" s="11"/>
    </row>
    <row r="176">
      <c r="A176" s="2" t="str">
        <f>IFERROR(__xludf.DUMMYFUNCTION("""COMPUTED_VALUE"""),"hienompi topologia")</f>
        <v>hienompi topologia</v>
      </c>
      <c r="B176" s="2" t="str">
        <f>IFERROR(__xludf.DUMMYFUNCTION("""COMPUTED_VALUE"""),"finer topology")</f>
        <v>finer topology</v>
      </c>
      <c r="C176" s="2" t="str">
        <f>IFERROR(__xludf.DUMMYFUNCTION("""COMPUTED_VALUE"""),"finare topologi")</f>
        <v>finare topologi</v>
      </c>
      <c r="D176" s="5"/>
      <c r="E176" s="5"/>
      <c r="F176" s="11"/>
      <c r="G176" s="11"/>
    </row>
    <row r="177">
      <c r="A177" s="2" t="str">
        <f>IFERROR(__xludf.DUMMYFUNCTION("""COMPUTED_VALUE"""),"hila; verkko")</f>
        <v>hila; verkko</v>
      </c>
      <c r="B177" s="2" t="str">
        <f>IFERROR(__xludf.DUMMYFUNCTION("""COMPUTED_VALUE"""),"grid, lattice")</f>
        <v>grid, lattice</v>
      </c>
      <c r="C177" s="2" t="str">
        <f>IFERROR(__xludf.DUMMYFUNCTION("""COMPUTED_VALUE"""),"gitter")</f>
        <v>gitter</v>
      </c>
      <c r="D177" s="5"/>
      <c r="E177" s="5"/>
      <c r="F177" s="11"/>
      <c r="G177" s="11"/>
    </row>
    <row r="178">
      <c r="A178" s="2" t="str">
        <f>IFERROR(__xludf.DUMMYFUNCTION("""COMPUTED_VALUE"""),"hila; verkko")</f>
        <v>hila; verkko</v>
      </c>
      <c r="B178" s="2" t="str">
        <f>IFERROR(__xludf.DUMMYFUNCTION("""COMPUTED_VALUE"""),"lattice, grid")</f>
        <v>lattice, grid</v>
      </c>
      <c r="C178" s="2" t="str">
        <f>IFERROR(__xludf.DUMMYFUNCTION("""COMPUTED_VALUE"""),"gitter")</f>
        <v>gitter</v>
      </c>
      <c r="D178" s="5"/>
      <c r="E178" s="5"/>
      <c r="F178" s="11"/>
      <c r="G178" s="11"/>
    </row>
    <row r="179">
      <c r="A179" s="2" t="str">
        <f>IFERROR(__xludf.DUMMYFUNCTION("""COMPUTED_VALUE"""),"Hilbert-avaruus")</f>
        <v>Hilbert-avaruus</v>
      </c>
      <c r="B179" s="2" t="str">
        <f>IFERROR(__xludf.DUMMYFUNCTION("""COMPUTED_VALUE"""),"Hilbert space")</f>
        <v>Hilbert space</v>
      </c>
      <c r="C179" s="2" t="str">
        <f>IFERROR(__xludf.DUMMYFUNCTION("""COMPUTED_VALUE"""),"Hilbert-rum")</f>
        <v>Hilbert-rum</v>
      </c>
      <c r="D179" s="5"/>
      <c r="E179" s="5"/>
      <c r="F179" s="11"/>
      <c r="G179" s="11"/>
    </row>
    <row r="180">
      <c r="A180" s="2" t="str">
        <f>IFERROR(__xludf.DUMMYFUNCTION("""COMPUTED_VALUE"""),"Hilbert-dimensio (max. vektoridimensio)")</f>
        <v>Hilbert-dimensio (max. vektoridimensio)</v>
      </c>
      <c r="B180" s="2" t="str">
        <f>IFERROR(__xludf.DUMMYFUNCTION("""COMPUTED_VALUE"""),"Hilbert dimension")</f>
        <v>Hilbert dimension</v>
      </c>
      <c r="C180" s="2" t="str">
        <f>IFERROR(__xludf.DUMMYFUNCTION("""COMPUTED_VALUE"""),"Hilbert-dimension")</f>
        <v>Hilbert-dimension</v>
      </c>
      <c r="D180" s="5"/>
      <c r="E180" s="5"/>
      <c r="F180" s="11"/>
      <c r="G180" s="11"/>
    </row>
    <row r="181">
      <c r="A181" s="2" t="str">
        <f>IFERROR(__xludf.DUMMYFUNCTION("""COMPUTED_VALUE"""),"Hilbert-kanta")</f>
        <v>Hilbert-kanta</v>
      </c>
      <c r="B181" s="2" t="str">
        <f>IFERROR(__xludf.DUMMYFUNCTION("""COMPUTED_VALUE"""),"Hilbert basis")</f>
        <v>Hilbert basis</v>
      </c>
      <c r="C181" s="2" t="str">
        <f>IFERROR(__xludf.DUMMYFUNCTION("""COMPUTED_VALUE"""),"Hilbert-bas")</f>
        <v>Hilbert-bas</v>
      </c>
      <c r="D181" s="5"/>
      <c r="E181" s="5"/>
      <c r="F181" s="11"/>
      <c r="G181" s="11"/>
    </row>
    <row r="182">
      <c r="A182" s="2" t="str">
        <f>IFERROR(__xludf.DUMMYFUNCTION("""COMPUTED_VALUE"""),"hitausmomentti")</f>
        <v>hitausmomentti</v>
      </c>
      <c r="B182" s="2" t="str">
        <f>IFERROR(__xludf.DUMMYFUNCTION("""COMPUTED_VALUE"""),"moment of inertia")</f>
        <v>moment of inertia</v>
      </c>
      <c r="C182" s="2" t="str">
        <f>IFERROR(__xludf.DUMMYFUNCTION("""COMPUTED_VALUE"""),"tröghetsmoment")</f>
        <v>tröghetsmoment</v>
      </c>
      <c r="D182" s="5"/>
      <c r="E182" s="5"/>
      <c r="F182" s="11"/>
      <c r="G182" s="11"/>
    </row>
    <row r="183">
      <c r="A183" s="2" t="str">
        <f>IFERROR(__xludf.DUMMYFUNCTION("""COMPUTED_VALUE"""),"holomorfinen, analyyttinen")</f>
        <v>holomorfinen, analyyttinen</v>
      </c>
      <c r="B183" s="2" t="str">
        <f>IFERROR(__xludf.DUMMYFUNCTION("""COMPUTED_VALUE"""),"holomorphic, analytic")</f>
        <v>holomorphic, analytic</v>
      </c>
      <c r="C183" s="2" t="str">
        <f>IFERROR(__xludf.DUMMYFUNCTION("""COMPUTED_VALUE"""),"holomorfisk, analytisk")</f>
        <v>holomorfisk, analytisk</v>
      </c>
      <c r="D183" s="5"/>
      <c r="E183" s="5"/>
      <c r="F183" s="11"/>
      <c r="G183" s="11"/>
    </row>
    <row r="184">
      <c r="A184" s="2" t="str">
        <f>IFERROR(__xludf.DUMMYFUNCTION("""COMPUTED_VALUE"""),"homogeeninen")</f>
        <v>homogeeninen</v>
      </c>
      <c r="B184" s="2" t="str">
        <f>IFERROR(__xludf.DUMMYFUNCTION("""COMPUTED_VALUE"""),"homogeneous")</f>
        <v>homogeneous</v>
      </c>
      <c r="C184" s="2" t="str">
        <f>IFERROR(__xludf.DUMMYFUNCTION("""COMPUTED_VALUE"""),"homogen")</f>
        <v>homogen</v>
      </c>
      <c r="D184" s="5"/>
      <c r="E184" s="5"/>
      <c r="F184" s="11"/>
      <c r="G184" s="11"/>
    </row>
    <row r="185">
      <c r="A185" s="2" t="str">
        <f>IFERROR(__xludf.DUMMYFUNCTION("""COMPUTED_VALUE"""),"homologia")</f>
        <v>homologia</v>
      </c>
      <c r="B185" s="2" t="str">
        <f>IFERROR(__xludf.DUMMYFUNCTION("""COMPUTED_VALUE"""),"homology")</f>
        <v>homology</v>
      </c>
      <c r="C185" s="2" t="str">
        <f>IFERROR(__xludf.DUMMYFUNCTION("""COMPUTED_VALUE"""),"homologi")</f>
        <v>homologi</v>
      </c>
      <c r="D185" s="5"/>
      <c r="E185" s="5"/>
      <c r="F185" s="11"/>
      <c r="G185" s="11"/>
    </row>
    <row r="186">
      <c r="A186" s="2" t="str">
        <f>IFERROR(__xludf.DUMMYFUNCTION("""COMPUTED_VALUE"""),"homomorfismi, homomorfia")</f>
        <v>homomorfismi, homomorfia</v>
      </c>
      <c r="B186" s="2" t="str">
        <f>IFERROR(__xludf.DUMMYFUNCTION("""COMPUTED_VALUE"""),"homomorphism")</f>
        <v>homomorphism</v>
      </c>
      <c r="C186" s="2" t="str">
        <f>IFERROR(__xludf.DUMMYFUNCTION("""COMPUTED_VALUE"""),"homomorfism")</f>
        <v>homomorfism</v>
      </c>
      <c r="D186" s="5"/>
      <c r="E186" s="5"/>
      <c r="F186" s="11"/>
      <c r="G186" s="11"/>
    </row>
    <row r="187">
      <c r="A187" s="2" t="str">
        <f>IFERROR(__xludf.DUMMYFUNCTION("""COMPUTED_VALUE"""),"homotopia")</f>
        <v>homotopia</v>
      </c>
      <c r="B187" s="2" t="str">
        <f>IFERROR(__xludf.DUMMYFUNCTION("""COMPUTED_VALUE"""),"homotopy")</f>
        <v>homotopy</v>
      </c>
      <c r="C187" s="2" t="str">
        <f>IFERROR(__xludf.DUMMYFUNCTION("""COMPUTED_VALUE"""),"homotopi")</f>
        <v>homotopi</v>
      </c>
      <c r="D187" s="5"/>
      <c r="E187" s="5"/>
      <c r="F187" s="11"/>
      <c r="G187" s="11"/>
    </row>
    <row r="188">
      <c r="A188" s="2" t="str">
        <f>IFERROR(__xludf.DUMMYFUNCTION("""COMPUTED_VALUE"""),"hyperbeli")</f>
        <v>hyperbeli</v>
      </c>
      <c r="B188" s="2" t="str">
        <f>IFERROR(__xludf.DUMMYFUNCTION("""COMPUTED_VALUE"""),"hyperbola")</f>
        <v>hyperbola</v>
      </c>
      <c r="C188" s="2" t="str">
        <f>IFERROR(__xludf.DUMMYFUNCTION("""COMPUTED_VALUE"""),"hyperbel")</f>
        <v>hyperbel</v>
      </c>
      <c r="D188" s="5"/>
      <c r="E188" s="5"/>
      <c r="F188" s="11"/>
      <c r="G188" s="11"/>
    </row>
    <row r="189">
      <c r="A189" s="2" t="str">
        <f>IFERROR(__xludf.DUMMYFUNCTION("""COMPUTED_VALUE"""),"hyperbolinen")</f>
        <v>hyperbolinen</v>
      </c>
      <c r="B189" s="2" t="str">
        <f>IFERROR(__xludf.DUMMYFUNCTION("""COMPUTED_VALUE"""),"hyperbolic")</f>
        <v>hyperbolic</v>
      </c>
      <c r="C189" s="2" t="str">
        <f>IFERROR(__xludf.DUMMYFUNCTION("""COMPUTED_VALUE"""),"hyperbolisk")</f>
        <v>hyperbolisk</v>
      </c>
      <c r="D189" s="5"/>
      <c r="E189" s="5"/>
      <c r="F189" s="11"/>
      <c r="G189" s="11"/>
    </row>
    <row r="190">
      <c r="A190" s="2" t="str">
        <f>IFERROR(__xludf.DUMMYFUNCTION("""COMPUTED_VALUE"""),"hyperbolinen sini")</f>
        <v>hyperbolinen sini</v>
      </c>
      <c r="B190" s="2" t="str">
        <f>IFERROR(__xludf.DUMMYFUNCTION("""COMPUTED_VALUE"""),"hyperbolic sine")</f>
        <v>hyperbolic sine</v>
      </c>
      <c r="C190" s="2" t="str">
        <f>IFERROR(__xludf.DUMMYFUNCTION("""COMPUTED_VALUE"""),"hyperbolisk sinus")</f>
        <v>hyperbolisk sinus</v>
      </c>
      <c r="D190" s="5"/>
      <c r="E190" s="5"/>
      <c r="F190" s="11"/>
      <c r="G190" s="11"/>
    </row>
    <row r="191">
      <c r="A191" s="2" t="str">
        <f>IFERROR(__xludf.DUMMYFUNCTION("""COMPUTED_VALUE"""),"hypertaso")</f>
        <v>hypertaso</v>
      </c>
      <c r="B191" s="2" t="str">
        <f>IFERROR(__xludf.DUMMYFUNCTION("""COMPUTED_VALUE"""),"hyperplane")</f>
        <v>hyperplane</v>
      </c>
      <c r="C191" s="2" t="str">
        <f>IFERROR(__xludf.DUMMYFUNCTION("""COMPUTED_VALUE"""),"hyperplan")</f>
        <v>hyperplan</v>
      </c>
      <c r="D191" s="5"/>
      <c r="E191" s="5"/>
      <c r="F191" s="11"/>
      <c r="G191" s="11"/>
    </row>
    <row r="192">
      <c r="A192" s="2" t="str">
        <f>IFERROR(__xludf.DUMMYFUNCTION("""COMPUTED_VALUE"""),"hypotenuusa (suorak. kolmion pisin sivu)")</f>
        <v>hypotenuusa (suorak. kolmion pisin sivu)</v>
      </c>
      <c r="B192" s="2" t="str">
        <f>IFERROR(__xludf.DUMMYFUNCTION("""COMPUTED_VALUE"""),"hypotenuse")</f>
        <v>hypotenuse</v>
      </c>
      <c r="C192" s="2" t="str">
        <f>IFERROR(__xludf.DUMMYFUNCTION("""COMPUTED_VALUE"""),"hypotenusa (-n)")</f>
        <v>hypotenusa (-n)</v>
      </c>
      <c r="D192" s="5"/>
      <c r="E192" s="5"/>
      <c r="F192" s="11"/>
      <c r="G192" s="11"/>
    </row>
    <row r="193">
      <c r="A193" s="2" t="str">
        <f>IFERROR(__xludf.DUMMYFUNCTION("""COMPUTED_VALUE"""),"hyvä järjestys")</f>
        <v>hyvä järjestys</v>
      </c>
      <c r="B193" s="2" t="str">
        <f>IFERROR(__xludf.DUMMYFUNCTION("""COMPUTED_VALUE"""),"well-ordering")</f>
        <v>well-ordering</v>
      </c>
      <c r="C193" s="2" t="str">
        <f>IFERROR(__xludf.DUMMYFUNCTION("""COMPUTED_VALUE"""),"välordnad")</f>
        <v>välordnad</v>
      </c>
      <c r="D193" s="5"/>
      <c r="E193" s="5"/>
      <c r="F193" s="11"/>
      <c r="G193" s="11"/>
    </row>
    <row r="194">
      <c r="A194" s="2" t="str">
        <f>IFERROR(__xludf.DUMMYFUNCTION("""COMPUTED_VALUE"""),"hyvänlaatuinen")</f>
        <v>hyvänlaatuinen</v>
      </c>
      <c r="B194" s="2" t="str">
        <f>IFERROR(__xludf.DUMMYFUNCTION("""COMPUTED_VALUE"""),"well-posed")</f>
        <v>well-posed</v>
      </c>
      <c r="C194" s="2" t="str">
        <f>IFERROR(__xludf.DUMMYFUNCTION("""COMPUTED_VALUE"""),"snäll, välartad")</f>
        <v>snäll, välartad</v>
      </c>
      <c r="D194" s="5"/>
      <c r="E194" s="5"/>
      <c r="F194" s="11"/>
      <c r="G194" s="11"/>
    </row>
    <row r="195">
      <c r="A195" s="2" t="str">
        <f>IFERROR(__xludf.DUMMYFUNCTION("""COMPUTED_VALUE"""),"häiriö")</f>
        <v>häiriö</v>
      </c>
      <c r="B195" s="2" t="str">
        <f>IFERROR(__xludf.DUMMYFUNCTION("""COMPUTED_VALUE"""),"perturbation")</f>
        <v>perturbation</v>
      </c>
      <c r="C195" s="2" t="str">
        <f>IFERROR(__xludf.DUMMYFUNCTION("""COMPUTED_VALUE"""),"störning")</f>
        <v>störning</v>
      </c>
      <c r="D195" s="5"/>
      <c r="E195" s="5"/>
      <c r="F195" s="11"/>
      <c r="G195" s="11"/>
    </row>
    <row r="196">
      <c r="A196" s="2" t="str">
        <f>IFERROR(__xludf.DUMMYFUNCTION("""COMPUTED_VALUE"""),"häiriöalttius")</f>
        <v>häiriöalttius</v>
      </c>
      <c r="B196" s="2" t="str">
        <f>IFERROR(__xludf.DUMMYFUNCTION("""COMPUTED_VALUE"""),"condition number")</f>
        <v>condition number</v>
      </c>
      <c r="C196" s="2" t="str">
        <f>IFERROR(__xludf.DUMMYFUNCTION("""COMPUTED_VALUE"""),"störningsgrad")</f>
        <v>störningsgrad</v>
      </c>
      <c r="D196" s="5"/>
      <c r="E196" s="5"/>
      <c r="F196" s="11"/>
      <c r="G196" s="11"/>
    </row>
    <row r="197">
      <c r="A197" s="2" t="str">
        <f>IFERROR(__xludf.DUMMYFUNCTION("""COMPUTED_VALUE"""),"hävitä")</f>
        <v>hävitä</v>
      </c>
      <c r="B197" s="2" t="str">
        <f>IFERROR(__xludf.DUMMYFUNCTION("""COMPUTED_VALUE"""),"vanish")</f>
        <v>vanish</v>
      </c>
      <c r="C197" s="2" t="str">
        <f>IFERROR(__xludf.DUMMYFUNCTION("""COMPUTED_VALUE"""),"försvinna")</f>
        <v>försvinna</v>
      </c>
      <c r="D197" s="5"/>
      <c r="E197" s="5"/>
      <c r="F197" s="11"/>
      <c r="G197" s="11"/>
    </row>
    <row r="198">
      <c r="A198" s="2" t="str">
        <f>IFERROR(__xludf.DUMMYFUNCTION("""COMPUTED_VALUE"""),"ideaali")</f>
        <v>ideaali</v>
      </c>
      <c r="B198" s="2" t="str">
        <f>IFERROR(__xludf.DUMMYFUNCTION("""COMPUTED_VALUE"""),"ideal")</f>
        <v>ideal</v>
      </c>
      <c r="C198" s="2" t="str">
        <f>IFERROR(__xludf.DUMMYFUNCTION("""COMPUTED_VALUE"""),"ideal")</f>
        <v>ideal</v>
      </c>
      <c r="D198" s="5"/>
      <c r="E198" s="5"/>
      <c r="F198" s="11"/>
      <c r="G198" s="11"/>
    </row>
    <row r="199">
      <c r="A199" s="2" t="str">
        <f>IFERROR(__xludf.DUMMYFUNCTION("""COMPUTED_VALUE"""),"identiteetti(kuvaus)")</f>
        <v>identiteetti(kuvaus)</v>
      </c>
      <c r="B199" s="2" t="str">
        <f>IFERROR(__xludf.DUMMYFUNCTION("""COMPUTED_VALUE"""),"identity (mapping)")</f>
        <v>identity (mapping)</v>
      </c>
      <c r="C199" s="2" t="str">
        <f>IFERROR(__xludf.DUMMYFUNCTION("""COMPUTED_VALUE"""),"identitetsavbildning")</f>
        <v>identitetsavbildning</v>
      </c>
      <c r="D199" s="5"/>
      <c r="E199" s="5"/>
      <c r="F199" s="11"/>
      <c r="G199" s="11"/>
    </row>
    <row r="200">
      <c r="A200" s="2" t="str">
        <f>IFERROR(__xludf.DUMMYFUNCTION("""COMPUTED_VALUE"""),"identiteettimatriisi, yksikkömatriisi")</f>
        <v>identiteettimatriisi, yksikkömatriisi</v>
      </c>
      <c r="B200" s="2" t="str">
        <f>IFERROR(__xludf.DUMMYFUNCTION("""COMPUTED_VALUE"""),"identity matrix")</f>
        <v>identity matrix</v>
      </c>
      <c r="C200" s="2" t="str">
        <f>IFERROR(__xludf.DUMMYFUNCTION("""COMPUTED_VALUE"""),"enhetsmatris")</f>
        <v>enhetsmatris</v>
      </c>
      <c r="D200" s="5"/>
      <c r="E200" s="5"/>
      <c r="F200" s="11"/>
      <c r="G200" s="11"/>
    </row>
    <row r="201">
      <c r="A201" s="2" t="str">
        <f>IFERROR(__xludf.DUMMYFUNCTION("""COMPUTED_VALUE"""),"imaginaariakseli")</f>
        <v>imaginaariakseli</v>
      </c>
      <c r="B201" s="2" t="str">
        <f>IFERROR(__xludf.DUMMYFUNCTION("""COMPUTED_VALUE"""),"imaginary axis")</f>
        <v>imaginary axis</v>
      </c>
      <c r="C201" s="2" t="str">
        <f>IFERROR(__xludf.DUMMYFUNCTION("""COMPUTED_VALUE"""),"imaginär axel")</f>
        <v>imaginär axel</v>
      </c>
      <c r="D201" s="5"/>
      <c r="E201" s="5"/>
      <c r="F201" s="11"/>
      <c r="G201" s="11"/>
    </row>
    <row r="202">
      <c r="A202" s="2" t="str">
        <f>IFERROR(__xludf.DUMMYFUNCTION("""COMPUTED_VALUE"""),"imaginaarinen")</f>
        <v>imaginaarinen</v>
      </c>
      <c r="B202" s="2" t="str">
        <f>IFERROR(__xludf.DUMMYFUNCTION("""COMPUTED_VALUE"""),"imaginary")</f>
        <v>imaginary</v>
      </c>
      <c r="C202" s="2" t="str">
        <f>IFERROR(__xludf.DUMMYFUNCTION("""COMPUTED_VALUE"""),"imaginär")</f>
        <v>imaginär</v>
      </c>
      <c r="D202" s="5"/>
      <c r="E202" s="5"/>
      <c r="F202" s="11"/>
      <c r="G202" s="11"/>
    </row>
    <row r="203">
      <c r="A203" s="2" t="str">
        <f>IFERROR(__xludf.DUMMYFUNCTION("""COMPUTED_VALUE"""),"imaginaariosa")</f>
        <v>imaginaariosa</v>
      </c>
      <c r="B203" s="2" t="str">
        <f>IFERROR(__xludf.DUMMYFUNCTION("""COMPUTED_VALUE"""),"imaginary part")</f>
        <v>imaginary part</v>
      </c>
      <c r="C203" s="2" t="str">
        <f>IFERROR(__xludf.DUMMYFUNCTION("""COMPUTED_VALUE"""),"imaginär del")</f>
        <v>imaginär del</v>
      </c>
      <c r="D203" s="5"/>
      <c r="E203" s="5"/>
      <c r="F203" s="11"/>
      <c r="G203" s="11"/>
    </row>
    <row r="204">
      <c r="A204" s="2" t="str">
        <f>IFERROR(__xludf.DUMMYFUNCTION("""COMPUTED_VALUE"""),"imaginaariyksikkö (i)")</f>
        <v>imaginaariyksikkö (i)</v>
      </c>
      <c r="B204" s="2" t="str">
        <f>IFERROR(__xludf.DUMMYFUNCTION("""COMPUTED_VALUE"""),"imaginary unit")</f>
        <v>imaginary unit</v>
      </c>
      <c r="C204" s="2" t="str">
        <f>IFERROR(__xludf.DUMMYFUNCTION("""COMPUTED_VALUE"""),"imaginärenheten")</f>
        <v>imaginärenheten</v>
      </c>
      <c r="D204" s="5"/>
      <c r="E204" s="5"/>
      <c r="F204" s="11"/>
      <c r="G204" s="11"/>
    </row>
    <row r="205">
      <c r="A205" s="2" t="str">
        <f>IFERROR(__xludf.DUMMYFUNCTION("""COMPUTED_VALUE"""),"immersio")</f>
        <v>immersio</v>
      </c>
      <c r="B205" s="2" t="str">
        <f>IFERROR(__xludf.DUMMYFUNCTION("""COMPUTED_VALUE"""),"immersion")</f>
        <v>immersion</v>
      </c>
      <c r="C205" s="2" t="str">
        <f>IFERROR(__xludf.DUMMYFUNCTION("""COMPUTED_VALUE"""),"immersion")</f>
        <v>immersion</v>
      </c>
      <c r="D205" s="5"/>
      <c r="E205" s="5"/>
      <c r="F205" s="11"/>
      <c r="G205" s="11"/>
    </row>
    <row r="206">
      <c r="A206" s="2" t="str">
        <f>IFERROR(__xludf.DUMMYFUNCTION("""COMPUTED_VALUE"""),"implikaatio, seuraus")</f>
        <v>implikaatio, seuraus</v>
      </c>
      <c r="B206" s="2" t="str">
        <f>IFERROR(__xludf.DUMMYFUNCTION("""COMPUTED_VALUE"""),"implication")</f>
        <v>implication</v>
      </c>
      <c r="C206" s="2" t="str">
        <f>IFERROR(__xludf.DUMMYFUNCTION("""COMPUTED_VALUE"""),"implikation, följd, konsekvens")</f>
        <v>implikation, följd, konsekvens</v>
      </c>
      <c r="D206" s="5"/>
      <c r="E206" s="5"/>
      <c r="F206" s="11"/>
      <c r="G206" s="11"/>
    </row>
    <row r="207">
      <c r="A207" s="2" t="str">
        <f>IFERROR(__xludf.DUMMYFUNCTION("""COMPUTED_VALUE"""),"implikoi")</f>
        <v>implikoi</v>
      </c>
      <c r="B207" s="2" t="str">
        <f>IFERROR(__xludf.DUMMYFUNCTION("""COMPUTED_VALUE"""),"implies")</f>
        <v>implies</v>
      </c>
      <c r="C207" s="2" t="str">
        <f>IFERROR(__xludf.DUMMYFUNCTION("""COMPUTED_VALUE"""),"implicera, medföra")</f>
        <v>implicera, medföra</v>
      </c>
      <c r="D207" s="5"/>
      <c r="E207" s="5"/>
      <c r="F207" s="11"/>
      <c r="G207" s="11"/>
    </row>
    <row r="208">
      <c r="A208" s="2" t="str">
        <f>IFERROR(__xludf.DUMMYFUNCTION("""COMPUTED_VALUE"""),"implisiittifunktiolause")</f>
        <v>implisiittifunktiolause</v>
      </c>
      <c r="B208" s="2" t="str">
        <f>IFERROR(__xludf.DUMMYFUNCTION("""COMPUTED_VALUE"""),"implicit function theorem")</f>
        <v>implicit function theorem</v>
      </c>
      <c r="C208" s="2" t="str">
        <f>IFERROR(__xludf.DUMMYFUNCTION("""COMPUTED_VALUE"""),"implicita funktionssatsen")</f>
        <v>implicita funktionssatsen</v>
      </c>
      <c r="D208" s="5"/>
      <c r="E208" s="5"/>
      <c r="F208" s="11"/>
      <c r="G208" s="11"/>
    </row>
    <row r="209">
      <c r="A209" s="2" t="str">
        <f>IFERROR(__xludf.DUMMYFUNCTION("""COMPUTED_VALUE"""),"implisiittinen")</f>
        <v>implisiittinen</v>
      </c>
      <c r="B209" s="2" t="str">
        <f>IFERROR(__xludf.DUMMYFUNCTION("""COMPUTED_VALUE"""),"implicit")</f>
        <v>implicit</v>
      </c>
      <c r="C209" s="2" t="str">
        <f>IFERROR(__xludf.DUMMYFUNCTION("""COMPUTED_VALUE"""),"implicit")</f>
        <v>implicit</v>
      </c>
      <c r="D209" s="5"/>
      <c r="E209" s="5"/>
      <c r="F209" s="11"/>
      <c r="G209" s="11"/>
    </row>
    <row r="210">
      <c r="A210" s="2" t="str">
        <f>IFERROR(__xludf.DUMMYFUNCTION("""COMPUTED_VALUE"""),"implisiittinen derivointi")</f>
        <v>implisiittinen derivointi</v>
      </c>
      <c r="B210" s="2" t="str">
        <f>IFERROR(__xludf.DUMMYFUNCTION("""COMPUTED_VALUE"""),"implicit differentiation")</f>
        <v>implicit differentiation</v>
      </c>
      <c r="C210" s="2" t="str">
        <f>IFERROR(__xludf.DUMMYFUNCTION("""COMPUTED_VALUE"""),"implicit derivering")</f>
        <v>implicit derivering</v>
      </c>
      <c r="D210" s="5"/>
      <c r="E210" s="5"/>
      <c r="F210" s="11"/>
      <c r="G210" s="11"/>
    </row>
    <row r="211">
      <c r="A211" s="2" t="str">
        <f>IFERROR(__xludf.DUMMYFUNCTION("""COMPUTED_VALUE"""),"indefiniitti (matriisi, neliömuoto)")</f>
        <v>indefiniitti (matriisi, neliömuoto)</v>
      </c>
      <c r="B211" s="2" t="str">
        <f>IFERROR(__xludf.DUMMYFUNCTION("""COMPUTED_VALUE"""),"indefinite")</f>
        <v>indefinite</v>
      </c>
      <c r="C211" s="2" t="str">
        <f>IFERROR(__xludf.DUMMYFUNCTION("""COMPUTED_VALUE"""),"obestämd")</f>
        <v>obestämd</v>
      </c>
      <c r="D211" s="5"/>
      <c r="E211" s="5"/>
      <c r="F211" s="11"/>
      <c r="G211" s="11"/>
    </row>
    <row r="212">
      <c r="A212" s="2" t="str">
        <f>IFERROR(__xludf.DUMMYFUNCTION("""COMPUTED_VALUE"""),"induktio")</f>
        <v>induktio</v>
      </c>
      <c r="B212" s="2" t="str">
        <f>IFERROR(__xludf.DUMMYFUNCTION("""COMPUTED_VALUE"""),"induction")</f>
        <v>induction</v>
      </c>
      <c r="C212" s="2" t="str">
        <f>IFERROR(__xludf.DUMMYFUNCTION("""COMPUTED_VALUE"""),"induktion")</f>
        <v>induktion</v>
      </c>
      <c r="D212" s="5"/>
      <c r="E212" s="5"/>
      <c r="F212" s="11"/>
      <c r="G212" s="11"/>
    </row>
    <row r="213">
      <c r="A213" s="2" t="str">
        <f>IFERROR(__xludf.DUMMYFUNCTION("""COMPUTED_VALUE"""),"indusoida (esim. topologia)")</f>
        <v>indusoida (esim. topologia)</v>
      </c>
      <c r="B213" s="2" t="str">
        <f>IFERROR(__xludf.DUMMYFUNCTION("""COMPUTED_VALUE"""),"induce")</f>
        <v>induce</v>
      </c>
      <c r="C213" s="2" t="str">
        <f>IFERROR(__xludf.DUMMYFUNCTION("""COMPUTED_VALUE"""),"inducera")</f>
        <v>inducera</v>
      </c>
      <c r="D213" s="5"/>
      <c r="E213" s="5"/>
      <c r="F213" s="11"/>
      <c r="G213" s="11"/>
    </row>
    <row r="214">
      <c r="A214" s="2" t="str">
        <f>IFERROR(__xludf.DUMMYFUNCTION("""COMPUTED_VALUE"""),"infimum (""iinfimum""), suurin alaraja")</f>
        <v>infimum ("iinfimum"), suurin alaraja</v>
      </c>
      <c r="B214" s="2" t="str">
        <f>IFERROR(__xludf.DUMMYFUNCTION("""COMPUTED_VALUE"""),"infimum")</f>
        <v>infimum</v>
      </c>
      <c r="C214" s="2" t="str">
        <f>IFERROR(__xludf.DUMMYFUNCTION("""COMPUTED_VALUE"""),"infimum")</f>
        <v>infimum</v>
      </c>
      <c r="D214" s="5"/>
      <c r="E214" s="5"/>
      <c r="F214" s="11"/>
      <c r="G214" s="11"/>
    </row>
    <row r="215">
      <c r="A215" s="2" t="str">
        <f>IFERROR(__xludf.DUMMYFUNCTION("""COMPUTED_VALUE"""),"infinitesimaalinen")</f>
        <v>infinitesimaalinen</v>
      </c>
      <c r="B215" s="2" t="str">
        <f>IFERROR(__xludf.DUMMYFUNCTION("""COMPUTED_VALUE"""),"infinitesimal")</f>
        <v>infinitesimal</v>
      </c>
      <c r="C215" s="2" t="str">
        <f>IFERROR(__xludf.DUMMYFUNCTION("""COMPUTED_VALUE"""),"infinitesimal")</f>
        <v>infinitesimal</v>
      </c>
      <c r="D215" s="5"/>
      <c r="E215" s="5"/>
      <c r="F215" s="11"/>
      <c r="G215" s="11"/>
    </row>
    <row r="216">
      <c r="A216" s="2" t="str">
        <f>IFERROR(__xludf.DUMMYFUNCTION("""COMPUTED_VALUE"""),"injektiivinen")</f>
        <v>injektiivinen</v>
      </c>
      <c r="B216" s="2" t="str">
        <f>IFERROR(__xludf.DUMMYFUNCTION("""COMPUTED_VALUE"""),"injective")</f>
        <v>injective</v>
      </c>
      <c r="C216" s="2" t="str">
        <f>IFERROR(__xludf.DUMMYFUNCTION("""COMPUTED_VALUE"""),"injektiv")</f>
        <v>injektiv</v>
      </c>
      <c r="D216" s="5"/>
      <c r="E216" s="5"/>
      <c r="F216" s="11"/>
      <c r="G216" s="11"/>
    </row>
    <row r="217">
      <c r="A217" s="2" t="str">
        <f>IFERROR(__xludf.DUMMYFUNCTION("""COMPUTED_VALUE"""),"injektiivinen")</f>
        <v>injektiivinen</v>
      </c>
      <c r="B217" s="2" t="str">
        <f>IFERROR(__xludf.DUMMYFUNCTION("""COMPUTED_VALUE"""),"one-to-one, injective")</f>
        <v>one-to-one, injective</v>
      </c>
      <c r="C217" s="2" t="str">
        <f>IFERROR(__xludf.DUMMYFUNCTION("""COMPUTED_VALUE"""),"injektiv")</f>
        <v>injektiv</v>
      </c>
      <c r="D217" s="5"/>
      <c r="E217" s="5"/>
      <c r="F217" s="11"/>
      <c r="G217" s="11"/>
    </row>
    <row r="218">
      <c r="A218" s="2" t="str">
        <f>IFERROR(__xludf.DUMMYFUNCTION("""COMPUTED_VALUE"""),"injektio")</f>
        <v>injektio</v>
      </c>
      <c r="B218" s="2" t="str">
        <f>IFERROR(__xludf.DUMMYFUNCTION("""COMPUTED_VALUE"""),"1-1, one-to-one")</f>
        <v>1-1, one-to-one</v>
      </c>
      <c r="C218" s="2" t="str">
        <f>IFERROR(__xludf.DUMMYFUNCTION("""COMPUTED_VALUE"""),"injektion")</f>
        <v>injektion</v>
      </c>
      <c r="D218" s="12" t="str">
        <f>IFERROR(__xludf.DUMMYFUNCTION("""COMPUTED_VALUE"""),"https://fi.wikipedia.org/wiki/Injektio")</f>
        <v>https://fi.wikipedia.org/wiki/Injektio</v>
      </c>
      <c r="E218" s="5"/>
      <c r="F218" s="11"/>
      <c r="G218" s="11"/>
    </row>
    <row r="219">
      <c r="A219" s="2" t="str">
        <f>IFERROR(__xludf.DUMMYFUNCTION("""COMPUTED_VALUE"""),"injektio")</f>
        <v>injektio</v>
      </c>
      <c r="B219" s="2" t="str">
        <f>IFERROR(__xludf.DUMMYFUNCTION("""COMPUTED_VALUE"""),"injection, one-to-one")</f>
        <v>injection, one-to-one</v>
      </c>
      <c r="C219" s="2" t="str">
        <f>IFERROR(__xludf.DUMMYFUNCTION("""COMPUTED_VALUE"""),"injektion")</f>
        <v>injektion</v>
      </c>
      <c r="D219" s="5"/>
      <c r="E219" s="5"/>
      <c r="F219" s="11"/>
      <c r="G219" s="11"/>
    </row>
    <row r="220">
      <c r="A220" s="2" t="str">
        <f>IFERROR(__xludf.DUMMYFUNCTION("""COMPUTED_VALUE"""),"inkluusio")</f>
        <v>inkluusio</v>
      </c>
      <c r="B220" s="2" t="str">
        <f>IFERROR(__xludf.DUMMYFUNCTION("""COMPUTED_VALUE"""),"inclusion")</f>
        <v>inclusion</v>
      </c>
      <c r="C220" s="2" t="str">
        <f>IFERROR(__xludf.DUMMYFUNCTION("""COMPUTED_VALUE"""),"-")</f>
        <v>-</v>
      </c>
      <c r="D220" s="5"/>
      <c r="E220" s="5"/>
      <c r="F220" s="11"/>
      <c r="G220" s="11"/>
    </row>
    <row r="221">
      <c r="A221" s="2" t="str">
        <f>IFERROR(__xludf.DUMMYFUNCTION("""COMPUTED_VALUE"""),"integraali; kokonainen")</f>
        <v>integraali; kokonainen</v>
      </c>
      <c r="B221" s="2" t="str">
        <f>IFERROR(__xludf.DUMMYFUNCTION("""COMPUTED_VALUE"""),"integral")</f>
        <v>integral</v>
      </c>
      <c r="C221" s="2" t="str">
        <f>IFERROR(__xludf.DUMMYFUNCTION("""COMPUTED_VALUE"""),"integral")</f>
        <v>integral</v>
      </c>
      <c r="D221" s="5"/>
      <c r="E221" s="5"/>
      <c r="F221" s="11"/>
      <c r="G221" s="11"/>
    </row>
    <row r="222">
      <c r="A222" s="2" t="str">
        <f>IFERROR(__xludf.DUMMYFUNCTION("""COMPUTED_VALUE"""),"integraalifunktio, antiderivaatta, primitiivifunktio, kantafunktio")</f>
        <v>integraalifunktio, antiderivaatta, primitiivifunktio, kantafunktio</v>
      </c>
      <c r="B222" s="2" t="str">
        <f>IFERROR(__xludf.DUMMYFUNCTION("""COMPUTED_VALUE"""),"antiderivative")</f>
        <v>antiderivative</v>
      </c>
      <c r="C222" s="2" t="str">
        <f>IFERROR(__xludf.DUMMYFUNCTION("""COMPUTED_VALUE"""),"integralfunktion, primitivfunktion")</f>
        <v>integralfunktion, primitivfunktion</v>
      </c>
      <c r="D222" s="5"/>
      <c r="E222" s="5"/>
      <c r="F222" s="11"/>
      <c r="G222" s="11"/>
    </row>
    <row r="223">
      <c r="A223" s="2" t="str">
        <f>IFERROR(__xludf.DUMMYFUNCTION("""COMPUTED_VALUE"""),"integraalilaskenta")</f>
        <v>integraalilaskenta</v>
      </c>
      <c r="B223" s="2" t="str">
        <f>IFERROR(__xludf.DUMMYFUNCTION("""COMPUTED_VALUE"""),"integral calculus")</f>
        <v>integral calculus</v>
      </c>
      <c r="C223" s="2" t="str">
        <f>IFERROR(__xludf.DUMMYFUNCTION("""COMPUTED_VALUE"""),"integralräkning, integralkalkyl")</f>
        <v>integralräkning, integralkalkyl</v>
      </c>
      <c r="D223" s="5"/>
      <c r="E223" s="5"/>
      <c r="F223" s="11"/>
      <c r="G223" s="11"/>
    </row>
    <row r="224">
      <c r="A224" s="2" t="str">
        <f>IFERROR(__xludf.DUMMYFUNCTION("""COMPUTED_VALUE"""),"integraalitesti")</f>
        <v>integraalitesti</v>
      </c>
      <c r="B224" s="2" t="str">
        <f>IFERROR(__xludf.DUMMYFUNCTION("""COMPUTED_VALUE"""),"integral test")</f>
        <v>integral test</v>
      </c>
      <c r="C224" s="2" t="str">
        <f>IFERROR(__xludf.DUMMYFUNCTION("""COMPUTED_VALUE"""),"integraltest")</f>
        <v>integraltest</v>
      </c>
      <c r="D224" s="5"/>
      <c r="E224" s="5"/>
      <c r="F224" s="11"/>
      <c r="G224" s="11"/>
    </row>
    <row r="225">
      <c r="A225" s="2" t="str">
        <f>IFERROR(__xludf.DUMMYFUNCTION("""COMPUTED_VALUE"""),"integrandi, integroitava")</f>
        <v>integrandi, integroitava</v>
      </c>
      <c r="B225" s="2" t="str">
        <f>IFERROR(__xludf.DUMMYFUNCTION("""COMPUTED_VALUE"""),"integrand")</f>
        <v>integrand</v>
      </c>
      <c r="C225" s="2" t="str">
        <f>IFERROR(__xludf.DUMMYFUNCTION("""COMPUTED_VALUE"""),"integrand")</f>
        <v>integrand</v>
      </c>
      <c r="D225" s="5"/>
      <c r="E225" s="5"/>
      <c r="F225" s="11"/>
      <c r="G225" s="11"/>
    </row>
    <row r="226">
      <c r="A226" s="2" t="str">
        <f>IFERROR(__xludf.DUMMYFUNCTION("""COMPUTED_VALUE"""),"integrointi x:n suhteen")</f>
        <v>integrointi x:n suhteen</v>
      </c>
      <c r="B226" s="2" t="str">
        <f>IFERROR(__xludf.DUMMYFUNCTION("""COMPUTED_VALUE"""),"integration with respect to x")</f>
        <v>integration with respect to x</v>
      </c>
      <c r="C226" s="2" t="str">
        <f>IFERROR(__xludf.DUMMYFUNCTION("""COMPUTED_VALUE"""),"integration med avseende å x")</f>
        <v>integration med avseende å x</v>
      </c>
      <c r="D226" s="5"/>
      <c r="E226" s="5"/>
      <c r="F226" s="11"/>
      <c r="G226" s="11"/>
    </row>
    <row r="227">
      <c r="A227" s="2" t="str">
        <f>IFERROR(__xludf.DUMMYFUNCTION("""COMPUTED_VALUE"""),"integrointimuuttuja")</f>
        <v>integrointimuuttuja</v>
      </c>
      <c r="B227" s="2" t="str">
        <f>IFERROR(__xludf.DUMMYFUNCTION("""COMPUTED_VALUE"""),"variable of integration")</f>
        <v>variable of integration</v>
      </c>
      <c r="C227" s="2" t="str">
        <f>IFERROR(__xludf.DUMMYFUNCTION("""COMPUTED_VALUE"""),"integrationsvariabel")</f>
        <v>integrationsvariabel</v>
      </c>
      <c r="D227" s="5"/>
      <c r="E227" s="5"/>
      <c r="F227" s="11"/>
      <c r="G227" s="11"/>
    </row>
    <row r="228">
      <c r="A228" s="2" t="str">
        <f>IFERROR(__xludf.DUMMYFUNCTION("""COMPUTED_VALUE"""),"integrointivakio")</f>
        <v>integrointivakio</v>
      </c>
      <c r="B228" s="2" t="str">
        <f>IFERROR(__xludf.DUMMYFUNCTION("""COMPUTED_VALUE"""),"constant of integration")</f>
        <v>constant of integration</v>
      </c>
      <c r="C228" s="2" t="str">
        <f>IFERROR(__xludf.DUMMYFUNCTION("""COMPUTED_VALUE"""),"integrationskonstant")</f>
        <v>integrationskonstant</v>
      </c>
      <c r="D228" s="5"/>
      <c r="E228" s="5"/>
      <c r="F228" s="11"/>
      <c r="G228" s="11"/>
    </row>
    <row r="229">
      <c r="A229" s="2" t="str">
        <f>IFERROR(__xludf.DUMMYFUNCTION("""COMPUTED_VALUE"""),"integroituva (summautuva)")</f>
        <v>integroituva (summautuva)</v>
      </c>
      <c r="B229" s="2" t="str">
        <f>IFERROR(__xludf.DUMMYFUNCTION("""COMPUTED_VALUE"""),"integrable (summable)")</f>
        <v>integrable (summable)</v>
      </c>
      <c r="C229" s="2" t="str">
        <f>IFERROR(__xludf.DUMMYFUNCTION("""COMPUTED_VALUE"""),"integrerbar")</f>
        <v>integrerbar</v>
      </c>
      <c r="D229" s="5"/>
      <c r="E229" s="5"/>
      <c r="F229" s="11"/>
      <c r="G229" s="11"/>
    </row>
    <row r="230">
      <c r="A230" s="2" t="str">
        <f>IFERROR(__xludf.DUMMYFUNCTION("""COMPUTED_VALUE"""),"invarianssi")</f>
        <v>invarianssi</v>
      </c>
      <c r="B230" s="2" t="str">
        <f>IFERROR(__xludf.DUMMYFUNCTION("""COMPUTED_VALUE"""),"invariance")</f>
        <v>invariance</v>
      </c>
      <c r="C230" s="2" t="str">
        <f>IFERROR(__xludf.DUMMYFUNCTION("""COMPUTED_VALUE"""),"invarians")</f>
        <v>invarians</v>
      </c>
      <c r="D230" s="5"/>
      <c r="E230" s="5"/>
      <c r="F230" s="11"/>
      <c r="G230" s="11"/>
    </row>
    <row r="231">
      <c r="A231" s="2" t="str">
        <f>IFERROR(__xludf.DUMMYFUNCTION("""COMPUTED_VALUE"""),"invariantti")</f>
        <v>invariantti</v>
      </c>
      <c r="B231" s="2" t="str">
        <f>IFERROR(__xludf.DUMMYFUNCTION("""COMPUTED_VALUE"""),"invariant")</f>
        <v>invariant</v>
      </c>
      <c r="C231" s="2" t="str">
        <f>IFERROR(__xludf.DUMMYFUNCTION("""COMPUTED_VALUE"""),"invariant")</f>
        <v>invariant</v>
      </c>
      <c r="D231" s="5"/>
      <c r="E231" s="5"/>
      <c r="F231" s="11"/>
      <c r="G231" s="11"/>
    </row>
    <row r="232">
      <c r="A232" s="2" t="str">
        <f>IFERROR(__xludf.DUMMYFUNCTION("""COMPUTED_VALUE"""),"irrationaalinen")</f>
        <v>irrationaalinen</v>
      </c>
      <c r="B232" s="2" t="str">
        <f>IFERROR(__xludf.DUMMYFUNCTION("""COMPUTED_VALUE"""),"irrational")</f>
        <v>irrational</v>
      </c>
      <c r="C232" s="2" t="str">
        <f>IFERROR(__xludf.DUMMYFUNCTION("""COMPUTED_VALUE"""),"irrationell")</f>
        <v>irrationell</v>
      </c>
      <c r="D232" s="5"/>
      <c r="E232" s="5"/>
      <c r="F232" s="11"/>
      <c r="G232" s="11"/>
    </row>
    <row r="233">
      <c r="A233" s="2" t="str">
        <f>IFERROR(__xludf.DUMMYFUNCTION("""COMPUTED_VALUE"""),"iso-O-merkintä, iso ordo")</f>
        <v>iso-O-merkintä, iso ordo</v>
      </c>
      <c r="B233" s="2" t="str">
        <f>IFERROR(__xludf.DUMMYFUNCTION("""COMPUTED_VALUE"""),"big-O notation")</f>
        <v>big-O notation</v>
      </c>
      <c r="C233" s="2" t="str">
        <f>IFERROR(__xludf.DUMMYFUNCTION("""COMPUTED_VALUE"""),"ordo")</f>
        <v>ordo</v>
      </c>
      <c r="D233" s="5"/>
      <c r="E233" s="5"/>
      <c r="F233" s="11"/>
      <c r="G233" s="11"/>
    </row>
    <row r="234">
      <c r="A234" s="2" t="str">
        <f>IFERROR(__xludf.DUMMYFUNCTION("""COMPUTED_VALUE"""),"isometria (etäisyyden säilyttävä kuvaus)")</f>
        <v>isometria (etäisyyden säilyttävä kuvaus)</v>
      </c>
      <c r="B234" s="2" t="str">
        <f>IFERROR(__xludf.DUMMYFUNCTION("""COMPUTED_VALUE"""),"isometry")</f>
        <v>isometry</v>
      </c>
      <c r="C234" s="2" t="str">
        <f>IFERROR(__xludf.DUMMYFUNCTION("""COMPUTED_VALUE"""),"isometri")</f>
        <v>isometri</v>
      </c>
      <c r="D234" s="5"/>
      <c r="E234" s="5"/>
      <c r="F234" s="11"/>
      <c r="G234" s="11"/>
    </row>
    <row r="235">
      <c r="A235" s="2" t="str">
        <f>IFERROR(__xludf.DUMMYFUNCTION("""COMPUTED_VALUE"""),"isometrinen")</f>
        <v>isometrinen</v>
      </c>
      <c r="B235" s="2" t="str">
        <f>IFERROR(__xludf.DUMMYFUNCTION("""COMPUTED_VALUE"""),"isometric")</f>
        <v>isometric</v>
      </c>
      <c r="C235" s="2" t="str">
        <f>IFERROR(__xludf.DUMMYFUNCTION("""COMPUTED_VALUE"""),"isometrisk")</f>
        <v>isometrisk</v>
      </c>
      <c r="D235" s="5"/>
      <c r="E235" s="5"/>
      <c r="F235" s="11"/>
      <c r="G235" s="11"/>
    </row>
    <row r="236">
      <c r="A236" s="2" t="str">
        <f>IFERROR(__xludf.DUMMYFUNCTION("""COMPUTED_VALUE"""),"isomorfinen")</f>
        <v>isomorfinen</v>
      </c>
      <c r="B236" s="2" t="str">
        <f>IFERROR(__xludf.DUMMYFUNCTION("""COMPUTED_VALUE"""),"isomorphic")</f>
        <v>isomorphic</v>
      </c>
      <c r="C236" s="2" t="str">
        <f>IFERROR(__xludf.DUMMYFUNCTION("""COMPUTED_VALUE"""),"isomorf")</f>
        <v>isomorf</v>
      </c>
      <c r="D236" s="5"/>
      <c r="E236" s="5"/>
      <c r="F236" s="11"/>
      <c r="G236" s="11"/>
    </row>
    <row r="237">
      <c r="A237" s="2" t="str">
        <f>IFERROR(__xludf.DUMMYFUNCTION("""COMPUTED_VALUE"""),"isomorfismi, isomorfia")</f>
        <v>isomorfismi, isomorfia</v>
      </c>
      <c r="B237" s="2" t="str">
        <f>IFERROR(__xludf.DUMMYFUNCTION("""COMPUTED_VALUE"""),"isomorphism")</f>
        <v>isomorphism</v>
      </c>
      <c r="C237" s="2" t="str">
        <f>IFERROR(__xludf.DUMMYFUNCTION("""COMPUTED_VALUE"""),"isomorfism")</f>
        <v>isomorfism</v>
      </c>
      <c r="D237" s="5"/>
      <c r="E237" s="5"/>
      <c r="F237" s="11"/>
      <c r="G237" s="11"/>
    </row>
    <row r="238">
      <c r="A238" s="2" t="str">
        <f>IFERROR(__xludf.DUMMYFUNCTION("""COMPUTED_VALUE"""),"iteraatio")</f>
        <v>iteraatio</v>
      </c>
      <c r="B238" s="2" t="str">
        <f>IFERROR(__xludf.DUMMYFUNCTION("""COMPUTED_VALUE"""),"iteration")</f>
        <v>iteration</v>
      </c>
      <c r="C238" s="2" t="str">
        <f>IFERROR(__xludf.DUMMYFUNCTION("""COMPUTED_VALUE"""),"iteration")</f>
        <v>iteration</v>
      </c>
      <c r="D238" s="5"/>
      <c r="E238" s="5"/>
      <c r="F238" s="11"/>
      <c r="G238" s="11"/>
    </row>
    <row r="239">
      <c r="A239" s="2" t="str">
        <f>IFERROR(__xludf.DUMMYFUNCTION("""COMPUTED_VALUE"""),"itseadjungoituva, hermiittinen, Hermiten")</f>
        <v>itseadjungoituva, hermiittinen, Hermiten</v>
      </c>
      <c r="B239" s="2" t="str">
        <f>IFERROR(__xludf.DUMMYFUNCTION("""COMPUTED_VALUE"""),"self-adjoint, hermitian")</f>
        <v>self-adjoint, hermitian</v>
      </c>
      <c r="C239" s="2" t="str">
        <f>IFERROR(__xludf.DUMMYFUNCTION("""COMPUTED_VALUE"""),"självadjungerbar")</f>
        <v>självadjungerbar</v>
      </c>
      <c r="D239" s="5"/>
      <c r="E239" s="5"/>
      <c r="F239" s="11"/>
      <c r="G239" s="11"/>
    </row>
    <row r="240">
      <c r="A240" s="2" t="str">
        <f>IFERROR(__xludf.DUMMYFUNCTION("""COMPUTED_VALUE"""),"itseinen suppeneminen")</f>
        <v>itseinen suppeneminen</v>
      </c>
      <c r="B240" s="2" t="str">
        <f>IFERROR(__xludf.DUMMYFUNCTION("""COMPUTED_VALUE"""),"absolute convergence")</f>
        <v>absolute convergence</v>
      </c>
      <c r="C240" s="2" t="str">
        <f>IFERROR(__xludf.DUMMYFUNCTION("""COMPUTED_VALUE"""),"absolut konvergens")</f>
        <v>absolut konvergens</v>
      </c>
      <c r="D240" s="5"/>
      <c r="E240" s="5"/>
      <c r="F240" s="11"/>
      <c r="G240" s="11"/>
    </row>
    <row r="241">
      <c r="A241" s="2" t="str">
        <f>IFERROR(__xludf.DUMMYFUNCTION("""COMPUTED_VALUE"""),"itseisarvo")</f>
        <v>itseisarvo</v>
      </c>
      <c r="B241" s="2" t="str">
        <f>IFERROR(__xludf.DUMMYFUNCTION("""COMPUTED_VALUE"""),"absolute value")</f>
        <v>absolute value</v>
      </c>
      <c r="C241" s="2" t="str">
        <f>IFERROR(__xludf.DUMMYFUNCTION("""COMPUTED_VALUE"""),"absolutbelopp")</f>
        <v>absolutbelopp</v>
      </c>
      <c r="D241" s="5"/>
      <c r="E241" s="5"/>
      <c r="F241" s="11"/>
      <c r="G241" s="11"/>
    </row>
    <row r="242">
      <c r="A242" s="2" t="str">
        <f>IFERROR(__xludf.DUMMYFUNCTION("""COMPUTED_VALUE"""),"Jacobin determinantti, funktionaalideterminantti")</f>
        <v>Jacobin determinantti, funktionaalideterminantti</v>
      </c>
      <c r="B242" s="2" t="str">
        <f>IFERROR(__xludf.DUMMYFUNCTION("""COMPUTED_VALUE"""),"Jacobian")</f>
        <v>Jacobian</v>
      </c>
      <c r="C242" s="2" t="str">
        <f>IFERROR(__xludf.DUMMYFUNCTION("""COMPUTED_VALUE"""),"Jakobdeterminant")</f>
        <v>Jakobdeterminant</v>
      </c>
      <c r="D242" s="5"/>
      <c r="E242" s="5"/>
      <c r="F242" s="11"/>
      <c r="G242" s="11"/>
    </row>
    <row r="243">
      <c r="A243" s="2" t="str">
        <f>IFERROR(__xludf.DUMMYFUNCTION("""COMPUTED_VALUE"""),"Jacobin matriisi")</f>
        <v>Jacobin matriisi</v>
      </c>
      <c r="B243" s="2" t="str">
        <f>IFERROR(__xludf.DUMMYFUNCTION("""COMPUTED_VALUE"""),"Jacobian matrix")</f>
        <v>Jacobian matrix</v>
      </c>
      <c r="C243" s="2" t="str">
        <f>IFERROR(__xludf.DUMMYFUNCTION("""COMPUTED_VALUE"""),"Jakob matris")</f>
        <v>Jakob matris</v>
      </c>
      <c r="D243" s="5"/>
      <c r="E243" s="5"/>
      <c r="F243" s="11"/>
      <c r="G243" s="11"/>
    </row>
    <row r="244">
      <c r="A244" s="2" t="str">
        <f>IFERROR(__xludf.DUMMYFUNCTION("""COMPUTED_VALUE"""),"jaettava")</f>
        <v>jaettava</v>
      </c>
      <c r="B244" s="2" t="str">
        <f>IFERROR(__xludf.DUMMYFUNCTION("""COMPUTED_VALUE"""),"divident, numerator")</f>
        <v>divident, numerator</v>
      </c>
      <c r="C244" s="2" t="str">
        <f>IFERROR(__xludf.DUMMYFUNCTION("""COMPUTED_VALUE"""),"täljare")</f>
        <v>täljare</v>
      </c>
      <c r="D244" s="5"/>
      <c r="E244" s="5"/>
      <c r="F244" s="11"/>
      <c r="G244" s="11"/>
    </row>
    <row r="245">
      <c r="A245" s="2" t="str">
        <f>IFERROR(__xludf.DUMMYFUNCTION("""COMPUTED_VALUE"""),"jakaa")</f>
        <v>jakaa</v>
      </c>
      <c r="B245" s="2" t="str">
        <f>IFERROR(__xludf.DUMMYFUNCTION("""COMPUTED_VALUE"""),"divide")</f>
        <v>divide</v>
      </c>
      <c r="C245" s="2" t="str">
        <f>IFERROR(__xludf.DUMMYFUNCTION("""COMPUTED_VALUE"""),"dividera")</f>
        <v>dividera</v>
      </c>
      <c r="D245" s="5"/>
      <c r="E245" s="5"/>
      <c r="F245" s="11"/>
      <c r="G245" s="11"/>
    </row>
    <row r="246">
      <c r="A246" s="2" t="str">
        <f>IFERROR(__xludf.DUMMYFUNCTION("""COMPUTED_VALUE"""),"jakaa tekijöihin")</f>
        <v>jakaa tekijöihin</v>
      </c>
      <c r="B246" s="2" t="str">
        <f>IFERROR(__xludf.DUMMYFUNCTION("""COMPUTED_VALUE"""),"factor(verbi)")</f>
        <v>factor(verbi)</v>
      </c>
      <c r="C246" s="2" t="str">
        <f>IFERROR(__xludf.DUMMYFUNCTION("""COMPUTED_VALUE"""),"faktorisera")</f>
        <v>faktorisera</v>
      </c>
      <c r="D246" s="5"/>
      <c r="E246" s="5"/>
      <c r="F246" s="11"/>
      <c r="G246" s="11"/>
    </row>
    <row r="247">
      <c r="A247" s="2" t="str">
        <f>IFERROR(__xludf.DUMMYFUNCTION("""COMPUTED_VALUE"""),"jakaja")</f>
        <v>jakaja</v>
      </c>
      <c r="B247" s="2" t="str">
        <f>IFERROR(__xludf.DUMMYFUNCTION("""COMPUTED_VALUE"""),"divisor, denominator")</f>
        <v>divisor, denominator</v>
      </c>
      <c r="C247" s="2" t="str">
        <f>IFERROR(__xludf.DUMMYFUNCTION("""COMPUTED_VALUE"""),"nämnare")</f>
        <v>nämnare</v>
      </c>
      <c r="D247" s="5"/>
      <c r="E247" s="5"/>
      <c r="F247" s="11"/>
      <c r="G247" s="11"/>
    </row>
    <row r="248">
      <c r="A248" s="2" t="str">
        <f>IFERROR(__xludf.DUMMYFUNCTION("""COMPUTED_VALUE"""),"jakaumafunktio")</f>
        <v>jakaumafunktio</v>
      </c>
      <c r="B248" s="2" t="str">
        <f>IFERROR(__xludf.DUMMYFUNCTION("""COMPUTED_VALUE"""),"distribution function")</f>
        <v>distribution function</v>
      </c>
      <c r="C248" s="2" t="str">
        <f>IFERROR(__xludf.DUMMYFUNCTION("""COMPUTED_VALUE"""),"fördelningsfunktion")</f>
        <v>fördelningsfunktion</v>
      </c>
      <c r="D248" s="5"/>
      <c r="E248" s="5"/>
      <c r="F248" s="11"/>
      <c r="G248" s="11"/>
    </row>
    <row r="249">
      <c r="A249" s="2" t="str">
        <f>IFERROR(__xludf.DUMMYFUNCTION("""COMPUTED_VALUE"""),"jako, alijako")</f>
        <v>jako, alijako</v>
      </c>
      <c r="B249" s="2" t="str">
        <f>IFERROR(__xludf.DUMMYFUNCTION("""COMPUTED_VALUE"""),"subdivision")</f>
        <v>subdivision</v>
      </c>
      <c r="C249" s="2" t="str">
        <f>IFERROR(__xludf.DUMMYFUNCTION("""COMPUTED_VALUE"""),"indelning")</f>
        <v>indelning</v>
      </c>
      <c r="D249" s="5"/>
      <c r="E249" s="5"/>
      <c r="F249" s="11"/>
      <c r="G249" s="11"/>
    </row>
    <row r="250">
      <c r="A250" s="2" t="str">
        <f>IFERROR(__xludf.DUMMYFUNCTION("""COMPUTED_VALUE"""),"jakolasku, jakaminen")</f>
        <v>jakolasku, jakaminen</v>
      </c>
      <c r="B250" s="2" t="str">
        <f>IFERROR(__xludf.DUMMYFUNCTION("""COMPUTED_VALUE"""),"division")</f>
        <v>division</v>
      </c>
      <c r="C250" s="2" t="str">
        <f>IFERROR(__xludf.DUMMYFUNCTION("""COMPUTED_VALUE"""),"division")</f>
        <v>division</v>
      </c>
      <c r="D250" s="5"/>
      <c r="E250" s="5"/>
      <c r="F250" s="11"/>
      <c r="G250" s="11"/>
    </row>
    <row r="251">
      <c r="A251" s="2" t="str">
        <f>IFERROR(__xludf.DUMMYFUNCTION("""COMPUTED_VALUE"""),"jakso")</f>
        <v>jakso</v>
      </c>
      <c r="B251" s="2" t="str">
        <f>IFERROR(__xludf.DUMMYFUNCTION("""COMPUTED_VALUE"""),"period")</f>
        <v>period</v>
      </c>
      <c r="C251" s="2" t="str">
        <f>IFERROR(__xludf.DUMMYFUNCTION("""COMPUTED_VALUE"""),"period")</f>
        <v>period</v>
      </c>
      <c r="D251" s="5"/>
      <c r="E251" s="5"/>
      <c r="F251" s="11"/>
      <c r="G251" s="11"/>
    </row>
    <row r="252">
      <c r="A252" s="2" t="str">
        <f>IFERROR(__xludf.DUMMYFUNCTION("""COMPUTED_VALUE"""),"jaksollinen")</f>
        <v>jaksollinen</v>
      </c>
      <c r="B252" s="2" t="str">
        <f>IFERROR(__xludf.DUMMYFUNCTION("""COMPUTED_VALUE"""),"periodic")</f>
        <v>periodic</v>
      </c>
      <c r="C252" s="2" t="str">
        <f>IFERROR(__xludf.DUMMYFUNCTION("""COMPUTED_VALUE"""),"periodisk")</f>
        <v>periodisk</v>
      </c>
      <c r="D252" s="5"/>
      <c r="E252" s="5"/>
      <c r="F252" s="11"/>
      <c r="G252" s="11"/>
    </row>
    <row r="253">
      <c r="A253" s="2" t="str">
        <f>IFERROR(__xludf.DUMMYFUNCTION("""COMPUTED_VALUE"""),"jaksollisuus")</f>
        <v>jaksollisuus</v>
      </c>
      <c r="B253" s="2" t="str">
        <f>IFERROR(__xludf.DUMMYFUNCTION("""COMPUTED_VALUE"""),"periodicity")</f>
        <v>periodicity</v>
      </c>
      <c r="C253" s="2" t="str">
        <f>IFERROR(__xludf.DUMMYFUNCTION("""COMPUTED_VALUE"""),"periodicitet")</f>
        <v>periodicitet</v>
      </c>
      <c r="D253" s="5"/>
      <c r="E253" s="5"/>
      <c r="F253" s="11"/>
      <c r="G253" s="11"/>
    </row>
    <row r="254">
      <c r="A254" s="2" t="str">
        <f>IFERROR(__xludf.DUMMYFUNCTION("""COMPUTED_VALUE"""),"jana")</f>
        <v>jana</v>
      </c>
      <c r="B254" s="2" t="str">
        <f>IFERROR(__xludf.DUMMYFUNCTION("""COMPUTED_VALUE"""),"line segment")</f>
        <v>line segment</v>
      </c>
      <c r="C254" s="2" t="str">
        <f>IFERROR(__xludf.DUMMYFUNCTION("""COMPUTED_VALUE"""),"sträcka")</f>
        <v>sträcka</v>
      </c>
      <c r="D254" s="5"/>
      <c r="E254" s="5"/>
      <c r="F254" s="11"/>
      <c r="G254" s="11"/>
    </row>
    <row r="255">
      <c r="A255" s="2" t="str">
        <f>IFERROR(__xludf.DUMMYFUNCTION("""COMPUTED_VALUE"""),"jatke, laajennus")</f>
        <v>jatke, laajennus</v>
      </c>
      <c r="B255" s="2" t="str">
        <f>IFERROR(__xludf.DUMMYFUNCTION("""COMPUTED_VALUE"""),"extension")</f>
        <v>extension</v>
      </c>
      <c r="C255" s="2" t="str">
        <f>IFERROR(__xludf.DUMMYFUNCTION("""COMPUTED_VALUE"""),"utvidgning")</f>
        <v>utvidgning</v>
      </c>
      <c r="D255" s="5"/>
      <c r="E255" s="5"/>
      <c r="F255" s="11"/>
      <c r="G255" s="11"/>
    </row>
    <row r="256">
      <c r="A256" s="2" t="str">
        <f>IFERROR(__xludf.DUMMYFUNCTION("""COMPUTED_VALUE"""),"jatkumo, kontinuumi")</f>
        <v>jatkumo, kontinuumi</v>
      </c>
      <c r="B256" s="2" t="str">
        <f>IFERROR(__xludf.DUMMYFUNCTION("""COMPUTED_VALUE"""),"continuum")</f>
        <v>continuum</v>
      </c>
      <c r="C256" s="2" t="str">
        <f>IFERROR(__xludf.DUMMYFUNCTION("""COMPUTED_VALUE"""),"kontinuum")</f>
        <v>kontinuum</v>
      </c>
      <c r="D256" s="5"/>
      <c r="E256" s="5"/>
      <c r="F256" s="11"/>
      <c r="G256" s="11"/>
    </row>
    <row r="257">
      <c r="A257" s="2" t="str">
        <f>IFERROR(__xludf.DUMMYFUNCTION("""COMPUTED_VALUE"""),"jatkuva")</f>
        <v>jatkuva</v>
      </c>
      <c r="B257" s="2" t="str">
        <f>IFERROR(__xludf.DUMMYFUNCTION("""COMPUTED_VALUE"""),"continuous")</f>
        <v>continuous</v>
      </c>
      <c r="C257" s="2" t="str">
        <f>IFERROR(__xludf.DUMMYFUNCTION("""COMPUTED_VALUE"""),"kontinuerlig")</f>
        <v>kontinuerlig</v>
      </c>
      <c r="D257" s="5"/>
      <c r="E257" s="5"/>
      <c r="F257" s="11"/>
      <c r="G257" s="11"/>
    </row>
    <row r="258">
      <c r="A258" s="2" t="str">
        <f>IFERROR(__xludf.DUMMYFUNCTION("""COMPUTED_VALUE"""),"jatkuvuus")</f>
        <v>jatkuvuus</v>
      </c>
      <c r="B258" s="2" t="str">
        <f>IFERROR(__xludf.DUMMYFUNCTION("""COMPUTED_VALUE"""),"continuity")</f>
        <v>continuity</v>
      </c>
      <c r="C258" s="2" t="str">
        <f>IFERROR(__xludf.DUMMYFUNCTION("""COMPUTED_VALUE"""),"kontinuitet")</f>
        <v>kontinuitet</v>
      </c>
      <c r="D258" s="5"/>
      <c r="E258" s="5"/>
      <c r="F258" s="11"/>
      <c r="G258" s="11"/>
    </row>
    <row r="259">
      <c r="A259" s="2" t="str">
        <f>IFERROR(__xludf.DUMMYFUNCTION("""COMPUTED_VALUE"""),"jatkuvuuspiste")</f>
        <v>jatkuvuuspiste</v>
      </c>
      <c r="B259" s="2" t="str">
        <f>IFERROR(__xludf.DUMMYFUNCTION("""COMPUTED_VALUE"""),"point of continuity")</f>
        <v>point of continuity</v>
      </c>
      <c r="C259" s="2" t="str">
        <f>IFERROR(__xludf.DUMMYFUNCTION("""COMPUTED_VALUE"""),"kontinuitetspunkt")</f>
        <v>kontinuitetspunkt</v>
      </c>
      <c r="D259" s="5"/>
      <c r="E259" s="5"/>
      <c r="F259" s="11"/>
      <c r="G259" s="11"/>
    </row>
    <row r="260">
      <c r="A260" s="2" t="str">
        <f>IFERROR(__xludf.DUMMYFUNCTION("""COMPUTED_VALUE"""),"johtosuora")</f>
        <v>johtosuora</v>
      </c>
      <c r="B260" s="2" t="str">
        <f>IFERROR(__xludf.DUMMYFUNCTION("""COMPUTED_VALUE"""),"directrix")</f>
        <v>directrix</v>
      </c>
      <c r="C260" s="2" t="str">
        <f>IFERROR(__xludf.DUMMYFUNCTION("""COMPUTED_VALUE"""),"direktris, styrlinje")</f>
        <v>direktris, styrlinje</v>
      </c>
      <c r="D260" s="5"/>
      <c r="E260" s="5"/>
      <c r="F260" s="11"/>
      <c r="G260" s="11"/>
    </row>
    <row r="261">
      <c r="A261" s="2" t="str">
        <f>IFERROR(__xludf.DUMMYFUNCTION("""COMPUTED_VALUE"""),"jono (ei lukujono)")</f>
        <v>jono (ei lukujono)</v>
      </c>
      <c r="B261" s="2" t="str">
        <f>IFERROR(__xludf.DUMMYFUNCTION("""COMPUTED_VALUE"""),"queue")</f>
        <v>queue</v>
      </c>
      <c r="C261" s="2" t="str">
        <f>IFERROR(__xludf.DUMMYFUNCTION("""COMPUTED_VALUE"""),"kö")</f>
        <v>kö</v>
      </c>
      <c r="D261" s="5"/>
      <c r="E261" s="5"/>
      <c r="F261" s="11"/>
      <c r="G261" s="11"/>
    </row>
    <row r="262">
      <c r="A262" s="2" t="str">
        <f>IFERROR(__xludf.DUMMYFUNCTION("""COMPUTED_VALUE"""),"jono (lukujono)")</f>
        <v>jono (lukujono)</v>
      </c>
      <c r="B262" s="2" t="str">
        <f>IFERROR(__xludf.DUMMYFUNCTION("""COMPUTED_VALUE"""),"sequence")</f>
        <v>sequence</v>
      </c>
      <c r="C262" s="2" t="str">
        <f>IFERROR(__xludf.DUMMYFUNCTION("""COMPUTED_VALUE"""),"följd")</f>
        <v>följd</v>
      </c>
      <c r="D262" s="5"/>
      <c r="E262" s="5"/>
      <c r="F262" s="11"/>
      <c r="G262" s="11"/>
    </row>
    <row r="263">
      <c r="A263" s="2" t="str">
        <f>IFERROR(__xludf.DUMMYFUNCTION("""COMPUTED_VALUE"""),"jonokompakti")</f>
        <v>jonokompakti</v>
      </c>
      <c r="B263" s="2" t="str">
        <f>IFERROR(__xludf.DUMMYFUNCTION("""COMPUTED_VALUE"""),"sequentially compact")</f>
        <v>sequentially compact</v>
      </c>
      <c r="C263" s="2" t="str">
        <f>IFERROR(__xludf.DUMMYFUNCTION("""COMPUTED_VALUE"""),"sekventiellt kompakt")</f>
        <v>sekventiellt kompakt</v>
      </c>
      <c r="D263" s="5"/>
      <c r="E263" s="5"/>
      <c r="F263" s="11"/>
      <c r="G263" s="11"/>
    </row>
    <row r="264">
      <c r="A264" s="2" t="str">
        <f>IFERROR(__xludf.DUMMYFUNCTION("""COMPUTED_VALUE"""),"jonoteoria")</f>
        <v>jonoteoria</v>
      </c>
      <c r="B264" s="2" t="str">
        <f>IFERROR(__xludf.DUMMYFUNCTION("""COMPUTED_VALUE"""),"queueing theory")</f>
        <v>queueing theory</v>
      </c>
      <c r="C264" s="2" t="str">
        <f>IFERROR(__xludf.DUMMYFUNCTION("""COMPUTED_VALUE"""),"köteori")</f>
        <v>köteori</v>
      </c>
      <c r="D264" s="5"/>
      <c r="E264" s="5"/>
      <c r="F264" s="11"/>
      <c r="G264" s="11"/>
    </row>
    <row r="265">
      <c r="A265" s="2" t="str">
        <f>IFERROR(__xludf.DUMMYFUNCTION("""COMPUTED_VALUE"""),"Jordanin muoto")</f>
        <v>Jordanin muoto</v>
      </c>
      <c r="B265" s="2" t="str">
        <f>IFERROR(__xludf.DUMMYFUNCTION("""COMPUTED_VALUE"""),"Jordan form")</f>
        <v>Jordan form</v>
      </c>
      <c r="C265" s="2" t="str">
        <f>IFERROR(__xludf.DUMMYFUNCTION("""COMPUTED_VALUE"""),"Jordan-form")</f>
        <v>Jordan-form</v>
      </c>
      <c r="D265" s="5"/>
      <c r="E265" s="5"/>
      <c r="F265" s="11"/>
      <c r="G265" s="11"/>
    </row>
    <row r="266">
      <c r="A266" s="2" t="str">
        <f>IFERROR(__xludf.DUMMYFUNCTION("""COMPUTED_VALUE"""),"joukko")</f>
        <v>joukko</v>
      </c>
      <c r="B266" s="2" t="str">
        <f>IFERROR(__xludf.DUMMYFUNCTION("""COMPUTED_VALUE"""),"set")</f>
        <v>set</v>
      </c>
      <c r="C266" s="2" t="str">
        <f>IFERROR(__xludf.DUMMYFUNCTION("""COMPUTED_VALUE"""),"mängd")</f>
        <v>mängd</v>
      </c>
      <c r="D266" s="5"/>
      <c r="E266" s="5"/>
      <c r="F266" s="11"/>
      <c r="G266" s="11"/>
    </row>
    <row r="267">
      <c r="A267" s="2" t="str">
        <f>IFERROR(__xludf.DUMMYFUNCTION("""COMPUTED_VALUE"""),"juuri (myös polynomin)")</f>
        <v>juuri (myös polynomin)</v>
      </c>
      <c r="B267" s="2" t="str">
        <f>IFERROR(__xludf.DUMMYFUNCTION("""COMPUTED_VALUE"""),"root")</f>
        <v>root</v>
      </c>
      <c r="C267" s="2" t="str">
        <f>IFERROR(__xludf.DUMMYFUNCTION("""COMPUTED_VALUE"""),"rot")</f>
        <v>rot</v>
      </c>
      <c r="D267" s="5"/>
      <c r="E267" s="5"/>
      <c r="F267" s="11"/>
      <c r="G267" s="11"/>
    </row>
    <row r="268">
      <c r="A268" s="2" t="str">
        <f>IFERROR(__xludf.DUMMYFUNCTION("""COMPUTED_VALUE"""),"juuritesti")</f>
        <v>juuritesti</v>
      </c>
      <c r="B268" s="2" t="str">
        <f>IFERROR(__xludf.DUMMYFUNCTION("""COMPUTED_VALUE"""),"root test")</f>
        <v>root test</v>
      </c>
      <c r="C268" s="2" t="str">
        <f>IFERROR(__xludf.DUMMYFUNCTION("""COMPUTED_VALUE"""),"rottest")</f>
        <v>rottest</v>
      </c>
      <c r="D268" s="5"/>
      <c r="E268" s="5"/>
      <c r="F268" s="11"/>
      <c r="G268" s="11"/>
    </row>
    <row r="269">
      <c r="A269" s="2" t="str">
        <f>IFERROR(__xludf.DUMMYFUNCTION("""COMPUTED_VALUE"""),"jälkeenpäin")</f>
        <v>jälkeenpäin</v>
      </c>
      <c r="B269" s="2" t="str">
        <f>IFERROR(__xludf.DUMMYFUNCTION("""COMPUTED_VALUE"""),"a posteriori (""aa posteri'oorii"", lat.)")</f>
        <v>a posteriori ("aa posteri'oorii", lat.)</v>
      </c>
      <c r="C269" s="2" t="str">
        <f>IFERROR(__xludf.DUMMYFUNCTION("""COMPUTED_VALUE"""),"efteråt")</f>
        <v>efteråt</v>
      </c>
      <c r="D269" s="5"/>
      <c r="E269" s="5"/>
      <c r="F269" s="11"/>
      <c r="G269" s="11"/>
    </row>
    <row r="270">
      <c r="A270" s="2" t="str">
        <f>IFERROR(__xludf.DUMMYFUNCTION("""COMPUTED_VALUE"""),"jälkeenpäin")</f>
        <v>jälkeenpäin</v>
      </c>
      <c r="B270" s="2" t="str">
        <f>IFERROR(__xludf.DUMMYFUNCTION("""COMPUTED_VALUE"""),"posteriori")</f>
        <v>posteriori</v>
      </c>
      <c r="C270" s="2" t="str">
        <f>IFERROR(__xludf.DUMMYFUNCTION("""COMPUTED_VALUE"""),"efteråt")</f>
        <v>efteråt</v>
      </c>
      <c r="D270" s="5"/>
      <c r="E270" s="5"/>
      <c r="F270" s="11"/>
      <c r="G270" s="11"/>
    </row>
    <row r="271">
      <c r="A271" s="2" t="str">
        <f>IFERROR(__xludf.DUMMYFUNCTION("""COMPUTED_VALUE"""),"jälki (matriisin)")</f>
        <v>jälki (matriisin)</v>
      </c>
      <c r="B271" s="2" t="str">
        <f>IFERROR(__xludf.DUMMYFUNCTION("""COMPUTED_VALUE"""),"trace")</f>
        <v>trace</v>
      </c>
      <c r="C271" s="2" t="str">
        <f>IFERROR(__xludf.DUMMYFUNCTION("""COMPUTED_VALUE"""),"spår")</f>
        <v>spår</v>
      </c>
      <c r="D271" s="5"/>
      <c r="E271" s="5"/>
      <c r="F271" s="11"/>
      <c r="G271" s="11"/>
    </row>
    <row r="272">
      <c r="A272" s="2" t="str">
        <f>IFERROR(__xludf.DUMMYFUNCTION("""COMPUTED_VALUE"""),"järjestetty pari")</f>
        <v>järjestetty pari</v>
      </c>
      <c r="B272" s="2" t="str">
        <f>IFERROR(__xludf.DUMMYFUNCTION("""COMPUTED_VALUE"""),"ordered pair")</f>
        <v>ordered pair</v>
      </c>
      <c r="C272" s="2" t="str">
        <f>IFERROR(__xludf.DUMMYFUNCTION("""COMPUTED_VALUE"""),"ordnat par")</f>
        <v>ordnat par</v>
      </c>
      <c r="D272" s="5"/>
      <c r="E272" s="5"/>
      <c r="F272" s="11"/>
      <c r="G272" s="11"/>
    </row>
    <row r="273">
      <c r="A273" s="2" t="str">
        <f>IFERROR(__xludf.DUMMYFUNCTION("""COMPUTED_VALUE"""),"jäykkyysmatriisi")</f>
        <v>jäykkyysmatriisi</v>
      </c>
      <c r="B273" s="2" t="str">
        <f>IFERROR(__xludf.DUMMYFUNCTION("""COMPUTED_VALUE"""),"stiffness matrix")</f>
        <v>stiffness matrix</v>
      </c>
      <c r="C273" s="2" t="str">
        <f>IFERROR(__xludf.DUMMYFUNCTION("""COMPUTED_VALUE"""),"styvhetsmatris")</f>
        <v>styvhetsmatris</v>
      </c>
      <c r="D273" s="5"/>
      <c r="E273" s="5"/>
      <c r="F273" s="11"/>
      <c r="G273" s="11"/>
    </row>
    <row r="274">
      <c r="A274" s="2" t="str">
        <f>IFERROR(__xludf.DUMMYFUNCTION("""COMPUTED_VALUE"""),"jäännöstermi")</f>
        <v>jäännöstermi</v>
      </c>
      <c r="B274" s="2" t="str">
        <f>IFERROR(__xludf.DUMMYFUNCTION("""COMPUTED_VALUE"""),"remainder term, remainder")</f>
        <v>remainder term, remainder</v>
      </c>
      <c r="C274" s="2" t="str">
        <f>IFERROR(__xludf.DUMMYFUNCTION("""COMPUTED_VALUE"""),"restterm")</f>
        <v>restterm</v>
      </c>
      <c r="D274" s="5"/>
      <c r="E274" s="5"/>
      <c r="F274" s="11"/>
      <c r="G274" s="11"/>
    </row>
    <row r="275">
      <c r="A275" s="2" t="str">
        <f>IFERROR(__xludf.DUMMYFUNCTION("""COMPUTED_VALUE"""),"kaarenpituus")</f>
        <v>kaarenpituus</v>
      </c>
      <c r="B275" s="2" t="str">
        <f>IFERROR(__xludf.DUMMYFUNCTION("""COMPUTED_VALUE"""),"arc length")</f>
        <v>arc length</v>
      </c>
      <c r="C275" s="2" t="str">
        <f>IFERROR(__xludf.DUMMYFUNCTION("""COMPUTED_VALUE"""),"båglängd")</f>
        <v>båglängd</v>
      </c>
      <c r="D275" s="5"/>
      <c r="E275" s="5"/>
      <c r="F275" s="11"/>
      <c r="G275" s="11"/>
    </row>
    <row r="276">
      <c r="A276" s="2" t="str">
        <f>IFERROR(__xludf.DUMMYFUNCTION("""COMPUTED_VALUE"""),"kaarevuus")</f>
        <v>kaarevuus</v>
      </c>
      <c r="B276" s="2" t="str">
        <f>IFERROR(__xludf.DUMMYFUNCTION("""COMPUTED_VALUE"""),"curvature")</f>
        <v>curvature</v>
      </c>
      <c r="C276" s="2" t="str">
        <f>IFERROR(__xludf.DUMMYFUNCTION("""COMPUTED_VALUE"""),"krökning")</f>
        <v>krökning</v>
      </c>
      <c r="D276" s="5"/>
      <c r="E276" s="5"/>
      <c r="F276" s="11"/>
      <c r="G276" s="11"/>
    </row>
    <row r="277">
      <c r="A277" s="2" t="str">
        <f>IFERROR(__xludf.DUMMYFUNCTION("""COMPUTED_VALUE"""),"kaarevuuskeskipiste")</f>
        <v>kaarevuuskeskipiste</v>
      </c>
      <c r="B277" s="2" t="str">
        <f>IFERROR(__xludf.DUMMYFUNCTION("""COMPUTED_VALUE"""),"center of curvature")</f>
        <v>center of curvature</v>
      </c>
      <c r="C277" s="2" t="str">
        <f>IFERROR(__xludf.DUMMYFUNCTION("""COMPUTED_VALUE"""),"krökningscentrum")</f>
        <v>krökningscentrum</v>
      </c>
      <c r="D277" s="5"/>
      <c r="E277" s="5"/>
      <c r="F277" s="11"/>
      <c r="G277" s="11"/>
    </row>
    <row r="278">
      <c r="A278" s="2" t="str">
        <f>IFERROR(__xludf.DUMMYFUNCTION("""COMPUTED_VALUE"""),"kaarevuussäde")</f>
        <v>kaarevuussäde</v>
      </c>
      <c r="B278" s="2" t="str">
        <f>IFERROR(__xludf.DUMMYFUNCTION("""COMPUTED_VALUE"""),"radius of curvature")</f>
        <v>radius of curvature</v>
      </c>
      <c r="C278" s="2" t="str">
        <f>IFERROR(__xludf.DUMMYFUNCTION("""COMPUTED_VALUE"""),"krökningsradie")</f>
        <v>krökningsradie</v>
      </c>
      <c r="D278" s="5"/>
      <c r="E278" s="5"/>
      <c r="F278" s="11"/>
      <c r="G278" s="11"/>
    </row>
    <row r="279">
      <c r="A279" s="2" t="str">
        <f>IFERROR(__xludf.DUMMYFUNCTION("""COMPUTED_VALUE"""),"kaari")</f>
        <v>kaari</v>
      </c>
      <c r="B279" s="2" t="str">
        <f>IFERROR(__xludf.DUMMYFUNCTION("""COMPUTED_VALUE"""),"arc")</f>
        <v>arc</v>
      </c>
      <c r="C279" s="2" t="str">
        <f>IFERROR(__xludf.DUMMYFUNCTION("""COMPUTED_VALUE"""),"båge")</f>
        <v>båge</v>
      </c>
      <c r="D279" s="5"/>
      <c r="E279" s="5"/>
      <c r="F279" s="11"/>
      <c r="G279" s="11"/>
    </row>
    <row r="280">
      <c r="A280" s="2" t="str">
        <f>IFERROR(__xludf.DUMMYFUNCTION("""COMPUTED_VALUE"""),"kaava")</f>
        <v>kaava</v>
      </c>
      <c r="B280" s="2" t="str">
        <f>IFERROR(__xludf.DUMMYFUNCTION("""COMPUTED_VALUE"""),"formula")</f>
        <v>formula</v>
      </c>
      <c r="C280" s="2" t="str">
        <f>IFERROR(__xludf.DUMMYFUNCTION("""COMPUTED_VALUE"""),"formel")</f>
        <v>formel</v>
      </c>
      <c r="D280" s="5"/>
      <c r="E280" s="5"/>
      <c r="F280" s="11"/>
      <c r="G280" s="11"/>
    </row>
    <row r="281">
      <c r="A281" s="2" t="str">
        <f>IFERROR(__xludf.DUMMYFUNCTION("""COMPUTED_VALUE"""),"kahva")</f>
        <v>kahva</v>
      </c>
      <c r="B281" s="2" t="str">
        <f>IFERROR(__xludf.DUMMYFUNCTION("""COMPUTED_VALUE"""),"handle")</f>
        <v>handle</v>
      </c>
      <c r="C281" s="2" t="str">
        <f>IFERROR(__xludf.DUMMYFUNCTION("""COMPUTED_VALUE"""),"skaft")</f>
        <v>skaft</v>
      </c>
      <c r="D281" s="5"/>
      <c r="E281" s="5"/>
      <c r="F281" s="11"/>
      <c r="G281" s="11"/>
    </row>
    <row r="282">
      <c r="A282" s="2" t="str">
        <f>IFERROR(__xludf.DUMMYFUNCTION("""COMPUTED_VALUE"""),"kaksoisintegraali")</f>
        <v>kaksoisintegraali</v>
      </c>
      <c r="B282" s="2" t="str">
        <f>IFERROR(__xludf.DUMMYFUNCTION("""COMPUTED_VALUE"""),"double integral")</f>
        <v>double integral</v>
      </c>
      <c r="C282" s="2" t="str">
        <f>IFERROR(__xludf.DUMMYFUNCTION("""COMPUTED_VALUE"""),"dubbelintegral")</f>
        <v>dubbelintegral</v>
      </c>
      <c r="D282" s="5"/>
      <c r="E282" s="5"/>
      <c r="F282" s="11"/>
      <c r="G282" s="11"/>
    </row>
    <row r="283">
      <c r="A283" s="2" t="str">
        <f>IFERROR(__xludf.DUMMYFUNCTION("""COMPUTED_VALUE"""),"kanoninen")</f>
        <v>kanoninen</v>
      </c>
      <c r="B283" s="2" t="str">
        <f>IFERROR(__xludf.DUMMYFUNCTION("""COMPUTED_VALUE"""),"canonical")</f>
        <v>canonical</v>
      </c>
      <c r="C283" s="2" t="str">
        <f>IFERROR(__xludf.DUMMYFUNCTION("""COMPUTED_VALUE"""),"kanonisk")</f>
        <v>kanonisk</v>
      </c>
      <c r="D283" s="5"/>
      <c r="E283" s="5"/>
      <c r="F283" s="11"/>
      <c r="G283" s="11"/>
    </row>
    <row r="284">
      <c r="A284" s="2" t="str">
        <f>IFERROR(__xludf.DUMMYFUNCTION("""COMPUTED_VALUE"""),"kanta (topologian/kolmion/lukujärjestelmän)")</f>
        <v>kanta (topologian/kolmion/lukujärjestelmän)</v>
      </c>
      <c r="B284" s="2" t="str">
        <f>IFERROR(__xludf.DUMMYFUNCTION("""COMPUTED_VALUE"""),"base, basis")</f>
        <v>base, basis</v>
      </c>
      <c r="C284" s="2" t="str">
        <f>IFERROR(__xludf.DUMMYFUNCTION("""COMPUTED_VALUE"""),"bas")</f>
        <v>bas</v>
      </c>
      <c r="D284" s="5"/>
      <c r="E284" s="5"/>
      <c r="F284" s="11"/>
      <c r="G284" s="11"/>
    </row>
    <row r="285">
      <c r="A285" s="2" t="str">
        <f>IFERROR(__xludf.DUMMYFUNCTION("""COMPUTED_VALUE"""),"kanta (vektori-)")</f>
        <v>kanta (vektori-)</v>
      </c>
      <c r="B285" s="2" t="str">
        <f>IFERROR(__xludf.DUMMYFUNCTION("""COMPUTED_VALUE"""),"basis, base")</f>
        <v>basis, base</v>
      </c>
      <c r="C285" s="2" t="str">
        <f>IFERROR(__xludf.DUMMYFUNCTION("""COMPUTED_VALUE"""),"bas")</f>
        <v>bas</v>
      </c>
      <c r="D285" s="5"/>
      <c r="E285" s="5"/>
      <c r="F285" s="11"/>
      <c r="G285" s="11"/>
    </row>
    <row r="286">
      <c r="A286" s="2" t="str">
        <f>IFERROR(__xludf.DUMMYFUNCTION("""COMPUTED_VALUE"""),"kantaja")</f>
        <v>kantaja</v>
      </c>
      <c r="B286" s="2" t="str">
        <f>IFERROR(__xludf.DUMMYFUNCTION("""COMPUTED_VALUE"""),"carrier, support")</f>
        <v>carrier, support</v>
      </c>
      <c r="C286" s="2" t="str">
        <f>IFERROR(__xludf.DUMMYFUNCTION("""COMPUTED_VALUE"""),"bärare")</f>
        <v>bärare</v>
      </c>
      <c r="D286" s="5"/>
      <c r="E286" s="5"/>
      <c r="F286" s="11"/>
      <c r="G286" s="11"/>
    </row>
    <row r="287">
      <c r="A287" s="2" t="str">
        <f>IFERROR(__xludf.DUMMYFUNCTION("""COMPUTED_VALUE"""),"kantaja (funktion tms.)")</f>
        <v>kantaja (funktion tms.)</v>
      </c>
      <c r="B287" s="2" t="str">
        <f>IFERROR(__xludf.DUMMYFUNCTION("""COMPUTED_VALUE"""),"support")</f>
        <v>support</v>
      </c>
      <c r="C287" s="2" t="str">
        <f>IFERROR(__xludf.DUMMYFUNCTION("""COMPUTED_VALUE"""),"bärare")</f>
        <v>bärare</v>
      </c>
      <c r="D287" s="5"/>
      <c r="E287" s="5"/>
      <c r="F287" s="11"/>
      <c r="G287" s="11"/>
    </row>
    <row r="288">
      <c r="A288" s="2" t="str">
        <f>IFERROR(__xludf.DUMMYFUNCTION("""COMPUTED_VALUE"""),"kantapiste")</f>
        <v>kantapiste</v>
      </c>
      <c r="B288" s="2" t="str">
        <f>IFERROR(__xludf.DUMMYFUNCTION("""COMPUTED_VALUE"""),"base point")</f>
        <v>base point</v>
      </c>
      <c r="C288" s="2" t="str">
        <f>IFERROR(__xludf.DUMMYFUNCTION("""COMPUTED_VALUE"""),"baspunkt")</f>
        <v>baspunkt</v>
      </c>
      <c r="D288" s="5"/>
      <c r="E288" s="5"/>
      <c r="F288" s="11"/>
      <c r="G288" s="11"/>
    </row>
    <row r="289">
      <c r="A289" s="2" t="str">
        <f>IFERROR(__xludf.DUMMYFUNCTION("""COMPUTED_VALUE"""),"kaoottinen")</f>
        <v>kaoottinen</v>
      </c>
      <c r="B289" s="2" t="str">
        <f>IFERROR(__xludf.DUMMYFUNCTION("""COMPUTED_VALUE"""),"chaotic")</f>
        <v>chaotic</v>
      </c>
      <c r="C289" s="2" t="str">
        <f>IFERROR(__xludf.DUMMYFUNCTION("""COMPUTED_VALUE"""),"kaotisk")</f>
        <v>kaotisk</v>
      </c>
      <c r="D289" s="5"/>
      <c r="E289" s="5"/>
      <c r="F289" s="11"/>
      <c r="G289" s="11"/>
    </row>
    <row r="290">
      <c r="A290" s="2" t="str">
        <f>IFERROR(__xludf.DUMMYFUNCTION("""COMPUTED_VALUE"""),"karakteristinen funktio")</f>
        <v>karakteristinen funktio</v>
      </c>
      <c r="B290" s="2" t="str">
        <f>IFERROR(__xludf.DUMMYFUNCTION("""COMPUTED_VALUE"""),"characteristic function")</f>
        <v>characteristic function</v>
      </c>
      <c r="C290" s="2" t="str">
        <f>IFERROR(__xludf.DUMMYFUNCTION("""COMPUTED_VALUE"""),"karakteristisk funktion")</f>
        <v>karakteristisk funktion</v>
      </c>
      <c r="D290" s="5"/>
      <c r="E290" s="5"/>
      <c r="F290" s="11"/>
      <c r="G290" s="11"/>
    </row>
    <row r="291">
      <c r="A291" s="2" t="str">
        <f>IFERROR(__xludf.DUMMYFUNCTION("""COMPUTED_VALUE"""),"karakteristinen yhtälö")</f>
        <v>karakteristinen yhtälö</v>
      </c>
      <c r="B291" s="2" t="str">
        <f>IFERROR(__xludf.DUMMYFUNCTION("""COMPUTED_VALUE"""),"characteristic equation")</f>
        <v>characteristic equation</v>
      </c>
      <c r="C291" s="2" t="str">
        <f>IFERROR(__xludf.DUMMYFUNCTION("""COMPUTED_VALUE"""),"karakteristisk ekvation")</f>
        <v>karakteristisk ekvation</v>
      </c>
      <c r="D291" s="5"/>
      <c r="E291" s="5"/>
      <c r="F291" s="11"/>
      <c r="G291" s="11"/>
    </row>
    <row r="292">
      <c r="A292" s="2" t="str">
        <f>IFERROR(__xludf.DUMMYFUNCTION("""COMPUTED_VALUE"""),"karakteristinen; karakteristika (kunnan)")</f>
        <v>karakteristinen; karakteristika (kunnan)</v>
      </c>
      <c r="B292" s="2" t="str">
        <f>IFERROR(__xludf.DUMMYFUNCTION("""COMPUTED_VALUE"""),"characteristic")</f>
        <v>characteristic</v>
      </c>
      <c r="C292" s="2" t="str">
        <f>IFERROR(__xludf.DUMMYFUNCTION("""COMPUTED_VALUE"""),"karakteristisk")</f>
        <v>karakteristisk</v>
      </c>
      <c r="D292" s="5"/>
      <c r="E292" s="5"/>
      <c r="F292" s="11"/>
      <c r="G292" s="11"/>
    </row>
    <row r="293">
      <c r="A293" s="2" t="str">
        <f>IFERROR(__xludf.DUMMYFUNCTION("""COMPUTED_VALUE"""),"kardioidi")</f>
        <v>kardioidi</v>
      </c>
      <c r="B293" s="2" t="str">
        <f>IFERROR(__xludf.DUMMYFUNCTION("""COMPUTED_VALUE"""),"cardioid")</f>
        <v>cardioid</v>
      </c>
      <c r="C293" s="2" t="str">
        <f>IFERROR(__xludf.DUMMYFUNCTION("""COMPUTED_VALUE"""),"kardioid")</f>
        <v>kardioid</v>
      </c>
      <c r="D293" s="5"/>
      <c r="E293" s="5"/>
      <c r="F293" s="11"/>
      <c r="G293" s="11"/>
    </row>
    <row r="294">
      <c r="A294" s="2" t="str">
        <f>IFERROR(__xludf.DUMMYFUNCTION("""COMPUTED_VALUE"""),"karkeampi topologia")</f>
        <v>karkeampi topologia</v>
      </c>
      <c r="B294" s="2" t="str">
        <f>IFERROR(__xludf.DUMMYFUNCTION("""COMPUTED_VALUE"""),"coarser topology")</f>
        <v>coarser topology</v>
      </c>
      <c r="C294" s="2" t="str">
        <f>IFERROR(__xludf.DUMMYFUNCTION("""COMPUTED_VALUE"""),"grovare topologi")</f>
        <v>grovare topologi</v>
      </c>
      <c r="D294" s="5"/>
      <c r="E294" s="5"/>
      <c r="F294" s="11"/>
      <c r="G294" s="11"/>
    </row>
    <row r="295">
      <c r="A295" s="2" t="str">
        <f>IFERROR(__xludf.DUMMYFUNCTION("""COMPUTED_VALUE"""),"karteesinen")</f>
        <v>karteesinen</v>
      </c>
      <c r="B295" s="2" t="str">
        <f>IFERROR(__xludf.DUMMYFUNCTION("""COMPUTED_VALUE"""),"Cartesian")</f>
        <v>Cartesian</v>
      </c>
      <c r="C295" s="2" t="str">
        <f>IFERROR(__xludf.DUMMYFUNCTION("""COMPUTED_VALUE"""),"kartesisk")</f>
        <v>kartesisk</v>
      </c>
      <c r="D295" s="5"/>
      <c r="E295" s="5"/>
      <c r="F295" s="11"/>
      <c r="G295" s="11"/>
    </row>
    <row r="296">
      <c r="A296" s="2" t="str">
        <f>IFERROR(__xludf.DUMMYFUNCTION("""COMPUTED_VALUE"""),"kartio")</f>
        <v>kartio</v>
      </c>
      <c r="B296" s="2" t="str">
        <f>IFERROR(__xludf.DUMMYFUNCTION("""COMPUTED_VALUE"""),"cone")</f>
        <v>cone</v>
      </c>
      <c r="C296" s="2" t="str">
        <f>IFERROR(__xludf.DUMMYFUNCTION("""COMPUTED_VALUE"""),"kon")</f>
        <v>kon</v>
      </c>
      <c r="D296" s="5"/>
      <c r="E296" s="5"/>
      <c r="F296" s="11"/>
      <c r="G296" s="11"/>
    </row>
    <row r="297">
      <c r="A297" s="2" t="str">
        <f>IFERROR(__xludf.DUMMYFUNCTION("""COMPUTED_VALUE"""),"kartioleikkaus")</f>
        <v>kartioleikkaus</v>
      </c>
      <c r="B297" s="2" t="str">
        <f>IFERROR(__xludf.DUMMYFUNCTION("""COMPUTED_VALUE"""),"conic, conic section")</f>
        <v>conic, conic section</v>
      </c>
      <c r="C297" s="2" t="str">
        <f>IFERROR(__xludf.DUMMYFUNCTION("""COMPUTED_VALUE"""),"kägelsnitt")</f>
        <v>kägelsnitt</v>
      </c>
      <c r="D297" s="5"/>
      <c r="E297" s="5"/>
      <c r="F297" s="11"/>
      <c r="G297" s="11"/>
    </row>
    <row r="298">
      <c r="A298" s="2" t="str">
        <f>IFERROR(__xludf.DUMMYFUNCTION("""COMPUTED_VALUE"""),"kasautumispiste")</f>
        <v>kasautumispiste</v>
      </c>
      <c r="B298" s="2" t="str">
        <f>IFERROR(__xludf.DUMMYFUNCTION("""COMPUTED_VALUE"""),"accumulation point")</f>
        <v>accumulation point</v>
      </c>
      <c r="C298" s="2" t="str">
        <f>IFERROR(__xludf.DUMMYFUNCTION("""COMPUTED_VALUE"""),"hopningspunkt")</f>
        <v>hopningspunkt</v>
      </c>
      <c r="D298" s="5"/>
      <c r="E298" s="5"/>
      <c r="F298" s="11"/>
      <c r="G298" s="11"/>
    </row>
    <row r="299">
      <c r="A299" s="2" t="str">
        <f>IFERROR(__xludf.DUMMYFUNCTION("""COMPUTED_VALUE"""),"kasautumispiste")</f>
        <v>kasautumispiste</v>
      </c>
      <c r="B299" s="2" t="str">
        <f>IFERROR(__xludf.DUMMYFUNCTION("""COMPUTED_VALUE"""),"cluster point")</f>
        <v>cluster point</v>
      </c>
      <c r="C299" s="2" t="str">
        <f>IFERROR(__xludf.DUMMYFUNCTION("""COMPUTED_VALUE"""),"hopningspunkt")</f>
        <v>hopningspunkt</v>
      </c>
      <c r="D299" s="5"/>
      <c r="E299" s="5"/>
      <c r="F299" s="11"/>
      <c r="G299" s="11"/>
    </row>
    <row r="300">
      <c r="A300" s="2" t="str">
        <f>IFERROR(__xludf.DUMMYFUNCTION("""COMPUTED_VALUE"""),"kasautumispiste")</f>
        <v>kasautumispiste</v>
      </c>
      <c r="B300" s="2" t="str">
        <f>IFERROR(__xludf.DUMMYFUNCTION("""COMPUTED_VALUE"""),"limit point")</f>
        <v>limit point</v>
      </c>
      <c r="C300" s="2" t="str">
        <f>IFERROR(__xludf.DUMMYFUNCTION("""COMPUTED_VALUE"""),"hopningspunkt")</f>
        <v>hopningspunkt</v>
      </c>
      <c r="D300" s="5"/>
      <c r="E300" s="5"/>
      <c r="F300" s="11"/>
      <c r="G300" s="11"/>
    </row>
    <row r="301">
      <c r="A301" s="2" t="str">
        <f>IFERROR(__xludf.DUMMYFUNCTION("""COMPUTED_VALUE"""),"kasvava")</f>
        <v>kasvava</v>
      </c>
      <c r="B301" s="2" t="str">
        <f>IFERROR(__xludf.DUMMYFUNCTION("""COMPUTED_VALUE"""),"non-decreasing, increasing")</f>
        <v>non-decreasing, increasing</v>
      </c>
      <c r="C301" s="2" t="str">
        <f>IFERROR(__xludf.DUMMYFUNCTION("""COMPUTED_VALUE"""),"växande")</f>
        <v>växande</v>
      </c>
      <c r="D301" s="5"/>
      <c r="E301" s="5"/>
      <c r="F301" s="11"/>
      <c r="G301" s="11"/>
    </row>
    <row r="302">
      <c r="A302" s="2" t="str">
        <f>IFERROR(__xludf.DUMMYFUNCTION("""COMPUTED_VALUE"""),"kasvava; aidosti kasvava")</f>
        <v>kasvava; aidosti kasvava</v>
      </c>
      <c r="B302" s="2" t="str">
        <f>IFERROR(__xludf.DUMMYFUNCTION("""COMPUTED_VALUE"""),"increasing")</f>
        <v>increasing</v>
      </c>
      <c r="C302" s="2" t="str">
        <f>IFERROR(__xludf.DUMMYFUNCTION("""COMPUTED_VALUE"""),"växande")</f>
        <v>växande</v>
      </c>
      <c r="D302" s="5"/>
      <c r="E302" s="5"/>
      <c r="F302" s="11"/>
      <c r="G302" s="11"/>
    </row>
    <row r="303">
      <c r="A303" s="2" t="str">
        <f>IFERROR(__xludf.DUMMYFUNCTION("""COMPUTED_VALUE"""),"kateetti (kolmion)")</f>
        <v>kateetti (kolmion)</v>
      </c>
      <c r="B303" s="2" t="str">
        <f>IFERROR(__xludf.DUMMYFUNCTION("""COMPUTED_VALUE"""),"leg (of a triangle)")</f>
        <v>leg (of a triangle)</v>
      </c>
      <c r="C303" s="2" t="str">
        <f>IFERROR(__xludf.DUMMYFUNCTION("""COMPUTED_VALUE"""),"katet (-en -er)")</f>
        <v>katet (-en -er)</v>
      </c>
      <c r="D303" s="5"/>
      <c r="E303" s="5"/>
      <c r="F303" s="11"/>
      <c r="G303" s="11"/>
    </row>
    <row r="304">
      <c r="A304" s="2" t="str">
        <f>IFERROR(__xludf.DUMMYFUNCTION("""COMPUTED_VALUE"""),"katkopiste")</f>
        <v>katkopiste</v>
      </c>
      <c r="B304" s="2" t="str">
        <f>IFERROR(__xludf.DUMMYFUNCTION("""COMPUTED_VALUE"""),"cut point")</f>
        <v>cut point</v>
      </c>
      <c r="C304" s="2" t="str">
        <f>IFERROR(__xludf.DUMMYFUNCTION("""COMPUTED_VALUE"""),"brytningspunkt")</f>
        <v>brytningspunkt</v>
      </c>
      <c r="D304" s="5"/>
      <c r="E304" s="5"/>
      <c r="F304" s="11"/>
      <c r="G304" s="11"/>
    </row>
    <row r="305">
      <c r="A305" s="2" t="str">
        <f>IFERROR(__xludf.DUMMYFUNCTION("""COMPUTED_VALUE"""),"kaulus")</f>
        <v>kaulus</v>
      </c>
      <c r="B305" s="2" t="str">
        <f>IFERROR(__xludf.DUMMYFUNCTION("""COMPUTED_VALUE"""),"collar")</f>
        <v>collar</v>
      </c>
      <c r="C305" s="2" t="str">
        <f>IFERROR(__xludf.DUMMYFUNCTION("""COMPUTED_VALUE"""),"krage")</f>
        <v>krage</v>
      </c>
      <c r="D305" s="5"/>
      <c r="E305" s="5"/>
      <c r="F305" s="11"/>
      <c r="G305" s="11"/>
    </row>
    <row r="306">
      <c r="A306" s="2" t="str">
        <f>IFERROR(__xludf.DUMMYFUNCTION("""COMPUTED_VALUE"""),"kellokäyrä")</f>
        <v>kellokäyrä</v>
      </c>
      <c r="B306" s="2" t="str">
        <f>IFERROR(__xludf.DUMMYFUNCTION("""COMPUTED_VALUE"""),"bell-shaped curve")</f>
        <v>bell-shaped curve</v>
      </c>
      <c r="C306" s="2" t="str">
        <f>IFERROR(__xludf.DUMMYFUNCTION("""COMPUTED_VALUE"""),"klockformad kurva")</f>
        <v>klockformad kurva</v>
      </c>
      <c r="D306" s="5"/>
      <c r="E306" s="5"/>
      <c r="F306" s="11"/>
      <c r="G306" s="11"/>
    </row>
    <row r="307">
      <c r="A307" s="2" t="str">
        <f>IFERROR(__xludf.DUMMYFUNCTION("""COMPUTED_VALUE"""),"kenttä (vektori-); kunta (algebrassa)")</f>
        <v>kenttä (vektori-); kunta (algebrassa)</v>
      </c>
      <c r="B307" s="2" t="str">
        <f>IFERROR(__xludf.DUMMYFUNCTION("""COMPUTED_VALUE"""),"field")</f>
        <v>field</v>
      </c>
      <c r="C307" s="2" t="str">
        <f>IFERROR(__xludf.DUMMYFUNCTION("""COMPUTED_VALUE"""),"fält")</f>
        <v>fält</v>
      </c>
      <c r="D307" s="5"/>
      <c r="E307" s="5"/>
      <c r="F307" s="11"/>
      <c r="G307" s="11"/>
    </row>
    <row r="308">
      <c r="A308" s="2" t="str">
        <f>IFERROR(__xludf.DUMMYFUNCTION("""COMPUTED_VALUE"""),"kerroin")</f>
        <v>kerroin</v>
      </c>
      <c r="B308" s="2" t="str">
        <f>IFERROR(__xludf.DUMMYFUNCTION("""COMPUTED_VALUE"""),"coefficient")</f>
        <v>coefficient</v>
      </c>
      <c r="C308" s="2" t="str">
        <f>IFERROR(__xludf.DUMMYFUNCTION("""COMPUTED_VALUE"""),"koefficient")</f>
        <v>koefficient</v>
      </c>
      <c r="D308" s="5"/>
      <c r="E308" s="5"/>
      <c r="F308" s="11"/>
      <c r="G308" s="11"/>
    </row>
    <row r="309">
      <c r="A309" s="2" t="str">
        <f>IFERROR(__xludf.DUMMYFUNCTION("""COMPUTED_VALUE"""),"kerroin")</f>
        <v>kerroin</v>
      </c>
      <c r="B309" s="2" t="str">
        <f>IFERROR(__xludf.DUMMYFUNCTION("""COMPUTED_VALUE"""),"multiplier")</f>
        <v>multiplier</v>
      </c>
      <c r="C309" s="2" t="str">
        <f>IFERROR(__xludf.DUMMYFUNCTION("""COMPUTED_VALUE"""),"faktor")</f>
        <v>faktor</v>
      </c>
      <c r="D309" s="5"/>
      <c r="E309" s="5"/>
      <c r="F309" s="11"/>
      <c r="G309" s="11"/>
    </row>
    <row r="310">
      <c r="A310" s="2" t="str">
        <f>IFERROR(__xludf.DUMMYFUNCTION("""COMPUTED_VALUE"""),"kertaluku (DY:n, ryhmän, approksimaation); järjestys; järjestö (renkaan)")</f>
        <v>kertaluku (DY:n, ryhmän, approksimaation); järjestys; järjestö (renkaan)</v>
      </c>
      <c r="B310" s="2" t="str">
        <f>IFERROR(__xludf.DUMMYFUNCTION("""COMPUTED_VALUE"""),"order")</f>
        <v>order</v>
      </c>
      <c r="C310" s="2" t="str">
        <f>IFERROR(__xludf.DUMMYFUNCTION("""COMPUTED_VALUE"""),"grad")</f>
        <v>grad</v>
      </c>
      <c r="D310" s="5"/>
      <c r="E310" s="5"/>
      <c r="F310" s="11"/>
      <c r="G310" s="11"/>
    </row>
    <row r="311">
      <c r="A311" s="2" t="str">
        <f>IFERROR(__xludf.DUMMYFUNCTION("""COMPUTED_VALUE"""),"kertaluku (juuren)")</f>
        <v>kertaluku (juuren)</v>
      </c>
      <c r="B311" s="2" t="str">
        <f>IFERROR(__xludf.DUMMYFUNCTION("""COMPUTED_VALUE"""),"multiplicity")</f>
        <v>multiplicity</v>
      </c>
      <c r="C311" s="2" t="str">
        <f>IFERROR(__xludf.DUMMYFUNCTION("""COMPUTED_VALUE"""),"mångfald")</f>
        <v>mångfald</v>
      </c>
      <c r="D311" s="5"/>
      <c r="E311" s="5"/>
      <c r="F311" s="11"/>
      <c r="G311" s="11"/>
    </row>
    <row r="312">
      <c r="A312" s="2" t="str">
        <f>IFERROR(__xludf.DUMMYFUNCTION("""COMPUTED_VALUE"""),"kertoa oikealta")</f>
        <v>kertoa oikealta</v>
      </c>
      <c r="B312" s="2" t="str">
        <f>IFERROR(__xludf.DUMMYFUNCTION("""COMPUTED_VALUE"""),"multiply from the right")</f>
        <v>multiply from the right</v>
      </c>
      <c r="C312" s="2" t="str">
        <f>IFERROR(__xludf.DUMMYFUNCTION("""COMPUTED_VALUE"""),"multiplicera från höger")</f>
        <v>multiplicera från höger</v>
      </c>
      <c r="D312" s="5"/>
      <c r="E312" s="5"/>
      <c r="F312" s="11"/>
      <c r="G312" s="11"/>
    </row>
    <row r="313">
      <c r="A313" s="2" t="str">
        <f>IFERROR(__xludf.DUMMYFUNCTION("""COMPUTED_VALUE"""),"kertolasku")</f>
        <v>kertolasku</v>
      </c>
      <c r="B313" s="2" t="str">
        <f>IFERROR(__xludf.DUMMYFUNCTION("""COMPUTED_VALUE"""),"multiplication")</f>
        <v>multiplication</v>
      </c>
      <c r="C313" s="2" t="str">
        <f>IFERROR(__xludf.DUMMYFUNCTION("""COMPUTED_VALUE"""),"multiplikation")</f>
        <v>multiplikation</v>
      </c>
      <c r="D313" s="5"/>
      <c r="E313" s="5"/>
      <c r="F313" s="11"/>
      <c r="G313" s="11"/>
    </row>
    <row r="314">
      <c r="A314" s="2" t="str">
        <f>IFERROR(__xludf.DUMMYFUNCTION("""COMPUTED_VALUE"""),"kertoma (n!)")</f>
        <v>kertoma (n!)</v>
      </c>
      <c r="B314" s="2" t="str">
        <f>IFERROR(__xludf.DUMMYFUNCTION("""COMPUTED_VALUE"""),"factorial")</f>
        <v>factorial</v>
      </c>
      <c r="C314" s="2" t="str">
        <f>IFERROR(__xludf.DUMMYFUNCTION("""COMPUTED_VALUE"""),"fakultet")</f>
        <v>fakultet</v>
      </c>
      <c r="D314" s="5"/>
      <c r="E314" s="5"/>
      <c r="F314" s="11"/>
      <c r="G314" s="11"/>
    </row>
    <row r="315">
      <c r="A315" s="2" t="str">
        <f>IFERROR(__xludf.DUMMYFUNCTION("""COMPUTED_VALUE"""),"kertymäfunktio")</f>
        <v>kertymäfunktio</v>
      </c>
      <c r="B315" s="2" t="str">
        <f>IFERROR(__xludf.DUMMYFUNCTION("""COMPUTED_VALUE"""),"probability integral")</f>
        <v>probability integral</v>
      </c>
      <c r="C315" s="2" t="str">
        <f>IFERROR(__xludf.DUMMYFUNCTION("""COMPUTED_VALUE"""),"fördelningsfunktion")</f>
        <v>fördelningsfunktion</v>
      </c>
      <c r="D315" s="5"/>
      <c r="E315" s="5"/>
      <c r="F315" s="11"/>
      <c r="G315" s="11"/>
    </row>
    <row r="316">
      <c r="A316" s="2" t="str">
        <f>IFERROR(__xludf.DUMMYFUNCTION("""COMPUTED_VALUE"""),"keskiarvo")</f>
        <v>keskiarvo</v>
      </c>
      <c r="B316" s="2" t="str">
        <f>IFERROR(__xludf.DUMMYFUNCTION("""COMPUTED_VALUE"""),"average")</f>
        <v>average</v>
      </c>
      <c r="C316" s="2" t="str">
        <f>IFERROR(__xludf.DUMMYFUNCTION("""COMPUTED_VALUE"""),"genomsnitt")</f>
        <v>genomsnitt</v>
      </c>
      <c r="D316" s="5"/>
      <c r="E316" s="5"/>
      <c r="F316" s="11"/>
      <c r="G316" s="11"/>
    </row>
    <row r="317">
      <c r="A317" s="2" t="str">
        <f>IFERROR(__xludf.DUMMYFUNCTION("""COMPUTED_VALUE"""),"keskiarvo")</f>
        <v>keskiarvo</v>
      </c>
      <c r="B317" s="2" t="str">
        <f>IFERROR(__xludf.DUMMYFUNCTION("""COMPUTED_VALUE"""),"mean")</f>
        <v>mean</v>
      </c>
      <c r="C317" s="2" t="str">
        <f>IFERROR(__xludf.DUMMYFUNCTION("""COMPUTED_VALUE"""),"medelvärde, medeltal")</f>
        <v>medelvärde, medeltal</v>
      </c>
      <c r="D317" s="5"/>
      <c r="E317" s="5"/>
      <c r="F317" s="11"/>
      <c r="G317" s="11"/>
    </row>
    <row r="318">
      <c r="A318" s="2" t="str">
        <f>IFERROR(__xludf.DUMMYFUNCTION("""COMPUTED_VALUE"""),"keskihajonta")</f>
        <v>keskihajonta</v>
      </c>
      <c r="B318" s="2" t="str">
        <f>IFERROR(__xludf.DUMMYFUNCTION("""COMPUTED_VALUE"""),"standard deviation")</f>
        <v>standard deviation</v>
      </c>
      <c r="C318" s="2" t="str">
        <f>IFERROR(__xludf.DUMMYFUNCTION("""COMPUTED_VALUE"""),"standard avvikelse")</f>
        <v>standard avvikelse</v>
      </c>
      <c r="D318" s="5"/>
      <c r="E318" s="5"/>
      <c r="F318" s="11"/>
      <c r="G318" s="11"/>
    </row>
    <row r="319">
      <c r="A319" s="2" t="str">
        <f>IFERROR(__xludf.DUMMYFUNCTION("""COMPUTED_VALUE"""),"keskipakovoima")</f>
        <v>keskipakovoima</v>
      </c>
      <c r="B319" s="2" t="str">
        <f>IFERROR(__xludf.DUMMYFUNCTION("""COMPUTED_VALUE"""),"centrifugal force")</f>
        <v>centrifugal force</v>
      </c>
      <c r="C319" s="2" t="str">
        <f>IFERROR(__xludf.DUMMYFUNCTION("""COMPUTED_VALUE"""),"centrifugalkraft")</f>
        <v>centrifugalkraft</v>
      </c>
      <c r="D319" s="5"/>
      <c r="E319" s="5"/>
      <c r="F319" s="11"/>
      <c r="G319" s="11"/>
    </row>
    <row r="320">
      <c r="A320" s="2" t="str">
        <f>IFERROR(__xludf.DUMMYFUNCTION("""COMPUTED_VALUE"""),"keskipiste (ympyrän, ...)")</f>
        <v>keskipiste (ympyrän, ...)</v>
      </c>
      <c r="B320" s="2" t="str">
        <f>IFERROR(__xludf.DUMMYFUNCTION("""COMPUTED_VALUE"""),"center, centre")</f>
        <v>center, centre</v>
      </c>
      <c r="C320" s="2" t="str">
        <f>IFERROR(__xludf.DUMMYFUNCTION("""COMPUTED_VALUE"""),"medelpunkt")</f>
        <v>medelpunkt</v>
      </c>
      <c r="D320" s="5"/>
      <c r="E320" s="5"/>
      <c r="F320" s="11"/>
      <c r="G320" s="11"/>
    </row>
    <row r="321">
      <c r="A321" s="2" t="str">
        <f>IFERROR(__xludf.DUMMYFUNCTION("""COMPUTED_VALUE"""),"keskipoikkeama")</f>
        <v>keskipoikkeama</v>
      </c>
      <c r="B321" s="2" t="str">
        <f>IFERROR(__xludf.DUMMYFUNCTION("""COMPUTED_VALUE"""),"mean deviation")</f>
        <v>mean deviation</v>
      </c>
      <c r="C321" s="2" t="str">
        <f>IFERROR(__xludf.DUMMYFUNCTION("""COMPUTED_VALUE"""),"medelavvikelse")</f>
        <v>medelavvikelse</v>
      </c>
      <c r="D321" s="5"/>
      <c r="E321" s="5"/>
      <c r="F321" s="11"/>
      <c r="G321" s="11"/>
    </row>
    <row r="322">
      <c r="A322" s="2" t="str">
        <f>IFERROR(__xludf.DUMMYFUNCTION("""COMPUTED_VALUE"""),"keskiö")</f>
        <v>keskiö</v>
      </c>
      <c r="B322" s="2" t="str">
        <f>IFERROR(__xludf.DUMMYFUNCTION("""COMPUTED_VALUE"""),"centroid")</f>
        <v>centroid</v>
      </c>
      <c r="C322" s="2" t="str">
        <f>IFERROR(__xludf.DUMMYFUNCTION("""COMPUTED_VALUE"""),"tyngdpunkt (oik. painopiste)")</f>
        <v>tyngdpunkt (oik. painopiste)</v>
      </c>
      <c r="D322" s="5"/>
      <c r="E322" s="5"/>
      <c r="F322" s="11"/>
      <c r="G322" s="11"/>
    </row>
    <row r="323">
      <c r="A323" s="2" t="str">
        <f>IFERROR(__xludf.DUMMYFUNCTION("""COMPUTED_VALUE"""),"ketju")</f>
        <v>ketju</v>
      </c>
      <c r="B323" s="2" t="str">
        <f>IFERROR(__xludf.DUMMYFUNCTION("""COMPUTED_VALUE"""),"chain")</f>
        <v>chain</v>
      </c>
      <c r="C323" s="2" t="str">
        <f>IFERROR(__xludf.DUMMYFUNCTION("""COMPUTED_VALUE"""),"ked")</f>
        <v>ked</v>
      </c>
      <c r="D323" s="5"/>
      <c r="E323" s="5"/>
      <c r="F323" s="11"/>
      <c r="G323" s="11"/>
    </row>
    <row r="324">
      <c r="A324" s="2" t="str">
        <f>IFERROR(__xludf.DUMMYFUNCTION("""COMPUTED_VALUE"""),"ketjumurtoluku")</f>
        <v>ketjumurtoluku</v>
      </c>
      <c r="B324" s="2" t="str">
        <f>IFERROR(__xludf.DUMMYFUNCTION("""COMPUTED_VALUE"""),"continued fraction")</f>
        <v>continued fraction</v>
      </c>
      <c r="C324" s="2" t="str">
        <f>IFERROR(__xludf.DUMMYFUNCTION("""COMPUTED_VALUE"""),"kedjebråk")</f>
        <v>kedjebråk</v>
      </c>
      <c r="D324" s="5"/>
      <c r="E324" s="5"/>
      <c r="F324" s="11"/>
      <c r="G324" s="11"/>
    </row>
    <row r="325">
      <c r="A325" s="2" t="str">
        <f>IFERROR(__xludf.DUMMYFUNCTION("""COMPUTED_VALUE"""),"ketjusääntö")</f>
        <v>ketjusääntö</v>
      </c>
      <c r="B325" s="2" t="str">
        <f>IFERROR(__xludf.DUMMYFUNCTION("""COMPUTED_VALUE"""),"chain rule")</f>
        <v>chain rule</v>
      </c>
      <c r="C325" s="2" t="str">
        <f>IFERROR(__xludf.DUMMYFUNCTION("""COMPUTED_VALUE"""),"kedjeregeln")</f>
        <v>kedjeregeln</v>
      </c>
      <c r="D325" s="5"/>
      <c r="E325" s="5"/>
      <c r="F325" s="11"/>
      <c r="G325" s="11"/>
    </row>
    <row r="326">
      <c r="A326" s="2" t="str">
        <f>IFERROR(__xludf.DUMMYFUNCTION("""COMPUTED_VALUE"""),"khii")</f>
        <v>khii</v>
      </c>
      <c r="B326" s="2" t="str">
        <f>IFERROR(__xludf.DUMMYFUNCTION("""COMPUTED_VALUE"""),"chi")</f>
        <v>chi</v>
      </c>
      <c r="C326" s="2" t="str">
        <f>IFERROR(__xludf.DUMMYFUNCTION("""COMPUTED_VALUE"""),"khi")</f>
        <v>khi</v>
      </c>
      <c r="D326" s="5"/>
      <c r="E326" s="5"/>
      <c r="F326" s="11"/>
      <c r="G326" s="11"/>
    </row>
    <row r="327">
      <c r="A327" s="2" t="str">
        <f>IFERROR(__xludf.DUMMYFUNCTION("""COMPUTED_VALUE"""),"kiekko")</f>
        <v>kiekko</v>
      </c>
      <c r="B327" s="2" t="str">
        <f>IFERROR(__xludf.DUMMYFUNCTION("""COMPUTED_VALUE"""),"disk")</f>
        <v>disk</v>
      </c>
      <c r="C327" s="2" t="str">
        <f>IFERROR(__xludf.DUMMYFUNCTION("""COMPUTED_VALUE"""),"skiva")</f>
        <v>skiva</v>
      </c>
      <c r="D327" s="5"/>
      <c r="E327" s="5"/>
      <c r="F327" s="11"/>
      <c r="G327" s="11"/>
    </row>
    <row r="328">
      <c r="A328" s="2" t="str">
        <f>IFERROR(__xludf.DUMMYFUNCTION("""COMPUTED_VALUE"""),"kierevyys")</f>
        <v>kierevyys</v>
      </c>
      <c r="B328" s="2" t="str">
        <f>IFERROR(__xludf.DUMMYFUNCTION("""COMPUTED_VALUE"""),"torsion")</f>
        <v>torsion</v>
      </c>
      <c r="C328" s="2" t="str">
        <f>IFERROR(__xludf.DUMMYFUNCTION("""COMPUTED_VALUE"""),"torsion")</f>
        <v>torsion</v>
      </c>
      <c r="D328" s="5"/>
      <c r="E328" s="5"/>
      <c r="F328" s="11"/>
      <c r="G328" s="11"/>
    </row>
    <row r="329">
      <c r="A329" s="2" t="str">
        <f>IFERROR(__xludf.DUMMYFUNCTION("""COMPUTED_VALUE"""),"kierrosluku")</f>
        <v>kierrosluku</v>
      </c>
      <c r="B329" s="2" t="str">
        <f>IFERROR(__xludf.DUMMYFUNCTION("""COMPUTED_VALUE"""),"winding number")</f>
        <v>winding number</v>
      </c>
      <c r="C329" s="2" t="str">
        <f>IFERROR(__xludf.DUMMYFUNCTION("""COMPUTED_VALUE"""),"varvtal")</f>
        <v>varvtal</v>
      </c>
      <c r="D329" s="5"/>
      <c r="E329" s="5"/>
      <c r="F329" s="11"/>
      <c r="G329" s="11"/>
    </row>
    <row r="330">
      <c r="A330" s="2" t="str">
        <f>IFERROR(__xludf.DUMMYFUNCTION("""COMPUTED_VALUE"""),"kierto")</f>
        <v>kierto</v>
      </c>
      <c r="B330" s="2" t="str">
        <f>IFERROR(__xludf.DUMMYFUNCTION("""COMPUTED_VALUE"""),"circulation")</f>
        <v>circulation</v>
      </c>
      <c r="C330" s="2" t="str">
        <f>IFERROR(__xludf.DUMMYFUNCTION("""COMPUTED_VALUE"""),"cirkulation")</f>
        <v>cirkulation</v>
      </c>
      <c r="D330" s="5"/>
      <c r="E330" s="5"/>
      <c r="F330" s="11"/>
      <c r="G330" s="11"/>
    </row>
    <row r="331">
      <c r="A331" s="2" t="str">
        <f>IFERROR(__xludf.DUMMYFUNCTION("""COMPUTED_VALUE"""),"kiertomatriisi")</f>
        <v>kiertomatriisi</v>
      </c>
      <c r="B331" s="2" t="str">
        <f>IFERROR(__xludf.DUMMYFUNCTION("""COMPUTED_VALUE"""),"rotation matrix")</f>
        <v>rotation matrix</v>
      </c>
      <c r="C331" s="2" t="str">
        <f>IFERROR(__xludf.DUMMYFUNCTION("""COMPUTED_VALUE"""),"-")</f>
        <v>-</v>
      </c>
      <c r="D331" s="5"/>
      <c r="E331" s="5"/>
      <c r="F331" s="11"/>
      <c r="G331" s="11"/>
    </row>
    <row r="332">
      <c r="A332" s="2" t="str">
        <f>IFERROR(__xludf.DUMMYFUNCTION("""COMPUTED_VALUE"""),"kiihtyvyys")</f>
        <v>kiihtyvyys</v>
      </c>
      <c r="B332" s="2" t="str">
        <f>IFERROR(__xludf.DUMMYFUNCTION("""COMPUTED_VALUE"""),"acceleration")</f>
        <v>acceleration</v>
      </c>
      <c r="C332" s="2" t="str">
        <f>IFERROR(__xludf.DUMMYFUNCTION("""COMPUTED_VALUE"""),"acceleration")</f>
        <v>acceleration</v>
      </c>
      <c r="D332" s="5"/>
      <c r="E332" s="5"/>
      <c r="F332" s="11"/>
      <c r="G332" s="11"/>
    </row>
    <row r="333">
      <c r="A333" s="2" t="str">
        <f>IFERROR(__xludf.DUMMYFUNCTION("""COMPUTED_VALUE"""),"kiintopiste")</f>
        <v>kiintopiste</v>
      </c>
      <c r="B333" s="2" t="str">
        <f>IFERROR(__xludf.DUMMYFUNCTION("""COMPUTED_VALUE"""),"fixed point")</f>
        <v>fixed point</v>
      </c>
      <c r="C333" s="2" t="str">
        <f>IFERROR(__xludf.DUMMYFUNCTION("""COMPUTED_VALUE"""),"fixpunkt")</f>
        <v>fixpunkt</v>
      </c>
      <c r="D333" s="5"/>
      <c r="E333" s="5"/>
      <c r="F333" s="11"/>
      <c r="G333" s="11"/>
    </row>
    <row r="334">
      <c r="A334" s="2" t="str">
        <f>IFERROR(__xludf.DUMMYFUNCTION("""COMPUTED_VALUE"""),"kilpikonna")</f>
        <v>kilpikonna</v>
      </c>
      <c r="B334" s="2" t="str">
        <f>IFERROR(__xludf.DUMMYFUNCTION("""COMPUTED_VALUE"""),"turtle")</f>
        <v>turtle</v>
      </c>
      <c r="C334" s="2" t="str">
        <f>IFERROR(__xludf.DUMMYFUNCTION("""COMPUTED_VALUE"""),"sköldpadda")</f>
        <v>sköldpadda</v>
      </c>
      <c r="D334" s="5"/>
      <c r="E334" s="5"/>
      <c r="F334" s="11"/>
      <c r="G334" s="11"/>
    </row>
    <row r="335">
      <c r="A335" s="2" t="str">
        <f>IFERROR(__xludf.DUMMYFUNCTION("""COMPUTED_VALUE"""),"kimppu")</f>
        <v>kimppu</v>
      </c>
      <c r="B335" s="2" t="str">
        <f>IFERROR(__xludf.DUMMYFUNCTION("""COMPUTED_VALUE"""),"bundle")</f>
        <v>bundle</v>
      </c>
      <c r="C335" s="2" t="str">
        <f>IFERROR(__xludf.DUMMYFUNCTION("""COMPUTED_VALUE"""),"knippe")</f>
        <v>knippe</v>
      </c>
      <c r="D335" s="5"/>
      <c r="E335" s="5"/>
      <c r="F335" s="11"/>
      <c r="G335" s="11"/>
    </row>
    <row r="336">
      <c r="A336" s="2" t="str">
        <f>IFERROR(__xludf.DUMMYFUNCTION("""COMPUTED_VALUE"""),"kodimensio")</f>
        <v>kodimensio</v>
      </c>
      <c r="B336" s="2" t="str">
        <f>IFERROR(__xludf.DUMMYFUNCTION("""COMPUTED_VALUE"""),"codimension")</f>
        <v>codimension</v>
      </c>
      <c r="C336" s="2" t="str">
        <f>IFERROR(__xludf.DUMMYFUNCTION("""COMPUTED_VALUE"""),"kodimension")</f>
        <v>kodimension</v>
      </c>
      <c r="D336" s="5"/>
      <c r="E336" s="5"/>
      <c r="F336" s="11"/>
      <c r="G336" s="11"/>
    </row>
    <row r="337">
      <c r="A337" s="2" t="str">
        <f>IFERROR(__xludf.DUMMYFUNCTION("""COMPUTED_VALUE"""),"koersiivinen")</f>
        <v>koersiivinen</v>
      </c>
      <c r="B337" s="2" t="str">
        <f>IFERROR(__xludf.DUMMYFUNCTION("""COMPUTED_VALUE"""),"coercive")</f>
        <v>coercive</v>
      </c>
      <c r="C337" s="2" t="str">
        <f>IFERROR(__xludf.DUMMYFUNCTION("""COMPUTED_VALUE"""),"koersiv")</f>
        <v>koersiv</v>
      </c>
      <c r="D337" s="5"/>
      <c r="E337" s="5"/>
      <c r="F337" s="11"/>
      <c r="G337" s="11"/>
    </row>
    <row r="338">
      <c r="A338" s="2" t="str">
        <f>IFERROR(__xludf.DUMMYFUNCTION("""COMPUTED_VALUE"""),"kofinaalinen")</f>
        <v>kofinaalinen</v>
      </c>
      <c r="B338" s="2" t="str">
        <f>IFERROR(__xludf.DUMMYFUNCTION("""COMPUTED_VALUE"""),"cofinal")</f>
        <v>cofinal</v>
      </c>
      <c r="C338" s="2" t="str">
        <f>IFERROR(__xludf.DUMMYFUNCTION("""COMPUTED_VALUE"""),"-")</f>
        <v>-</v>
      </c>
      <c r="D338" s="5"/>
      <c r="E338" s="5"/>
      <c r="F338" s="11"/>
      <c r="G338" s="11"/>
    </row>
    <row r="339">
      <c r="A339" s="2" t="str">
        <f>IFERROR(__xludf.DUMMYFUNCTION("""COMPUTED_VALUE"""),"kohdata")</f>
        <v>kohdata</v>
      </c>
      <c r="B339" s="2" t="str">
        <f>IFERROR(__xludf.DUMMYFUNCTION("""COMPUTED_VALUE"""),"meet")</f>
        <v>meet</v>
      </c>
      <c r="C339" s="2" t="str">
        <f>IFERROR(__xludf.DUMMYFUNCTION("""COMPUTED_VALUE"""),"möta")</f>
        <v>möta</v>
      </c>
      <c r="D339" s="5"/>
      <c r="E339" s="5"/>
      <c r="F339" s="11"/>
      <c r="G339" s="11"/>
    </row>
    <row r="340">
      <c r="A340" s="2" t="str">
        <f>IFERROR(__xludf.DUMMYFUNCTION("""COMPUTED_VALUE"""),"kohtisuora")</f>
        <v>kohtisuora</v>
      </c>
      <c r="B340" s="2" t="str">
        <f>IFERROR(__xludf.DUMMYFUNCTION("""COMPUTED_VALUE"""),"perpendicular")</f>
        <v>perpendicular</v>
      </c>
      <c r="C340" s="2" t="str">
        <f>IFERROR(__xludf.DUMMYFUNCTION("""COMPUTED_VALUE"""),"vinkelrät")</f>
        <v>vinkelrät</v>
      </c>
      <c r="D340" s="5"/>
      <c r="E340" s="5"/>
      <c r="F340" s="11"/>
      <c r="G340" s="11"/>
    </row>
    <row r="341">
      <c r="A341" s="2" t="str">
        <f>IFERROR(__xludf.DUMMYFUNCTION("""COMPUTED_VALUE"""),"kohtisuora, ortogonaalinen")</f>
        <v>kohtisuora, ortogonaalinen</v>
      </c>
      <c r="B341" s="2" t="str">
        <f>IFERROR(__xludf.DUMMYFUNCTION("""COMPUTED_VALUE"""),"orthogonal")</f>
        <v>orthogonal</v>
      </c>
      <c r="C341" s="2" t="str">
        <f>IFERROR(__xludf.DUMMYFUNCTION("""COMPUTED_VALUE"""),"vinkelrät, ortogonal")</f>
        <v>vinkelrät, ortogonal</v>
      </c>
      <c r="D341" s="5"/>
      <c r="E341" s="5"/>
      <c r="F341" s="11"/>
      <c r="G341" s="11"/>
    </row>
    <row r="342">
      <c r="A342" s="2" t="str">
        <f>IFERROR(__xludf.DUMMYFUNCTION("""COMPUTED_VALUE"""),"kokoelma")</f>
        <v>kokoelma</v>
      </c>
      <c r="B342" s="2" t="str">
        <f>IFERROR(__xludf.DUMMYFUNCTION("""COMPUTED_VALUE"""),"collection")</f>
        <v>collection</v>
      </c>
      <c r="C342" s="2" t="str">
        <f>IFERROR(__xludf.DUMMYFUNCTION("""COMPUTED_VALUE"""),"samling")</f>
        <v>samling</v>
      </c>
      <c r="D342" s="5"/>
      <c r="E342" s="5"/>
      <c r="F342" s="11"/>
      <c r="G342" s="11"/>
    </row>
    <row r="343">
      <c r="A343" s="2" t="str">
        <f>IFERROR(__xludf.DUMMYFUNCTION("""COMPUTED_VALUE"""),"kokonainen funktio")</f>
        <v>kokonainen funktio</v>
      </c>
      <c r="B343" s="2" t="str">
        <f>IFERROR(__xludf.DUMMYFUNCTION("""COMPUTED_VALUE"""),"entire function")</f>
        <v>entire function</v>
      </c>
      <c r="C343" s="2" t="str">
        <f>IFERROR(__xludf.DUMMYFUNCTION("""COMPUTED_VALUE"""),"hel funktion")</f>
        <v>hel funktion</v>
      </c>
      <c r="D343" s="5"/>
      <c r="E343" s="5"/>
      <c r="F343" s="11"/>
      <c r="G343" s="11"/>
    </row>
    <row r="344">
      <c r="A344" s="2" t="str">
        <f>IFERROR(__xludf.DUMMYFUNCTION("""COMPUTED_VALUE"""),"kokonaisderivaatta")</f>
        <v>kokonaisderivaatta</v>
      </c>
      <c r="B344" s="2" t="str">
        <f>IFERROR(__xludf.DUMMYFUNCTION("""COMPUTED_VALUE"""),"total derivative")</f>
        <v>total derivative</v>
      </c>
      <c r="C344" s="2" t="str">
        <f>IFERROR(__xludf.DUMMYFUNCTION("""COMPUTED_VALUE"""),"helhetsderivata")</f>
        <v>helhetsderivata</v>
      </c>
      <c r="D344" s="5"/>
      <c r="E344" s="5"/>
      <c r="F344" s="11"/>
      <c r="G344" s="11"/>
    </row>
    <row r="345">
      <c r="A345" s="2" t="str">
        <f>IFERROR(__xludf.DUMMYFUNCTION("""COMPUTED_VALUE"""),"kokonaisheilahtelu, kokonaisvariaatio (mitan, funktion)")</f>
        <v>kokonaisheilahtelu, kokonaisvariaatio (mitan, funktion)</v>
      </c>
      <c r="B345" s="2" t="str">
        <f>IFERROR(__xludf.DUMMYFUNCTION("""COMPUTED_VALUE"""),"total variation (TV)")</f>
        <v>total variation (TV)</v>
      </c>
      <c r="C345" s="2" t="str">
        <f>IFERROR(__xludf.DUMMYFUNCTION("""COMPUTED_VALUE"""),"totalvariation")</f>
        <v>totalvariation</v>
      </c>
      <c r="D345" s="5"/>
      <c r="E345" s="5"/>
      <c r="F345" s="11"/>
      <c r="G345" s="11"/>
    </row>
    <row r="346">
      <c r="A346" s="2" t="str">
        <f>IFERROR(__xludf.DUMMYFUNCTION("""COMPUTED_VALUE"""),"kokonaisluku, kokonais-")</f>
        <v>kokonaisluku, kokonais-</v>
      </c>
      <c r="B346" s="2" t="str">
        <f>IFERROR(__xludf.DUMMYFUNCTION("""COMPUTED_VALUE"""),"integer")</f>
        <v>integer</v>
      </c>
      <c r="C346" s="2" t="str">
        <f>IFERROR(__xludf.DUMMYFUNCTION("""COMPUTED_VALUE"""),"heltal")</f>
        <v>heltal</v>
      </c>
      <c r="D346" s="5"/>
      <c r="E346" s="5"/>
      <c r="F346" s="11"/>
      <c r="G346" s="11"/>
    </row>
    <row r="347">
      <c r="A347" s="2" t="str">
        <f>IFERROR(__xludf.DUMMYFUNCTION("""COMPUTED_VALUE"""),"kolmidiagonaalimatriisi")</f>
        <v>kolmidiagonaalimatriisi</v>
      </c>
      <c r="B347" s="2" t="str">
        <f>IFERROR(__xludf.DUMMYFUNCTION("""COMPUTED_VALUE"""),"tridiagonal matrix")</f>
        <v>tridiagonal matrix</v>
      </c>
      <c r="C347" s="2" t="str">
        <f>IFERROR(__xludf.DUMMYFUNCTION("""COMPUTED_VALUE"""),"tridiagonaliserad matris")</f>
        <v>tridiagonaliserad matris</v>
      </c>
      <c r="D347" s="5"/>
      <c r="E347" s="5"/>
      <c r="F347" s="11"/>
      <c r="G347" s="11"/>
    </row>
    <row r="348">
      <c r="A348" s="2" t="str">
        <f>IFERROR(__xludf.DUMMYFUNCTION("""COMPUTED_VALUE"""),"kolmidiagonaalinen")</f>
        <v>kolmidiagonaalinen</v>
      </c>
      <c r="B348" s="2" t="str">
        <f>IFERROR(__xludf.DUMMYFUNCTION("""COMPUTED_VALUE"""),"tridiagonal")</f>
        <v>tridiagonal</v>
      </c>
      <c r="C348" s="2" t="str">
        <f>IFERROR(__xludf.DUMMYFUNCTION("""COMPUTED_VALUE"""),"tridiagonal")</f>
        <v>tridiagonal</v>
      </c>
      <c r="D348" s="5"/>
      <c r="E348" s="5"/>
      <c r="F348" s="11"/>
      <c r="G348" s="11"/>
    </row>
    <row r="349">
      <c r="A349" s="2" t="str">
        <f>IFERROR(__xludf.DUMMYFUNCTION("""COMPUTED_VALUE"""),"kolmioepäyhtälö")</f>
        <v>kolmioepäyhtälö</v>
      </c>
      <c r="B349" s="2" t="str">
        <f>IFERROR(__xludf.DUMMYFUNCTION("""COMPUTED_VALUE"""),"triangle inequality")</f>
        <v>triangle inequality</v>
      </c>
      <c r="C349" s="2" t="str">
        <f>IFERROR(__xludf.DUMMYFUNCTION("""COMPUTED_VALUE"""),"triangelolikhet")</f>
        <v>triangelolikhet</v>
      </c>
      <c r="D349" s="5"/>
      <c r="E349" s="5"/>
      <c r="F349" s="11"/>
      <c r="G349" s="11"/>
    </row>
    <row r="350">
      <c r="A350" s="2" t="str">
        <f>IFERROR(__xludf.DUMMYFUNCTION("""COMPUTED_VALUE"""),"kolmiomatriisi")</f>
        <v>kolmiomatriisi</v>
      </c>
      <c r="B350" s="2" t="str">
        <f>IFERROR(__xludf.DUMMYFUNCTION("""COMPUTED_VALUE"""),"triangular matrix")</f>
        <v>triangular matrix</v>
      </c>
      <c r="C350" s="2" t="str">
        <f>IFERROR(__xludf.DUMMYFUNCTION("""COMPUTED_VALUE"""),"triangelmatris")</f>
        <v>triangelmatris</v>
      </c>
      <c r="D350" s="5"/>
      <c r="E350" s="5"/>
      <c r="F350" s="11"/>
      <c r="G350" s="11"/>
    </row>
    <row r="351">
      <c r="A351" s="2" t="str">
        <f>IFERROR(__xludf.DUMMYFUNCTION("""COMPUTED_VALUE"""),"kolmoisintegraali, kolminkertainen integraali")</f>
        <v>kolmoisintegraali, kolminkertainen integraali</v>
      </c>
      <c r="B351" s="2" t="str">
        <f>IFERROR(__xludf.DUMMYFUNCTION("""COMPUTED_VALUE"""),"triple integral")</f>
        <v>triple integral</v>
      </c>
      <c r="C351" s="2" t="str">
        <f>IFERROR(__xludf.DUMMYFUNCTION("""COMPUTED_VALUE"""),"trippelintegral, trefaldig integral")</f>
        <v>trippelintegral, trefaldig integral</v>
      </c>
      <c r="D351" s="5"/>
      <c r="E351" s="5"/>
      <c r="F351" s="11"/>
      <c r="G351" s="11"/>
    </row>
    <row r="352">
      <c r="A352" s="2" t="str">
        <f>IFERROR(__xludf.DUMMYFUNCTION("""COMPUTED_VALUE"""),"kombinaatio, yhdistely, yhdistelmä")</f>
        <v>kombinaatio, yhdistely, yhdistelmä</v>
      </c>
      <c r="B352" s="2" t="str">
        <f>IFERROR(__xludf.DUMMYFUNCTION("""COMPUTED_VALUE"""),"combination")</f>
        <v>combination</v>
      </c>
      <c r="C352" s="2" t="str">
        <f>IFERROR(__xludf.DUMMYFUNCTION("""COMPUTED_VALUE"""),"kombination")</f>
        <v>kombination</v>
      </c>
      <c r="D352" s="5"/>
      <c r="E352" s="5"/>
      <c r="F352" s="11"/>
      <c r="G352" s="11"/>
    </row>
    <row r="353">
      <c r="A353" s="2" t="str">
        <f>IFERROR(__xludf.DUMMYFUNCTION("""COMPUTED_VALUE"""),"kommutoida")</f>
        <v>kommutoida</v>
      </c>
      <c r="B353" s="2" t="str">
        <f>IFERROR(__xludf.DUMMYFUNCTION("""COMPUTED_VALUE"""),"commute")</f>
        <v>commute</v>
      </c>
      <c r="C353" s="2" t="str">
        <f>IFERROR(__xludf.DUMMYFUNCTION("""COMPUTED_VALUE"""),"kommutera")</f>
        <v>kommutera</v>
      </c>
      <c r="D353" s="5"/>
      <c r="E353" s="5"/>
      <c r="F353" s="11"/>
      <c r="G353" s="11"/>
    </row>
    <row r="354">
      <c r="A354" s="2" t="str">
        <f>IFERROR(__xludf.DUMMYFUNCTION("""COMPUTED_VALUE"""),"kompakti")</f>
        <v>kompakti</v>
      </c>
      <c r="B354" s="2" t="str">
        <f>IFERROR(__xludf.DUMMYFUNCTION("""COMPUTED_VALUE"""),"compact")</f>
        <v>compact</v>
      </c>
      <c r="C354" s="2" t="str">
        <f>IFERROR(__xludf.DUMMYFUNCTION("""COMPUTED_VALUE"""),"kompakt")</f>
        <v>kompakt</v>
      </c>
      <c r="D354" s="5"/>
      <c r="E354" s="5"/>
      <c r="F354" s="11"/>
      <c r="G354" s="11"/>
    </row>
    <row r="355">
      <c r="A355" s="2" t="str">
        <f>IFERROR(__xludf.DUMMYFUNCTION("""COMPUTED_VALUE"""),"kompaktisointi")</f>
        <v>kompaktisointi</v>
      </c>
      <c r="B355" s="2" t="str">
        <f>IFERROR(__xludf.DUMMYFUNCTION("""COMPUTED_VALUE"""),"compactification")</f>
        <v>compactification</v>
      </c>
      <c r="C355" s="2" t="str">
        <f>IFERROR(__xludf.DUMMYFUNCTION("""COMPUTED_VALUE"""),"-")</f>
        <v>-</v>
      </c>
      <c r="D355" s="5"/>
      <c r="E355" s="5"/>
      <c r="F355" s="11"/>
      <c r="G355" s="11"/>
    </row>
    <row r="356">
      <c r="A356" s="2" t="str">
        <f>IFERROR(__xludf.DUMMYFUNCTION("""COMPUTED_VALUE"""),"kompleksiluku")</f>
        <v>kompleksiluku</v>
      </c>
      <c r="B356" s="2" t="str">
        <f>IFERROR(__xludf.DUMMYFUNCTION("""COMPUTED_VALUE"""),"complex number")</f>
        <v>complex number</v>
      </c>
      <c r="C356" s="2" t="str">
        <f>IFERROR(__xludf.DUMMYFUNCTION("""COMPUTED_VALUE"""),"komplext tal")</f>
        <v>komplext tal</v>
      </c>
      <c r="D356" s="5"/>
      <c r="E356" s="5"/>
      <c r="F356" s="11"/>
      <c r="G356" s="11"/>
    </row>
    <row r="357">
      <c r="A357" s="2" t="str">
        <f>IFERROR(__xludf.DUMMYFUNCTION("""COMPUTED_VALUE"""),"kompleksitaso")</f>
        <v>kompleksitaso</v>
      </c>
      <c r="B357" s="2" t="str">
        <f>IFERROR(__xludf.DUMMYFUNCTION("""COMPUTED_VALUE"""),"complex plane")</f>
        <v>complex plane</v>
      </c>
      <c r="C357" s="2" t="str">
        <f>IFERROR(__xludf.DUMMYFUNCTION("""COMPUTED_VALUE"""),"komplexa talplanet")</f>
        <v>komplexa talplanet</v>
      </c>
      <c r="D357" s="5"/>
      <c r="E357" s="5"/>
      <c r="F357" s="11"/>
      <c r="G357" s="11"/>
    </row>
    <row r="358">
      <c r="A358" s="2" t="str">
        <f>IFERROR(__xludf.DUMMYFUNCTION("""COMPUTED_VALUE"""),"komplementti")</f>
        <v>komplementti</v>
      </c>
      <c r="B358" s="2" t="str">
        <f>IFERROR(__xludf.DUMMYFUNCTION("""COMPUTED_VALUE"""),"complement")</f>
        <v>complement</v>
      </c>
      <c r="C358" s="2" t="str">
        <f>IFERROR(__xludf.DUMMYFUNCTION("""COMPUTED_VALUE"""),"komplement")</f>
        <v>komplement</v>
      </c>
      <c r="D358" s="5"/>
      <c r="E358" s="5"/>
      <c r="F358" s="11"/>
      <c r="G358" s="11"/>
    </row>
    <row r="359">
      <c r="A359" s="2" t="str">
        <f>IFERROR(__xludf.DUMMYFUNCTION("""COMPUTED_VALUE"""),"komplementtikulma (90-a)")</f>
        <v>komplementtikulma (90-a)</v>
      </c>
      <c r="B359" s="2" t="str">
        <f>IFERROR(__xludf.DUMMYFUNCTION("""COMPUTED_VALUE"""),"complementary angle")</f>
        <v>complementary angle</v>
      </c>
      <c r="C359" s="2" t="str">
        <f>IFERROR(__xludf.DUMMYFUNCTION("""COMPUTED_VALUE"""),"komplementvinkel")</f>
        <v>komplementvinkel</v>
      </c>
      <c r="D359" s="5"/>
      <c r="E359" s="5"/>
      <c r="F359" s="11"/>
      <c r="G359" s="11"/>
    </row>
    <row r="360">
      <c r="A360" s="2" t="str">
        <f>IFERROR(__xludf.DUMMYFUNCTION("""COMPUTED_VALUE"""),"komponentti")</f>
        <v>komponentti</v>
      </c>
      <c r="B360" s="2" t="str">
        <f>IFERROR(__xludf.DUMMYFUNCTION("""COMPUTED_VALUE"""),"component")</f>
        <v>component</v>
      </c>
      <c r="C360" s="2" t="str">
        <f>IFERROR(__xludf.DUMMYFUNCTION("""COMPUTED_VALUE"""),"komponent")</f>
        <v>komponent</v>
      </c>
      <c r="D360" s="5"/>
      <c r="E360" s="5"/>
      <c r="F360" s="11"/>
      <c r="G360" s="11"/>
    </row>
    <row r="361">
      <c r="A361" s="2" t="str">
        <f>IFERROR(__xludf.DUMMYFUNCTION("""COMPUTED_VALUE"""),"konformikuvaus")</f>
        <v>konformikuvaus</v>
      </c>
      <c r="B361" s="2" t="str">
        <f>IFERROR(__xludf.DUMMYFUNCTION("""COMPUTED_VALUE"""),"conformal mapping")</f>
        <v>conformal mapping</v>
      </c>
      <c r="C361" s="2" t="str">
        <f>IFERROR(__xludf.DUMMYFUNCTION("""COMPUTED_VALUE"""),"konform avbildning")</f>
        <v>konform avbildning</v>
      </c>
      <c r="D361" s="5"/>
      <c r="E361" s="5"/>
      <c r="F361" s="11"/>
      <c r="G361" s="11"/>
    </row>
    <row r="362">
      <c r="A362" s="2" t="str">
        <f>IFERROR(__xludf.DUMMYFUNCTION("""COMPUTED_VALUE"""),"konjektuuri, otaksuma")</f>
        <v>konjektuuri, otaksuma</v>
      </c>
      <c r="B362" s="2" t="str">
        <f>IFERROR(__xludf.DUMMYFUNCTION("""COMPUTED_VALUE"""),"conjecture")</f>
        <v>conjecture</v>
      </c>
      <c r="C362" s="2" t="str">
        <f>IFERROR(__xludf.DUMMYFUNCTION("""COMPUTED_VALUE"""),"förmodan")</f>
        <v>förmodan</v>
      </c>
      <c r="D362" s="5"/>
      <c r="E362" s="5"/>
      <c r="F362" s="11"/>
      <c r="G362" s="11"/>
    </row>
    <row r="363">
      <c r="A363" s="2" t="str">
        <f>IFERROR(__xludf.DUMMYFUNCTION("""COMPUTED_VALUE"""),"konjugaattilineaarinen")</f>
        <v>konjugaattilineaarinen</v>
      </c>
      <c r="B363" s="2" t="str">
        <f>IFERROR(__xludf.DUMMYFUNCTION("""COMPUTED_VALUE"""),"conjugate linear")</f>
        <v>conjugate linear</v>
      </c>
      <c r="C363" s="2" t="str">
        <f>IFERROR(__xludf.DUMMYFUNCTION("""COMPUTED_VALUE"""),"konjugatlinjär")</f>
        <v>konjugatlinjär</v>
      </c>
      <c r="D363" s="5"/>
      <c r="E363" s="5"/>
      <c r="F363" s="11"/>
      <c r="G363" s="11"/>
    </row>
    <row r="364">
      <c r="A364" s="2" t="str">
        <f>IFERROR(__xludf.DUMMYFUNCTION("""COMPUTED_VALUE"""),"konveksi verho")</f>
        <v>konveksi verho</v>
      </c>
      <c r="B364" s="2" t="str">
        <f>IFERROR(__xludf.DUMMYFUNCTION("""COMPUTED_VALUE"""),"convex hull")</f>
        <v>convex hull</v>
      </c>
      <c r="C364" s="2" t="str">
        <f>IFERROR(__xludf.DUMMYFUNCTION("""COMPUTED_VALUE"""),"-")</f>
        <v>-</v>
      </c>
      <c r="D364" s="5"/>
      <c r="E364" s="5"/>
      <c r="F364" s="11"/>
      <c r="G364" s="11"/>
    </row>
    <row r="365">
      <c r="A365" s="2" t="str">
        <f>IFERROR(__xludf.DUMMYFUNCTION("""COMPUTED_VALUE"""),"konveksi, kupera, alaspäin kupera, ylhäältä kovera")</f>
        <v>konveksi, kupera, alaspäin kupera, ylhäältä kovera</v>
      </c>
      <c r="B365" s="2" t="str">
        <f>IFERROR(__xludf.DUMMYFUNCTION("""COMPUTED_VALUE"""),"convex (function), convex down, concave up")</f>
        <v>convex (function), convex down, concave up</v>
      </c>
      <c r="C365" s="2" t="str">
        <f>IFERROR(__xludf.DUMMYFUNCTION("""COMPUTED_VALUE"""),"konvex")</f>
        <v>konvex</v>
      </c>
      <c r="D365" s="5"/>
      <c r="E365" s="5"/>
      <c r="F365" s="11"/>
      <c r="G365" s="11"/>
    </row>
    <row r="366">
      <c r="A366" s="2" t="str">
        <f>IFERROR(__xludf.DUMMYFUNCTION("""COMPUTED_VALUE"""),"konvoluutio")</f>
        <v>konvoluutio</v>
      </c>
      <c r="B366" s="2" t="str">
        <f>IFERROR(__xludf.DUMMYFUNCTION("""COMPUTED_VALUE"""),"convolution")</f>
        <v>convolution</v>
      </c>
      <c r="C366" s="2" t="str">
        <f>IFERROR(__xludf.DUMMYFUNCTION("""COMPUTED_VALUE"""),"konvolution")</f>
        <v>konvolution</v>
      </c>
      <c r="D366" s="5"/>
      <c r="E366" s="5"/>
      <c r="F366" s="11"/>
      <c r="G366" s="11"/>
    </row>
    <row r="367">
      <c r="A367" s="2" t="str">
        <f>IFERROR(__xludf.DUMMYFUNCTION("""COMPUTED_VALUE"""),"koordinaattiakselit")</f>
        <v>koordinaattiakselit</v>
      </c>
      <c r="B367" s="2" t="str">
        <f>IFERROR(__xludf.DUMMYFUNCTION("""COMPUTED_VALUE"""),"coordinate axes")</f>
        <v>coordinate axes</v>
      </c>
      <c r="C367" s="2" t="str">
        <f>IFERROR(__xludf.DUMMYFUNCTION("""COMPUTED_VALUE"""),"koordinataxlar")</f>
        <v>koordinataxlar</v>
      </c>
      <c r="D367" s="5"/>
      <c r="E367" s="5"/>
      <c r="F367" s="11"/>
      <c r="G367" s="11"/>
    </row>
    <row r="368">
      <c r="A368" s="2" t="str">
        <f>IFERROR(__xludf.DUMMYFUNCTION("""COMPUTED_VALUE"""),"korkeus")</f>
        <v>korkeus</v>
      </c>
      <c r="B368" s="2" t="str">
        <f>IFERROR(__xludf.DUMMYFUNCTION("""COMPUTED_VALUE"""),"height")</f>
        <v>height</v>
      </c>
      <c r="C368" s="2" t="str">
        <f>IFERROR(__xludf.DUMMYFUNCTION("""COMPUTED_VALUE"""),"höjd")</f>
        <v>höjd</v>
      </c>
      <c r="D368" s="5"/>
      <c r="E368" s="5"/>
      <c r="F368" s="11"/>
      <c r="G368" s="11"/>
    </row>
    <row r="369">
      <c r="A369" s="2" t="str">
        <f>IFERROR(__xludf.DUMMYFUNCTION("""COMPUTED_VALUE"""),"korollaari, seuraus")</f>
        <v>korollaari, seuraus</v>
      </c>
      <c r="B369" s="2" t="str">
        <f>IFERROR(__xludf.DUMMYFUNCTION("""COMPUTED_VALUE"""),"corollary")</f>
        <v>corollary</v>
      </c>
      <c r="C369" s="2" t="str">
        <f>IFERROR(__xludf.DUMMYFUNCTION("""COMPUTED_VALUE"""),"korollarium, följdsats")</f>
        <v>korollarium, följdsats</v>
      </c>
      <c r="D369" s="5"/>
      <c r="E369" s="5"/>
      <c r="F369" s="11"/>
      <c r="G369" s="11"/>
    </row>
    <row r="370">
      <c r="A370" s="2" t="str">
        <f>IFERROR(__xludf.DUMMYFUNCTION("""COMPUTED_VALUE"""),"korrelaatio")</f>
        <v>korrelaatio</v>
      </c>
      <c r="B370" s="2" t="str">
        <f>IFERROR(__xludf.DUMMYFUNCTION("""COMPUTED_VALUE"""),"correlation")</f>
        <v>correlation</v>
      </c>
      <c r="C370" s="2" t="str">
        <f>IFERROR(__xludf.DUMMYFUNCTION("""COMPUTED_VALUE"""),"korrelation")</f>
        <v>korrelation</v>
      </c>
      <c r="D370" s="5"/>
      <c r="E370" s="5"/>
      <c r="F370" s="11"/>
      <c r="G370" s="11"/>
    </row>
    <row r="371">
      <c r="A371" s="2" t="str">
        <f>IFERROR(__xludf.DUMMYFUNCTION("""COMPUTED_VALUE"""),"kosini, cos")</f>
        <v>kosini, cos</v>
      </c>
      <c r="B371" s="2" t="str">
        <f>IFERROR(__xludf.DUMMYFUNCTION("""COMPUTED_VALUE"""),"cosine, cos")</f>
        <v>cosine, cos</v>
      </c>
      <c r="C371" s="2" t="str">
        <f>IFERROR(__xludf.DUMMYFUNCTION("""COMPUTED_VALUE"""),"cosinus")</f>
        <v>cosinus</v>
      </c>
      <c r="D371" s="5"/>
      <c r="E371" s="5"/>
      <c r="F371" s="11"/>
      <c r="G371" s="11"/>
    </row>
    <row r="372">
      <c r="A372" s="2" t="str">
        <f>IFERROR(__xludf.DUMMYFUNCTION("""COMPUTED_VALUE"""),"kosketusavaruus")</f>
        <v>kosketusavaruus</v>
      </c>
      <c r="B372" s="2" t="str">
        <f>IFERROR(__xludf.DUMMYFUNCTION("""COMPUTED_VALUE"""),"proximity space")</f>
        <v>proximity space</v>
      </c>
      <c r="C372" s="2" t="str">
        <f>IFERROR(__xludf.DUMMYFUNCTION("""COMPUTED_VALUE"""),"-")</f>
        <v>-</v>
      </c>
      <c r="D372" s="5"/>
      <c r="E372" s="5"/>
      <c r="F372" s="11"/>
      <c r="G372" s="11"/>
    </row>
    <row r="373">
      <c r="A373" s="2" t="str">
        <f>IFERROR(__xludf.DUMMYFUNCTION("""COMPUTED_VALUE"""),"kosketuspiste")</f>
        <v>kosketuspiste</v>
      </c>
      <c r="B373" s="2" t="str">
        <f>IFERROR(__xludf.DUMMYFUNCTION("""COMPUTED_VALUE"""),"adherent point")</f>
        <v>adherent point</v>
      </c>
      <c r="C373" s="2" t="str">
        <f>IFERROR(__xludf.DUMMYFUNCTION("""COMPUTED_VALUE"""),"-")</f>
        <v>-</v>
      </c>
      <c r="D373" s="5"/>
      <c r="E373" s="5"/>
      <c r="F373" s="11"/>
      <c r="G373" s="11"/>
    </row>
    <row r="374">
      <c r="A374" s="2" t="str">
        <f>IFERROR(__xludf.DUMMYFUNCTION("""COMPUTED_VALUE"""),"kotangentti, cot")</f>
        <v>kotangentti, cot</v>
      </c>
      <c r="B374" s="2" t="str">
        <f>IFERROR(__xludf.DUMMYFUNCTION("""COMPUTED_VALUE"""),"cotangent, cot")</f>
        <v>cotangent, cot</v>
      </c>
      <c r="C374" s="2" t="str">
        <f>IFERROR(__xludf.DUMMYFUNCTION("""COMPUTED_VALUE"""),"cotangens")</f>
        <v>cotangens</v>
      </c>
      <c r="D374" s="5"/>
      <c r="E374" s="5"/>
      <c r="F374" s="11"/>
      <c r="G374" s="11"/>
    </row>
    <row r="375">
      <c r="A375" s="2" t="str">
        <f>IFERROR(__xludf.DUMMYFUNCTION("""COMPUTED_VALUE"""),"kovarianssi")</f>
        <v>kovarianssi</v>
      </c>
      <c r="B375" s="2" t="str">
        <f>IFERROR(__xludf.DUMMYFUNCTION("""COMPUTED_VALUE"""),"covariance")</f>
        <v>covariance</v>
      </c>
      <c r="C375" s="2" t="str">
        <f>IFERROR(__xludf.DUMMYFUNCTION("""COMPUTED_VALUE"""),"kovarians")</f>
        <v>kovarians</v>
      </c>
      <c r="D375" s="5"/>
      <c r="E375" s="5"/>
      <c r="F375" s="11"/>
      <c r="G375" s="11"/>
    </row>
    <row r="376">
      <c r="A376" s="2" t="str">
        <f>IFERROR(__xludf.DUMMYFUNCTION("""COMPUTED_VALUE"""),"kovera, alhaalta kovera, ylöspäin kupera, konkaavi")</f>
        <v>kovera, alhaalta kovera, ylöspäin kupera, konkaavi</v>
      </c>
      <c r="B376" s="2" t="str">
        <f>IFERROR(__xludf.DUMMYFUNCTION("""COMPUTED_VALUE"""),"concave (function), concave down, convex up")</f>
        <v>concave (function), concave down, convex up</v>
      </c>
      <c r="C376" s="2" t="str">
        <f>IFERROR(__xludf.DUMMYFUNCTION("""COMPUTED_VALUE"""),"konkav")</f>
        <v>konkav</v>
      </c>
      <c r="D376" s="5"/>
      <c r="E376" s="5"/>
      <c r="F376" s="11"/>
      <c r="G376" s="11"/>
    </row>
    <row r="377">
      <c r="A377" s="2" t="str">
        <f>IFERROR(__xludf.DUMMYFUNCTION("""COMPUTED_VALUE"""),"koveruus, konkaavius")</f>
        <v>koveruus, konkaavius</v>
      </c>
      <c r="B377" s="2" t="str">
        <f>IFERROR(__xludf.DUMMYFUNCTION("""COMPUTED_VALUE"""),"concavity")</f>
        <v>concavity</v>
      </c>
      <c r="C377" s="2" t="str">
        <f>IFERROR(__xludf.DUMMYFUNCTION("""COMPUTED_VALUE"""),"konkavitet")</f>
        <v>konkavitet</v>
      </c>
      <c r="D377" s="5"/>
      <c r="E377" s="5"/>
      <c r="F377" s="11"/>
      <c r="G377" s="11"/>
    </row>
    <row r="378">
      <c r="A378" s="2" t="str">
        <f>IFERROR(__xludf.DUMMYFUNCTION("""COMPUTED_VALUE"""),"kriittinen piste")</f>
        <v>kriittinen piste</v>
      </c>
      <c r="B378" s="2" t="str">
        <f>IFERROR(__xludf.DUMMYFUNCTION("""COMPUTED_VALUE"""),"critical point")</f>
        <v>critical point</v>
      </c>
      <c r="C378" s="2" t="str">
        <f>IFERROR(__xludf.DUMMYFUNCTION("""COMPUTED_VALUE"""),"kritisk punkt")</f>
        <v>kritisk punkt</v>
      </c>
      <c r="D378" s="5"/>
      <c r="E378" s="5"/>
      <c r="F378" s="11"/>
      <c r="G378" s="11"/>
    </row>
    <row r="379">
      <c r="A379" s="2" t="str">
        <f>IFERROR(__xludf.DUMMYFUNCTION("""COMPUTED_VALUE"""),"ksii")</f>
        <v>ksii</v>
      </c>
      <c r="B379" s="2" t="str">
        <f>IFERROR(__xludf.DUMMYFUNCTION("""COMPUTED_VALUE"""),"xi")</f>
        <v>xi</v>
      </c>
      <c r="C379" s="2" t="str">
        <f>IFERROR(__xludf.DUMMYFUNCTION("""COMPUTED_VALUE"""),"xi")</f>
        <v>xi</v>
      </c>
      <c r="D379" s="5"/>
      <c r="E379" s="5"/>
      <c r="F379" s="11"/>
      <c r="G379" s="11"/>
    </row>
    <row r="380">
      <c r="A380" s="2" t="str">
        <f>IFERROR(__xludf.DUMMYFUNCTION("""COMPUTED_VALUE"""),"kulma")</f>
        <v>kulma</v>
      </c>
      <c r="B380" s="2" t="str">
        <f>IFERROR(__xludf.DUMMYFUNCTION("""COMPUTED_VALUE"""),"angle")</f>
        <v>angle</v>
      </c>
      <c r="C380" s="2" t="str">
        <f>IFERROR(__xludf.DUMMYFUNCTION("""COMPUTED_VALUE"""),"vinkel")</f>
        <v>vinkel</v>
      </c>
      <c r="D380" s="5"/>
      <c r="E380" s="5"/>
      <c r="F380" s="11"/>
      <c r="G380" s="11"/>
    </row>
    <row r="381">
      <c r="A381" s="2" t="str">
        <f>IFERROR(__xludf.DUMMYFUNCTION("""COMPUTED_VALUE"""),"kulmanopeus")</f>
        <v>kulmanopeus</v>
      </c>
      <c r="B381" s="2" t="str">
        <f>IFERROR(__xludf.DUMMYFUNCTION("""COMPUTED_VALUE"""),"angular velocity")</f>
        <v>angular velocity</v>
      </c>
      <c r="C381" s="2" t="str">
        <f>IFERROR(__xludf.DUMMYFUNCTION("""COMPUTED_VALUE"""),"vinkelhastighet")</f>
        <v>vinkelhastighet</v>
      </c>
      <c r="D381" s="5"/>
      <c r="E381" s="5"/>
      <c r="F381" s="11"/>
      <c r="G381" s="11"/>
    </row>
    <row r="382">
      <c r="A382" s="2" t="str">
        <f>IFERROR(__xludf.DUMMYFUNCTION("""COMPUTED_VALUE"""),"kulmanopeus, kulmataajuus")</f>
        <v>kulmanopeus, kulmataajuus</v>
      </c>
      <c r="B382" s="2" t="str">
        <f>IFERROR(__xludf.DUMMYFUNCTION("""COMPUTED_VALUE"""),"circular frequency")</f>
        <v>circular frequency</v>
      </c>
      <c r="C382" s="2" t="str">
        <f>IFERROR(__xludf.DUMMYFUNCTION("""COMPUTED_VALUE"""),"vinkelhastighet")</f>
        <v>vinkelhastighet</v>
      </c>
      <c r="D382" s="5"/>
      <c r="E382" s="5"/>
      <c r="F382" s="11"/>
      <c r="G382" s="11"/>
    </row>
    <row r="383">
      <c r="A383" s="2" t="str">
        <f>IFERROR(__xludf.DUMMYFUNCTION("""COMPUTED_VALUE"""),"kutistus, kontraktio")</f>
        <v>kutistus, kontraktio</v>
      </c>
      <c r="B383" s="2" t="str">
        <f>IFERROR(__xludf.DUMMYFUNCTION("""COMPUTED_VALUE"""),"contraction")</f>
        <v>contraction</v>
      </c>
      <c r="C383" s="2" t="str">
        <f>IFERROR(__xludf.DUMMYFUNCTION("""COMPUTED_VALUE"""),"kontraktion")</f>
        <v>kontraktion</v>
      </c>
      <c r="D383" s="5"/>
      <c r="E383" s="5"/>
      <c r="F383" s="11"/>
      <c r="G383" s="11"/>
    </row>
    <row r="384">
      <c r="A384" s="2" t="str">
        <f>IFERROR(__xludf.DUMMYFUNCTION("""COMPUTED_VALUE"""),"kutistuva")</f>
        <v>kutistuva</v>
      </c>
      <c r="B384" s="2" t="str">
        <f>IFERROR(__xludf.DUMMYFUNCTION("""COMPUTED_VALUE"""),"contractible")</f>
        <v>contractible</v>
      </c>
      <c r="C384" s="2" t="str">
        <f>IFERROR(__xludf.DUMMYFUNCTION("""COMPUTED_VALUE"""),"kontrakterbar")</f>
        <v>kontrakterbar</v>
      </c>
      <c r="D384" s="5"/>
      <c r="E384" s="5"/>
      <c r="F384" s="11"/>
      <c r="G384" s="11"/>
    </row>
    <row r="385">
      <c r="A385" s="2" t="str">
        <f>IFERROR(__xludf.DUMMYFUNCTION("""COMPUTED_VALUE"""),"kuula, pallo")</f>
        <v>kuula, pallo</v>
      </c>
      <c r="B385" s="2" t="str">
        <f>IFERROR(__xludf.DUMMYFUNCTION("""COMPUTED_VALUE"""),"ball")</f>
        <v>ball</v>
      </c>
      <c r="C385" s="2" t="str">
        <f>IFERROR(__xludf.DUMMYFUNCTION("""COMPUTED_VALUE"""),"klot")</f>
        <v>klot</v>
      </c>
      <c r="D385" s="5"/>
      <c r="E385" s="5"/>
      <c r="F385" s="11"/>
      <c r="G385" s="11"/>
    </row>
    <row r="386">
      <c r="A386" s="2" t="str">
        <f>IFERROR(__xludf.DUMMYFUNCTION("""COMPUTED_VALUE"""),"kuutio")</f>
        <v>kuutio</v>
      </c>
      <c r="B386" s="2" t="str">
        <f>IFERROR(__xludf.DUMMYFUNCTION("""COMPUTED_VALUE"""),"cube")</f>
        <v>cube</v>
      </c>
      <c r="C386" s="2" t="str">
        <f>IFERROR(__xludf.DUMMYFUNCTION("""COMPUTED_VALUE"""),"kub")</f>
        <v>kub</v>
      </c>
      <c r="D386" s="5"/>
      <c r="E386" s="5"/>
      <c r="F386" s="11"/>
      <c r="G386" s="11"/>
    </row>
    <row r="387">
      <c r="A387" s="2" t="str">
        <f>IFERROR(__xludf.DUMMYFUNCTION("""COMPUTED_VALUE"""),"kuva")</f>
        <v>kuva</v>
      </c>
      <c r="B387" s="2" t="str">
        <f>IFERROR(__xludf.DUMMYFUNCTION("""COMPUTED_VALUE"""),"image")</f>
        <v>image</v>
      </c>
      <c r="C387" s="2" t="str">
        <f>IFERROR(__xludf.DUMMYFUNCTION("""COMPUTED_VALUE"""),"bild")</f>
        <v>bild</v>
      </c>
      <c r="D387" s="5"/>
      <c r="E387" s="5"/>
      <c r="F387" s="11"/>
      <c r="G387" s="11"/>
    </row>
    <row r="388">
      <c r="A388" s="2" t="str">
        <f>IFERROR(__xludf.DUMMYFUNCTION("""COMPUTED_VALUE"""),"kuva-avaruus, kuvajoukko, arvojoukko; vaihteluväli")</f>
        <v>kuva-avaruus, kuvajoukko, arvojoukko; vaihteluväli</v>
      </c>
      <c r="B388" s="2" t="str">
        <f>IFERROR(__xludf.DUMMYFUNCTION("""COMPUTED_VALUE"""),"range")</f>
        <v>range</v>
      </c>
      <c r="C388" s="2"/>
      <c r="D388" s="5"/>
      <c r="E388" s="5"/>
      <c r="F388" s="11"/>
      <c r="G388" s="11"/>
    </row>
    <row r="389">
      <c r="A389" s="2" t="str">
        <f>IFERROR(__xludf.DUMMYFUNCTION("""COMPUTED_VALUE"""),"kuvaaja, graafi;piirros")</f>
        <v>kuvaaja, graafi;piirros</v>
      </c>
      <c r="B389" s="2" t="str">
        <f>IFERROR(__xludf.DUMMYFUNCTION("""COMPUTED_VALUE"""),"graph")</f>
        <v>graph</v>
      </c>
      <c r="C389" s="2" t="str">
        <f>IFERROR(__xludf.DUMMYFUNCTION("""COMPUTED_VALUE"""),"graf")</f>
        <v>graf</v>
      </c>
      <c r="D389" s="5"/>
      <c r="E389" s="5"/>
      <c r="F389" s="11"/>
      <c r="G389" s="11"/>
    </row>
    <row r="390">
      <c r="A390" s="2" t="str">
        <f>IFERROR(__xludf.DUMMYFUNCTION("""COMPUTED_VALUE"""),"kuvaus")</f>
        <v>kuvaus</v>
      </c>
      <c r="B390" s="2" t="str">
        <f>IFERROR(__xludf.DUMMYFUNCTION("""COMPUTED_VALUE"""),"map, mapping")</f>
        <v>map, mapping</v>
      </c>
      <c r="C390" s="2" t="str">
        <f>IFERROR(__xludf.DUMMYFUNCTION("""COMPUTED_VALUE"""),"avbildning")</f>
        <v>avbildning</v>
      </c>
      <c r="D390" s="5"/>
      <c r="E390" s="5"/>
      <c r="F390" s="11"/>
      <c r="G390" s="11"/>
    </row>
    <row r="391">
      <c r="A391" s="2" t="str">
        <f>IFERROR(__xludf.DUMMYFUNCTION("""COMPUTED_VALUE"""),"kuvaus, funktio")</f>
        <v>kuvaus, funktio</v>
      </c>
      <c r="B391" s="2" t="str">
        <f>IFERROR(__xludf.DUMMYFUNCTION("""COMPUTED_VALUE"""),"mapping, function")</f>
        <v>mapping, function</v>
      </c>
      <c r="C391" s="2" t="str">
        <f>IFERROR(__xludf.DUMMYFUNCTION("""COMPUTED_VALUE"""),"avbildning")</f>
        <v>avbildning</v>
      </c>
      <c r="D391" s="5"/>
      <c r="E391" s="5"/>
      <c r="F391" s="11"/>
      <c r="G391" s="11"/>
    </row>
    <row r="392">
      <c r="A392" s="2" t="str">
        <f>IFERROR(__xludf.DUMMYFUNCTION("""COMPUTED_VALUE"""),"kuvauskartio")</f>
        <v>kuvauskartio</v>
      </c>
      <c r="B392" s="2" t="str">
        <f>IFERROR(__xludf.DUMMYFUNCTION("""COMPUTED_VALUE"""),"mapping cone")</f>
        <v>mapping cone</v>
      </c>
      <c r="C392" s="2" t="str">
        <f>IFERROR(__xludf.DUMMYFUNCTION("""COMPUTED_VALUE"""),"avbildningskon")</f>
        <v>avbildningskon</v>
      </c>
      <c r="D392" s="5"/>
      <c r="E392" s="5"/>
      <c r="F392" s="11"/>
      <c r="G392" s="11"/>
    </row>
    <row r="393">
      <c r="A393" s="2" t="str">
        <f>IFERROR(__xludf.DUMMYFUNCTION("""COMPUTED_VALUE"""),"kuvauslieriö")</f>
        <v>kuvauslieriö</v>
      </c>
      <c r="B393" s="2" t="str">
        <f>IFERROR(__xludf.DUMMYFUNCTION("""COMPUTED_VALUE"""),"mapping cylinder")</f>
        <v>mapping cylinder</v>
      </c>
      <c r="C393" s="2" t="str">
        <f>IFERROR(__xludf.DUMMYFUNCTION("""COMPUTED_VALUE"""),"avbildningscylinder")</f>
        <v>avbildningscylinder</v>
      </c>
      <c r="D393" s="5"/>
      <c r="E393" s="5"/>
      <c r="F393" s="11"/>
      <c r="G393" s="11"/>
    </row>
    <row r="394">
      <c r="A394" s="2" t="str">
        <f>IFERROR(__xludf.DUMMYFUNCTION("""COMPUTED_VALUE"""),"kvadraattinen approksimaatio")</f>
        <v>kvadraattinen approksimaatio</v>
      </c>
      <c r="B394" s="2" t="str">
        <f>IFERROR(__xludf.DUMMYFUNCTION("""COMPUTED_VALUE"""),"quadratic approximation")</f>
        <v>quadratic approximation</v>
      </c>
      <c r="C394" s="2" t="str">
        <f>IFERROR(__xludf.DUMMYFUNCTION("""COMPUTED_VALUE"""),"kvadratisk approximation")</f>
        <v>kvadratisk approximation</v>
      </c>
      <c r="D394" s="5"/>
      <c r="E394" s="5"/>
      <c r="F394" s="11"/>
      <c r="G394" s="11"/>
    </row>
    <row r="395">
      <c r="A395" s="2" t="str">
        <f>IFERROR(__xludf.DUMMYFUNCTION("""COMPUTED_VALUE"""),"kymmenjärjestelmän luku; desimaaliluku")</f>
        <v>kymmenjärjestelmän luku; desimaaliluku</v>
      </c>
      <c r="B395" s="2" t="str">
        <f>IFERROR(__xludf.DUMMYFUNCTION("""COMPUTED_VALUE"""),"decimal number")</f>
        <v>decimal number</v>
      </c>
      <c r="C395" s="2" t="str">
        <f>IFERROR(__xludf.DUMMYFUNCTION("""COMPUTED_VALUE"""),"decimaltal")</f>
        <v>decimaltal</v>
      </c>
      <c r="D395" s="5"/>
      <c r="E395" s="5"/>
      <c r="F395" s="11"/>
      <c r="G395" s="11"/>
    </row>
    <row r="396">
      <c r="A396" s="2" t="str">
        <f>IFERROR(__xludf.DUMMYFUNCTION("""COMPUTED_VALUE"""),"kytkentämatriisi")</f>
        <v>kytkentämatriisi</v>
      </c>
      <c r="B396" s="2" t="str">
        <f>IFERROR(__xludf.DUMMYFUNCTION("""COMPUTED_VALUE"""),"incidence matrix")</f>
        <v>incidence matrix</v>
      </c>
      <c r="C396" s="2" t="str">
        <f>IFERROR(__xludf.DUMMYFUNCTION("""COMPUTED_VALUE"""),"-")</f>
        <v>-</v>
      </c>
      <c r="D396" s="5"/>
      <c r="E396" s="5"/>
      <c r="F396" s="11"/>
      <c r="G396" s="11"/>
    </row>
    <row r="397">
      <c r="A397" s="2" t="str">
        <f>IFERROR(__xludf.DUMMYFUNCTION("""COMPUTED_VALUE"""),"kärki")</f>
        <v>kärki</v>
      </c>
      <c r="B397" s="2" t="str">
        <f>IFERROR(__xludf.DUMMYFUNCTION("""COMPUTED_VALUE"""),"vertex")</f>
        <v>vertex</v>
      </c>
      <c r="C397" s="2" t="str">
        <f>IFERROR(__xludf.DUMMYFUNCTION("""COMPUTED_VALUE"""),"spets")</f>
        <v>spets</v>
      </c>
      <c r="D397" s="5"/>
      <c r="E397" s="5"/>
      <c r="F397" s="11"/>
      <c r="G397" s="11"/>
    </row>
    <row r="398">
      <c r="A398" s="2" t="str">
        <f>IFERROR(__xludf.DUMMYFUNCTION("""COMPUTED_VALUE"""),"käypä")</f>
        <v>käypä</v>
      </c>
      <c r="B398" s="2" t="str">
        <f>IFERROR(__xludf.DUMMYFUNCTION("""COMPUTED_VALUE"""),"feasible")</f>
        <v>feasible</v>
      </c>
      <c r="C398" s="2" t="str">
        <f>IFERROR(__xludf.DUMMYFUNCTION("""COMPUTED_VALUE"""),"giltig, gångbar")</f>
        <v>giltig, gångbar</v>
      </c>
      <c r="D398" s="5"/>
      <c r="E398" s="5"/>
      <c r="F398" s="11"/>
      <c r="G398" s="11"/>
    </row>
    <row r="399">
      <c r="A399" s="2" t="str">
        <f>IFERROR(__xludf.DUMMYFUNCTION("""COMPUTED_VALUE"""),"käyrä")</f>
        <v>käyrä</v>
      </c>
      <c r="B399" s="2" t="str">
        <f>IFERROR(__xludf.DUMMYFUNCTION("""COMPUTED_VALUE"""),"curve")</f>
        <v>curve</v>
      </c>
      <c r="C399" s="2" t="str">
        <f>IFERROR(__xludf.DUMMYFUNCTION("""COMPUTED_VALUE"""),"kurva")</f>
        <v>kurva</v>
      </c>
      <c r="D399" s="5"/>
      <c r="E399" s="5"/>
      <c r="F399" s="11"/>
      <c r="G399" s="11"/>
    </row>
    <row r="400">
      <c r="A400" s="2" t="str">
        <f>IFERROR(__xludf.DUMMYFUNCTION("""COMPUTED_VALUE"""),"käyrä napakoordinaattimuodossa")</f>
        <v>käyrä napakoordinaattimuodossa</v>
      </c>
      <c r="B400" s="2" t="str">
        <f>IFERROR(__xludf.DUMMYFUNCTION("""COMPUTED_VALUE"""),"polar curve")</f>
        <v>polar curve</v>
      </c>
      <c r="C400" s="2" t="str">
        <f>IFERROR(__xludf.DUMMYFUNCTION("""COMPUTED_VALUE"""),"kurva I polärform")</f>
        <v>kurva I polärform</v>
      </c>
      <c r="D400" s="5"/>
      <c r="E400" s="5"/>
      <c r="F400" s="11"/>
      <c r="G400" s="11"/>
    </row>
    <row r="401">
      <c r="A401" s="2" t="str">
        <f>IFERROR(__xludf.DUMMYFUNCTION("""COMPUTED_VALUE"""),"käyräparvi")</f>
        <v>käyräparvi</v>
      </c>
      <c r="B401" s="2" t="str">
        <f>IFERROR(__xludf.DUMMYFUNCTION("""COMPUTED_VALUE"""),"family of curves")</f>
        <v>family of curves</v>
      </c>
      <c r="C401" s="2" t="str">
        <f>IFERROR(__xludf.DUMMYFUNCTION("""COMPUTED_VALUE"""),"kurvfamilj")</f>
        <v>kurvfamilj</v>
      </c>
      <c r="D401" s="5"/>
      <c r="E401" s="5"/>
      <c r="F401" s="11"/>
      <c r="G401" s="11"/>
    </row>
    <row r="402">
      <c r="A402" s="2" t="str">
        <f>IFERROR(__xludf.DUMMYFUNCTION("""COMPUTED_VALUE"""),"käyräviivaiset koordinaatit")</f>
        <v>käyräviivaiset koordinaatit</v>
      </c>
      <c r="B402" s="2" t="str">
        <f>IFERROR(__xludf.DUMMYFUNCTION("""COMPUTED_VALUE"""),"curvilinear coordinates")</f>
        <v>curvilinear coordinates</v>
      </c>
      <c r="C402" s="2" t="str">
        <f>IFERROR(__xludf.DUMMYFUNCTION("""COMPUTED_VALUE"""),"kroklinjiga koordinater")</f>
        <v>kroklinjiga koordinater</v>
      </c>
      <c r="D402" s="5"/>
      <c r="E402" s="5"/>
      <c r="F402" s="11"/>
      <c r="G402" s="11"/>
    </row>
    <row r="403">
      <c r="A403" s="2" t="str">
        <f>IFERROR(__xludf.DUMMYFUNCTION("""COMPUTED_VALUE"""),"käännepiste, kaarevuuden käännepiste")</f>
        <v>käännepiste, kaarevuuden käännepiste</v>
      </c>
      <c r="B403" s="2" t="str">
        <f>IFERROR(__xludf.DUMMYFUNCTION("""COMPUTED_VALUE"""),"inflection point")</f>
        <v>inflection point</v>
      </c>
      <c r="C403" s="2" t="str">
        <f>IFERROR(__xludf.DUMMYFUNCTION("""COMPUTED_VALUE"""),"inflektionspunkt")</f>
        <v>inflektionspunkt</v>
      </c>
      <c r="D403" s="5"/>
      <c r="E403" s="5"/>
      <c r="F403" s="11"/>
      <c r="G403" s="11"/>
    </row>
    <row r="404">
      <c r="A404" s="2" t="str">
        <f>IFERROR(__xludf.DUMMYFUNCTION("""COMPUTED_VALUE"""),"käänteinen raja-arvo, inverssi raja")</f>
        <v>käänteinen raja-arvo, inverssi raja</v>
      </c>
      <c r="B404" s="2" t="str">
        <f>IFERROR(__xludf.DUMMYFUNCTION("""COMPUTED_VALUE"""),"inverse limit")</f>
        <v>inverse limit</v>
      </c>
      <c r="C404" s="2" t="str">
        <f>IFERROR(__xludf.DUMMYFUNCTION("""COMPUTED_VALUE"""),"-")</f>
        <v>-</v>
      </c>
      <c r="D404" s="5"/>
      <c r="E404" s="5"/>
      <c r="F404" s="11"/>
      <c r="G404" s="11"/>
    </row>
    <row r="405">
      <c r="A405" s="2" t="str">
        <f>IFERROR(__xludf.DUMMYFUNCTION("""COMPUTED_VALUE"""),"käänteis, resiprookki-, resiprookkinen")</f>
        <v>käänteis, resiprookki-, resiprookkinen</v>
      </c>
      <c r="B405" s="2" t="str">
        <f>IFERROR(__xludf.DUMMYFUNCTION("""COMPUTED_VALUE"""),"reciprocal")</f>
        <v>reciprocal</v>
      </c>
      <c r="C405" s="2" t="str">
        <f>IFERROR(__xludf.DUMMYFUNCTION("""COMPUTED_VALUE"""),"omvänd, reciprok")</f>
        <v>omvänd, reciprok</v>
      </c>
      <c r="D405" s="5"/>
      <c r="E405" s="5"/>
      <c r="F405" s="11"/>
      <c r="G405" s="11"/>
    </row>
    <row r="406">
      <c r="A406" s="2" t="str">
        <f>IFERROR(__xludf.DUMMYFUNCTION("""COMPUTED_VALUE"""),"käänteisalkio")</f>
        <v>käänteisalkio</v>
      </c>
      <c r="B406" s="2" t="str">
        <f>IFERROR(__xludf.DUMMYFUNCTION("""COMPUTED_VALUE"""),"inverse element")</f>
        <v>inverse element</v>
      </c>
      <c r="C406" s="2" t="str">
        <f>IFERROR(__xludf.DUMMYFUNCTION("""COMPUTED_VALUE"""),"inverst element")</f>
        <v>inverst element</v>
      </c>
      <c r="D406" s="5"/>
      <c r="E406" s="5"/>
      <c r="F406" s="11"/>
      <c r="G406" s="11"/>
    </row>
    <row r="407">
      <c r="A407" s="2" t="str">
        <f>IFERROR(__xludf.DUMMYFUNCTION("""COMPUTED_VALUE"""),"käänteisfunktio")</f>
        <v>käänteisfunktio</v>
      </c>
      <c r="B407" s="2" t="str">
        <f>IFERROR(__xludf.DUMMYFUNCTION("""COMPUTED_VALUE"""),"inverse function")</f>
        <v>inverse function</v>
      </c>
      <c r="C407" s="2" t="str">
        <f>IFERROR(__xludf.DUMMYFUNCTION("""COMPUTED_VALUE"""),"inversfunktion")</f>
        <v>inversfunktion</v>
      </c>
      <c r="D407" s="5"/>
      <c r="E407" s="5"/>
      <c r="F407" s="11"/>
      <c r="G407" s="11"/>
    </row>
    <row r="408">
      <c r="A408" s="2" t="str">
        <f>IFERROR(__xludf.DUMMYFUNCTION("""COMPUTED_VALUE"""),"käänteisfunktiolause")</f>
        <v>käänteisfunktiolause</v>
      </c>
      <c r="B408" s="2" t="str">
        <f>IFERROR(__xludf.DUMMYFUNCTION("""COMPUTED_VALUE"""),"inverse function theorem")</f>
        <v>inverse function theorem</v>
      </c>
      <c r="C408" s="2" t="str">
        <f>IFERROR(__xludf.DUMMYFUNCTION("""COMPUTED_VALUE"""),"inversa funktionssatsen")</f>
        <v>inversa funktionssatsen</v>
      </c>
      <c r="D408" s="5"/>
      <c r="E408" s="5"/>
      <c r="F408" s="11"/>
      <c r="G408" s="11"/>
    </row>
    <row r="409">
      <c r="A409" s="2" t="str">
        <f>IFERROR(__xludf.DUMMYFUNCTION("""COMPUTED_VALUE"""),"käänteisluku")</f>
        <v>käänteisluku</v>
      </c>
      <c r="B409" s="2" t="str">
        <f>IFERROR(__xludf.DUMMYFUNCTION("""COMPUTED_VALUE"""),"resiprocal (number)")</f>
        <v>resiprocal (number)</v>
      </c>
      <c r="C409" s="2" t="str">
        <f>IFERROR(__xludf.DUMMYFUNCTION("""COMPUTED_VALUE"""),"inverst tal")</f>
        <v>inverst tal</v>
      </c>
      <c r="D409" s="5"/>
      <c r="E409" s="5"/>
      <c r="F409" s="11"/>
      <c r="G409" s="11"/>
    </row>
    <row r="410">
      <c r="A410" s="2" t="str">
        <f>IFERROR(__xludf.DUMMYFUNCTION("""COMPUTED_VALUE"""),"käänteismatriisi")</f>
        <v>käänteismatriisi</v>
      </c>
      <c r="B410" s="2" t="str">
        <f>IFERROR(__xludf.DUMMYFUNCTION("""COMPUTED_VALUE"""),"inverse matrix")</f>
        <v>inverse matrix</v>
      </c>
      <c r="C410" s="2" t="str">
        <f>IFERROR(__xludf.DUMMYFUNCTION("""COMPUTED_VALUE"""),"inversmatris, reciprok")</f>
        <v>inversmatris, reciprok</v>
      </c>
      <c r="D410" s="5"/>
      <c r="E410" s="5"/>
      <c r="F410" s="11"/>
      <c r="G410" s="11"/>
    </row>
    <row r="411">
      <c r="A411" s="2" t="str">
        <f>IFERROR(__xludf.DUMMYFUNCTION("""COMPUTED_VALUE"""),"käänteismuunnos")</f>
        <v>käänteismuunnos</v>
      </c>
      <c r="B411" s="2" t="str">
        <f>IFERROR(__xludf.DUMMYFUNCTION("""COMPUTED_VALUE"""),"invertion")</f>
        <v>invertion</v>
      </c>
      <c r="C411" s="2" t="str">
        <f>IFERROR(__xludf.DUMMYFUNCTION("""COMPUTED_VALUE"""),"inversion")</f>
        <v>inversion</v>
      </c>
      <c r="D411" s="5"/>
      <c r="E411" s="5"/>
      <c r="F411" s="11"/>
      <c r="G411" s="11"/>
    </row>
    <row r="412">
      <c r="A412" s="2" t="str">
        <f>IFERROR(__xludf.DUMMYFUNCTION("""COMPUTED_VALUE"""),"kääntyvä, säännöllinen")</f>
        <v>kääntyvä, säännöllinen</v>
      </c>
      <c r="B412" s="2" t="str">
        <f>IFERROR(__xludf.DUMMYFUNCTION("""COMPUTED_VALUE"""),"invertible")</f>
        <v>invertible</v>
      </c>
      <c r="C412" s="2" t="str">
        <f>IFERROR(__xludf.DUMMYFUNCTION("""COMPUTED_VALUE"""),"inverterbar")</f>
        <v>inverterbar</v>
      </c>
      <c r="D412" s="5"/>
      <c r="E412" s="5"/>
      <c r="F412" s="11"/>
      <c r="G412" s="11"/>
    </row>
    <row r="413">
      <c r="A413" s="2" t="str">
        <f>IFERROR(__xludf.DUMMYFUNCTION("""COMPUTED_VALUE"""),"laajennettu")</f>
        <v>laajennettu</v>
      </c>
      <c r="B413" s="2" t="str">
        <f>IFERROR(__xludf.DUMMYFUNCTION("""COMPUTED_VALUE"""),"extended")</f>
        <v>extended</v>
      </c>
      <c r="C413" s="2" t="str">
        <f>IFERROR(__xludf.DUMMYFUNCTION("""COMPUTED_VALUE"""),"utvidgad")</f>
        <v>utvidgad</v>
      </c>
      <c r="D413" s="5"/>
      <c r="E413" s="5"/>
      <c r="F413" s="11"/>
      <c r="G413" s="11"/>
    </row>
    <row r="414">
      <c r="A414" s="2" t="str">
        <f>IFERROR(__xludf.DUMMYFUNCTION("""COMPUTED_VALUE"""),"laajennus, jatke")</f>
        <v>laajennus, jatke</v>
      </c>
      <c r="B414" s="2" t="str">
        <f>IFERROR(__xludf.DUMMYFUNCTION("""COMPUTED_VALUE"""),"extension")</f>
        <v>extension</v>
      </c>
      <c r="C414" s="2" t="str">
        <f>IFERROR(__xludf.DUMMYFUNCTION("""COMPUTED_VALUE"""),"-")</f>
        <v>-</v>
      </c>
      <c r="D414" s="5"/>
      <c r="E414" s="5"/>
      <c r="F414" s="11"/>
      <c r="G414" s="11"/>
    </row>
    <row r="415">
      <c r="A415" s="2" t="str">
        <f>IFERROR(__xludf.DUMMYFUNCTION("""COMPUTED_VALUE"""),"laajentaa, laventaa; kehittää (esim. kehittää funktio sarjaksi)")</f>
        <v>laajentaa, laventaa; kehittää (esim. kehittää funktio sarjaksi)</v>
      </c>
      <c r="B415" s="2" t="str">
        <f>IFERROR(__xludf.DUMMYFUNCTION("""COMPUTED_VALUE"""),"expand")</f>
        <v>expand</v>
      </c>
      <c r="C415" s="2" t="str">
        <f>IFERROR(__xludf.DUMMYFUNCTION("""COMPUTED_VALUE"""),"utveckla, expandera")</f>
        <v>utveckla, expandera</v>
      </c>
      <c r="D415" s="5"/>
      <c r="E415" s="5"/>
      <c r="F415" s="11"/>
      <c r="G415" s="11"/>
    </row>
    <row r="416">
      <c r="A416" s="2" t="str">
        <f>IFERROR(__xludf.DUMMYFUNCTION("""COMPUTED_VALUE"""),"Lagrangen jäännöstermi (Taylorin polynomin)")</f>
        <v>Lagrangen jäännöstermi (Taylorin polynomin)</v>
      </c>
      <c r="B416" s="2" t="str">
        <f>IFERROR(__xludf.DUMMYFUNCTION("""COMPUTED_VALUE"""),"Lagrange remainder")</f>
        <v>Lagrange remainder</v>
      </c>
      <c r="C416" s="2" t="str">
        <f>IFERROR(__xludf.DUMMYFUNCTION("""COMPUTED_VALUE"""),"Lagranges restterm")</f>
        <v>Lagranges restterm</v>
      </c>
      <c r="D416" s="5"/>
      <c r="E416" s="5"/>
      <c r="F416" s="11"/>
      <c r="G416" s="11"/>
    </row>
    <row r="417">
      <c r="A417" s="2" t="str">
        <f>IFERROR(__xludf.DUMMYFUNCTION("""COMPUTED_VALUE"""),"Lagrangen kertoimet")</f>
        <v>Lagrangen kertoimet</v>
      </c>
      <c r="B417" s="2" t="str">
        <f>IFERROR(__xludf.DUMMYFUNCTION("""COMPUTED_VALUE"""),"Lagrange multipliers")</f>
        <v>Lagrange multipliers</v>
      </c>
      <c r="C417" s="2" t="str">
        <f>IFERROR(__xludf.DUMMYFUNCTION("""COMPUTED_VALUE"""),"Lagranges koefficienter")</f>
        <v>Lagranges koefficienter</v>
      </c>
      <c r="D417" s="5"/>
      <c r="E417" s="5"/>
      <c r="F417" s="11"/>
      <c r="G417" s="11"/>
    </row>
    <row r="418">
      <c r="A418" s="2" t="str">
        <f>IFERROR(__xludf.DUMMYFUNCTION("""COMPUTED_VALUE"""),"laiha joukko")</f>
        <v>laiha joukko</v>
      </c>
      <c r="B418" s="2" t="str">
        <f>IFERROR(__xludf.DUMMYFUNCTION("""COMPUTED_VALUE"""),"meager set, set of first category")</f>
        <v>meager set, set of first category</v>
      </c>
      <c r="C418" s="2" t="str">
        <f>IFERROR(__xludf.DUMMYFUNCTION("""COMPUTED_VALUE"""),"-")</f>
        <v>-</v>
      </c>
      <c r="D418" s="5"/>
      <c r="E418" s="5"/>
      <c r="F418" s="11"/>
      <c r="G418" s="11"/>
    </row>
    <row r="419">
      <c r="A419" s="2" t="str">
        <f>IFERROR(__xludf.DUMMYFUNCTION("""COMPUTED_VALUE"""),"laiha joukko")</f>
        <v>laiha joukko</v>
      </c>
      <c r="B419" s="2" t="str">
        <f>IFERROR(__xludf.DUMMYFUNCTION("""COMPUTED_VALUE"""),"set of first category, meager set")</f>
        <v>set of first category, meager set</v>
      </c>
      <c r="C419" s="2" t="str">
        <f>IFERROR(__xludf.DUMMYFUNCTION("""COMPUTED_VALUE"""),"-")</f>
        <v>-</v>
      </c>
      <c r="D419" s="5"/>
      <c r="E419" s="5"/>
      <c r="F419" s="11"/>
      <c r="G419" s="11"/>
    </row>
    <row r="420">
      <c r="A420" s="2" t="str">
        <f>IFERROR(__xludf.DUMMYFUNCTION("""COMPUTED_VALUE"""),"Laplace-muunnos (""laplas"")")</f>
        <v>Laplace-muunnos ("laplas")</v>
      </c>
      <c r="B420" s="2" t="str">
        <f>IFERROR(__xludf.DUMMYFUNCTION("""COMPUTED_VALUE"""),"Laplace transform")</f>
        <v>Laplace transform</v>
      </c>
      <c r="C420" s="2" t="str">
        <f>IFERROR(__xludf.DUMMYFUNCTION("""COMPUTED_VALUE"""),"Laplacetransformation")</f>
        <v>Laplacetransformation</v>
      </c>
      <c r="D420" s="5"/>
      <c r="E420" s="5"/>
      <c r="F420" s="11"/>
      <c r="G420" s="11"/>
    </row>
    <row r="421">
      <c r="A421" s="2" t="str">
        <f>IFERROR(__xludf.DUMMYFUNCTION("""COMPUTED_VALUE"""),"laskea, kalkyloida")</f>
        <v>laskea, kalkyloida</v>
      </c>
      <c r="B421" s="2" t="str">
        <f>IFERROR(__xludf.DUMMYFUNCTION("""COMPUTED_VALUE"""),"calculate")</f>
        <v>calculate</v>
      </c>
      <c r="C421" s="2" t="str">
        <f>IFERROR(__xludf.DUMMYFUNCTION("""COMPUTED_VALUE"""),"beräkna, kalkylera")</f>
        <v>beräkna, kalkylera</v>
      </c>
      <c r="D421" s="5"/>
      <c r="E421" s="5"/>
      <c r="F421" s="11"/>
      <c r="G421" s="11"/>
    </row>
    <row r="422">
      <c r="A422" s="2" t="str">
        <f>IFERROR(__xludf.DUMMYFUNCTION("""COMPUTED_VALUE"""),"laskeminen; arviointi, evaluaatio")</f>
        <v>laskeminen; arviointi, evaluaatio</v>
      </c>
      <c r="B422" s="2" t="str">
        <f>IFERROR(__xludf.DUMMYFUNCTION("""COMPUTED_VALUE"""),"evaluation")</f>
        <v>evaluation</v>
      </c>
      <c r="C422" s="2" t="str">
        <f>IFERROR(__xludf.DUMMYFUNCTION("""COMPUTED_VALUE"""),"beräkning")</f>
        <v>beräkning</v>
      </c>
      <c r="D422" s="5"/>
      <c r="E422" s="5"/>
      <c r="F422" s="11"/>
      <c r="G422" s="11"/>
    </row>
    <row r="423">
      <c r="A423" s="2" t="str">
        <f>IFERROR(__xludf.DUMMYFUNCTION("""COMPUTED_VALUE"""),"lause, teoreema")</f>
        <v>lause, teoreema</v>
      </c>
      <c r="B423" s="2" t="str">
        <f>IFERROR(__xludf.DUMMYFUNCTION("""COMPUTED_VALUE"""),"theorem")</f>
        <v>theorem</v>
      </c>
      <c r="C423" s="2" t="str">
        <f>IFERROR(__xludf.DUMMYFUNCTION("""COMPUTED_VALUE"""),"teorem")</f>
        <v>teorem</v>
      </c>
      <c r="D423" s="5"/>
      <c r="E423" s="5"/>
      <c r="F423" s="11"/>
      <c r="G423" s="11"/>
    </row>
    <row r="424">
      <c r="A424" s="2" t="str">
        <f>IFERROR(__xludf.DUMMYFUNCTION("""COMPUTED_VALUE"""),"lauseke")</f>
        <v>lauseke</v>
      </c>
      <c r="B424" s="2" t="str">
        <f>IFERROR(__xludf.DUMMYFUNCTION("""COMPUTED_VALUE"""),"expression")</f>
        <v>expression</v>
      </c>
      <c r="C424" s="2" t="str">
        <f>IFERROR(__xludf.DUMMYFUNCTION("""COMPUTED_VALUE"""),"uttryck")</f>
        <v>uttryck</v>
      </c>
      <c r="D424" s="5"/>
      <c r="E424" s="5"/>
      <c r="F424" s="11"/>
      <c r="G424" s="11"/>
    </row>
    <row r="425">
      <c r="A425" s="2" t="str">
        <f>IFERROR(__xludf.DUMMYFUNCTION("""COMPUTED_VALUE"""),"Lebesguen mitta")</f>
        <v>Lebesguen mitta</v>
      </c>
      <c r="B425" s="2" t="str">
        <f>IFERROR(__xludf.DUMMYFUNCTION("""COMPUTED_VALUE"""),"Lebesgue measure (""le'beg"")")</f>
        <v>Lebesgue measure ("le'beg")</v>
      </c>
      <c r="C425" s="2" t="str">
        <f>IFERROR(__xludf.DUMMYFUNCTION("""COMPUTED_VALUE"""),"Lebesgue-mått")</f>
        <v>Lebesgue-mått</v>
      </c>
      <c r="D425" s="5"/>
      <c r="E425" s="5"/>
      <c r="F425" s="11"/>
      <c r="G425" s="11"/>
    </row>
    <row r="426">
      <c r="A426" s="2" t="str">
        <f>IFERROR(__xludf.DUMMYFUNCTION("""COMPUTED_VALUE"""),"leikkaus")</f>
        <v>leikkaus</v>
      </c>
      <c r="B426" s="2" t="str">
        <f>IFERROR(__xludf.DUMMYFUNCTION("""COMPUTED_VALUE"""),"intersection")</f>
        <v>intersection</v>
      </c>
      <c r="C426" s="2" t="str">
        <f>IFERROR(__xludf.DUMMYFUNCTION("""COMPUTED_VALUE"""),"snitt")</f>
        <v>snitt</v>
      </c>
      <c r="D426" s="5"/>
      <c r="E426" s="5"/>
      <c r="F426" s="11"/>
      <c r="G426" s="11"/>
    </row>
    <row r="427">
      <c r="A427" s="2" t="str">
        <f>IFERROR(__xludf.DUMMYFUNCTION("""COMPUTED_VALUE"""),"lemma, apulause")</f>
        <v>lemma, apulause</v>
      </c>
      <c r="B427" s="2" t="str">
        <f>IFERROR(__xludf.DUMMYFUNCTION("""COMPUTED_VALUE"""),"lemma")</f>
        <v>lemma</v>
      </c>
      <c r="C427" s="2" t="str">
        <f>IFERROR(__xludf.DUMMYFUNCTION("""COMPUTED_VALUE"""),"lemma, hjälpsats")</f>
        <v>lemma, hjälpsats</v>
      </c>
      <c r="D427" s="5"/>
      <c r="E427" s="5"/>
      <c r="F427" s="11"/>
      <c r="G427" s="11"/>
    </row>
    <row r="428">
      <c r="A428" s="2" t="str">
        <f>IFERROR(__xludf.DUMMYFUNCTION("""COMPUTED_VALUE"""),"lemniskaatta")</f>
        <v>lemniskaatta</v>
      </c>
      <c r="B428" s="2" t="str">
        <f>IFERROR(__xludf.DUMMYFUNCTION("""COMPUTED_VALUE"""),"lemniscate")</f>
        <v>lemniscate</v>
      </c>
      <c r="C428" s="2" t="str">
        <f>IFERROR(__xludf.DUMMYFUNCTION("""COMPUTED_VALUE"""),"lemniskata")</f>
        <v>lemniskata</v>
      </c>
      <c r="D428" s="5"/>
      <c r="E428" s="5"/>
      <c r="F428" s="11"/>
      <c r="G428" s="11"/>
    </row>
    <row r="429">
      <c r="A429" s="2" t="str">
        <f>IFERROR(__xludf.DUMMYFUNCTION("""COMPUTED_VALUE"""),"lieriö")</f>
        <v>lieriö</v>
      </c>
      <c r="B429" s="2" t="str">
        <f>IFERROR(__xludf.DUMMYFUNCTION("""COMPUTED_VALUE"""),"cylinder")</f>
        <v>cylinder</v>
      </c>
      <c r="C429" s="2" t="str">
        <f>IFERROR(__xludf.DUMMYFUNCTION("""COMPUTED_VALUE"""),"cylinder")</f>
        <v>cylinder</v>
      </c>
      <c r="D429" s="5"/>
      <c r="E429" s="5"/>
      <c r="F429" s="11"/>
      <c r="G429" s="11"/>
    </row>
    <row r="430">
      <c r="A430" s="2" t="str">
        <f>IFERROR(__xludf.DUMMYFUNCTION("""COMPUTED_VALUE"""),"liite")</f>
        <v>liite</v>
      </c>
      <c r="B430" s="2" t="str">
        <f>IFERROR(__xludf.DUMMYFUNCTION("""COMPUTED_VALUE"""),"appendix")</f>
        <v>appendix</v>
      </c>
      <c r="C430" s="2" t="str">
        <f>IFERROR(__xludf.DUMMYFUNCTION("""COMPUTED_VALUE"""),"bilaga, bihang")</f>
        <v>bilaga, bihang</v>
      </c>
      <c r="D430" s="5"/>
      <c r="E430" s="5"/>
      <c r="F430" s="11"/>
      <c r="G430" s="11"/>
    </row>
    <row r="431">
      <c r="A431" s="2" t="str">
        <f>IFERROR(__xludf.DUMMYFUNCTION("""COMPUTED_VALUE"""),"liitin")</f>
        <v>liitin</v>
      </c>
      <c r="B431" s="2" t="str">
        <f>IFERROR(__xludf.DUMMYFUNCTION("""COMPUTED_VALUE"""),"crosscut")</f>
        <v>crosscut</v>
      </c>
      <c r="C431" s="2" t="str">
        <f>IFERROR(__xludf.DUMMYFUNCTION("""COMPUTED_VALUE"""),"-")</f>
        <v>-</v>
      </c>
      <c r="D431" s="5"/>
      <c r="E431" s="5"/>
      <c r="F431" s="11"/>
      <c r="G431" s="11"/>
    </row>
    <row r="432">
      <c r="A432" s="2" t="str">
        <f>IFERROR(__xludf.DUMMYFUNCTION("""COMPUTED_VALUE"""),"liitto")</f>
        <v>liitto</v>
      </c>
      <c r="B432" s="2" t="str">
        <f>IFERROR(__xludf.DUMMYFUNCTION("""COMPUTED_VALUE"""),"join")</f>
        <v>join</v>
      </c>
      <c r="C432" s="2" t="str">
        <f>IFERROR(__xludf.DUMMYFUNCTION("""COMPUTED_VALUE"""),"sammanbinda, sammanbindning")</f>
        <v>sammanbinda, sammanbindning</v>
      </c>
      <c r="D432" s="5"/>
      <c r="E432" s="5"/>
      <c r="F432" s="11"/>
      <c r="G432" s="11"/>
    </row>
    <row r="433">
      <c r="A433" s="2" t="str">
        <f>IFERROR(__xludf.DUMMYFUNCTION("""COMPUTED_VALUE"""),"liittogradienttimenetelmä")</f>
        <v>liittogradienttimenetelmä</v>
      </c>
      <c r="B433" s="2" t="str">
        <f>IFERROR(__xludf.DUMMYFUNCTION("""COMPUTED_VALUE"""),"conjugate gradients")</f>
        <v>conjugate gradients</v>
      </c>
      <c r="C433" s="2" t="str">
        <f>IFERROR(__xludf.DUMMYFUNCTION("""COMPUTED_VALUE"""),"konjugerade gradientmetoden")</f>
        <v>konjugerade gradientmetoden</v>
      </c>
      <c r="D433" s="5"/>
      <c r="E433" s="5"/>
      <c r="F433" s="11"/>
      <c r="G433" s="11"/>
    </row>
    <row r="434">
      <c r="A434" s="2" t="str">
        <f>IFERROR(__xludf.DUMMYFUNCTION("""COMPUTED_VALUE"""),"liittoluku")</f>
        <v>liittoluku</v>
      </c>
      <c r="B434" s="2" t="str">
        <f>IFERROR(__xludf.DUMMYFUNCTION("""COMPUTED_VALUE"""),"conjugate, complex conjugate")</f>
        <v>conjugate, complex conjugate</v>
      </c>
      <c r="C434" s="2" t="str">
        <f>IFERROR(__xludf.DUMMYFUNCTION("""COMPUTED_VALUE"""),"komplext konjugat(tal)")</f>
        <v>komplext konjugat(tal)</v>
      </c>
      <c r="D434" s="5"/>
      <c r="E434" s="5"/>
      <c r="F434" s="11"/>
      <c r="G434" s="11"/>
    </row>
    <row r="435">
      <c r="A435" s="2" t="str">
        <f>IFERROR(__xludf.DUMMYFUNCTION("""COMPUTED_VALUE"""),"liittoluku (kompleksiluvun); konjugaatti (operaattorin)")</f>
        <v>liittoluku (kompleksiluvun); konjugaatti (operaattorin)</v>
      </c>
      <c r="B435" s="2" t="str">
        <f>IFERROR(__xludf.DUMMYFUNCTION("""COMPUTED_VALUE"""),"conjugate")</f>
        <v>conjugate</v>
      </c>
      <c r="C435" s="2" t="str">
        <f>IFERROR(__xludf.DUMMYFUNCTION("""COMPUTED_VALUE"""),"-")</f>
        <v>-</v>
      </c>
      <c r="D435" s="5"/>
      <c r="E435" s="5"/>
      <c r="F435" s="11"/>
      <c r="G435" s="11"/>
    </row>
    <row r="436">
      <c r="A436" s="2" t="str">
        <f>IFERROR(__xludf.DUMMYFUNCTION("""COMPUTED_VALUE"""),"liittolukupari")</f>
        <v>liittolukupari</v>
      </c>
      <c r="B436" s="2" t="str">
        <f>IFERROR(__xludf.DUMMYFUNCTION("""COMPUTED_VALUE"""),"conjugate pair")</f>
        <v>conjugate pair</v>
      </c>
      <c r="C436" s="2" t="str">
        <f>IFERROR(__xludf.DUMMYFUNCTION("""COMPUTED_VALUE"""),"konjugatpar")</f>
        <v>konjugatpar</v>
      </c>
      <c r="D436" s="5"/>
      <c r="E436" s="5"/>
      <c r="F436" s="11"/>
      <c r="G436" s="11"/>
    </row>
    <row r="437">
      <c r="A437" s="2" t="str">
        <f>IFERROR(__xludf.DUMMYFUNCTION("""COMPUTED_VALUE"""),"liittotekijä (ei vakiintunut termi?)")</f>
        <v>liittotekijä (ei vakiintunut termi?)</v>
      </c>
      <c r="B437" s="2" t="str">
        <f>IFERROR(__xludf.DUMMYFUNCTION("""COMPUTED_VALUE"""),"cofactor")</f>
        <v>cofactor</v>
      </c>
      <c r="C437" s="2" t="str">
        <f>IFERROR(__xludf.DUMMYFUNCTION("""COMPUTED_VALUE"""),"kofaktor, algebraiska komplementet")</f>
        <v>kofaktor, algebraiska komplementet</v>
      </c>
      <c r="D437" s="5"/>
      <c r="E437" s="5"/>
      <c r="F437" s="11"/>
      <c r="G437" s="11"/>
    </row>
    <row r="438">
      <c r="A438" s="2" t="str">
        <f>IFERROR(__xludf.DUMMYFUNCTION("""COMPUTED_VALUE"""),"liittyvä; liitännäinen, liitännäis-")</f>
        <v>liittyvä; liitännäinen, liitännäis-</v>
      </c>
      <c r="B438" s="2" t="str">
        <f>IFERROR(__xludf.DUMMYFUNCTION("""COMPUTED_VALUE"""),"associated")</f>
        <v>associated</v>
      </c>
      <c r="C438" s="2" t="str">
        <f>IFERROR(__xludf.DUMMYFUNCTION("""COMPUTED_VALUE"""),"associerad")</f>
        <v>associerad</v>
      </c>
      <c r="D438" s="5"/>
      <c r="E438" s="5"/>
      <c r="F438" s="11"/>
      <c r="G438" s="11"/>
    </row>
    <row r="439">
      <c r="A439" s="2" t="str">
        <f>IFERROR(__xludf.DUMMYFUNCTION("""COMPUTED_VALUE"""),"liitännäisyys, assosiatiivisuus")</f>
        <v>liitännäisyys, assosiatiivisuus</v>
      </c>
      <c r="B439" s="2" t="str">
        <f>IFERROR(__xludf.DUMMYFUNCTION("""COMPUTED_VALUE"""),"associative law, associativity")</f>
        <v>associative law, associativity</v>
      </c>
      <c r="C439" s="2" t="str">
        <f>IFERROR(__xludf.DUMMYFUNCTION("""COMPUTED_VALUE"""),"associativitet")</f>
        <v>associativitet</v>
      </c>
      <c r="D439" s="5"/>
      <c r="E439" s="5"/>
      <c r="F439" s="11"/>
      <c r="G439" s="11"/>
    </row>
    <row r="440">
      <c r="A440" s="2" t="str">
        <f>IFERROR(__xludf.DUMMYFUNCTION("""COMPUTED_VALUE"""),"lineaarialgebra")</f>
        <v>lineaarialgebra</v>
      </c>
      <c r="B440" s="2" t="str">
        <f>IFERROR(__xludf.DUMMYFUNCTION("""COMPUTED_VALUE"""),"linear algebra")</f>
        <v>linear algebra</v>
      </c>
      <c r="C440" s="2" t="str">
        <f>IFERROR(__xludf.DUMMYFUNCTION("""COMPUTED_VALUE"""),"linjäralgebra")</f>
        <v>linjäralgebra</v>
      </c>
      <c r="D440" s="5"/>
      <c r="E440" s="5"/>
      <c r="F440" s="11"/>
      <c r="G440" s="11"/>
    </row>
    <row r="441">
      <c r="A441" s="2" t="str">
        <f>IFERROR(__xludf.DUMMYFUNCTION("""COMPUTED_VALUE"""),"lineaarikombinaatio, lineaariyhdistely, lineaariyhdistelmä, lineaariyhdelmä")</f>
        <v>lineaarikombinaatio, lineaariyhdistely, lineaariyhdistelmä, lineaariyhdelmä</v>
      </c>
      <c r="B441" s="2" t="str">
        <f>IFERROR(__xludf.DUMMYFUNCTION("""COMPUTED_VALUE"""),"linear combination")</f>
        <v>linear combination</v>
      </c>
      <c r="C441" s="2" t="str">
        <f>IFERROR(__xludf.DUMMYFUNCTION("""COMPUTED_VALUE"""),"linjärkombination")</f>
        <v>linjärkombination</v>
      </c>
      <c r="D441" s="5"/>
      <c r="E441" s="5"/>
      <c r="F441" s="11"/>
      <c r="G441" s="11"/>
    </row>
    <row r="442">
      <c r="A442" s="2" t="str">
        <f>IFERROR(__xludf.DUMMYFUNCTION("""COMPUTED_VALUE"""),"lineaarikuvaus, lineaarimuunnos")</f>
        <v>lineaarikuvaus, lineaarimuunnos</v>
      </c>
      <c r="B442" s="2" t="str">
        <f>IFERROR(__xludf.DUMMYFUNCTION("""COMPUTED_VALUE"""),"linear transformation")</f>
        <v>linear transformation</v>
      </c>
      <c r="C442" s="2" t="str">
        <f>IFERROR(__xludf.DUMMYFUNCTION("""COMPUTED_VALUE"""),"linjär transformation")</f>
        <v>linjär transformation</v>
      </c>
      <c r="D442" s="5"/>
      <c r="E442" s="5"/>
      <c r="F442" s="11"/>
      <c r="G442" s="11"/>
    </row>
    <row r="443">
      <c r="A443" s="2" t="str">
        <f>IFERROR(__xludf.DUMMYFUNCTION("""COMPUTED_VALUE"""),"lineaarinen ohjelmointi")</f>
        <v>lineaarinen ohjelmointi</v>
      </c>
      <c r="B443" s="2" t="str">
        <f>IFERROR(__xludf.DUMMYFUNCTION("""COMPUTED_VALUE"""),"linear programming")</f>
        <v>linear programming</v>
      </c>
      <c r="C443" s="2" t="str">
        <f>IFERROR(__xludf.DUMMYFUNCTION("""COMPUTED_VALUE"""),"-")</f>
        <v>-</v>
      </c>
      <c r="D443" s="5"/>
      <c r="E443" s="5"/>
      <c r="F443" s="11"/>
      <c r="G443" s="11"/>
    </row>
    <row r="444">
      <c r="A444" s="2" t="str">
        <f>IFERROR(__xludf.DUMMYFUNCTION("""COMPUTED_VALUE"""),"lineaarisesti riippumaton")</f>
        <v>lineaarisesti riippumaton</v>
      </c>
      <c r="B444" s="2" t="str">
        <f>IFERROR(__xludf.DUMMYFUNCTION("""COMPUTED_VALUE"""),"linearly independent")</f>
        <v>linearly independent</v>
      </c>
      <c r="C444" s="2" t="str">
        <f>IFERROR(__xludf.DUMMYFUNCTION("""COMPUTED_VALUE"""),"linjärt oberoende")</f>
        <v>linjärt oberoende</v>
      </c>
      <c r="D444" s="5"/>
      <c r="E444" s="5"/>
      <c r="F444" s="11"/>
      <c r="G444" s="11"/>
    </row>
    <row r="445">
      <c r="A445" s="2" t="str">
        <f>IFERROR(__xludf.DUMMYFUNCTION("""COMPUTED_VALUE"""),"linkki")</f>
        <v>linkki</v>
      </c>
      <c r="B445" s="2" t="str">
        <f>IFERROR(__xludf.DUMMYFUNCTION("""COMPUTED_VALUE"""),"link")</f>
        <v>link</v>
      </c>
      <c r="C445" s="2" t="str">
        <f>IFERROR(__xludf.DUMMYFUNCTION("""COMPUTED_VALUE"""),"länk")</f>
        <v>länk</v>
      </c>
      <c r="D445" s="5"/>
      <c r="E445" s="5"/>
      <c r="F445" s="11"/>
      <c r="G445" s="11"/>
    </row>
    <row r="446">
      <c r="A446" s="2" t="str">
        <f>IFERROR(__xludf.DUMMYFUNCTION("""COMPUTED_VALUE"""),"logaritmi")</f>
        <v>logaritmi</v>
      </c>
      <c r="B446" s="2" t="str">
        <f>IFERROR(__xludf.DUMMYFUNCTION("""COMPUTED_VALUE"""),"logarithm")</f>
        <v>logarithm</v>
      </c>
      <c r="C446" s="2" t="str">
        <f>IFERROR(__xludf.DUMMYFUNCTION("""COMPUTED_VALUE"""),"logaritm")</f>
        <v>logaritm</v>
      </c>
      <c r="D446" s="5"/>
      <c r="E446" s="5"/>
      <c r="F446" s="11"/>
      <c r="G446" s="11"/>
    </row>
    <row r="447">
      <c r="A447" s="2" t="str">
        <f>IFERROR(__xludf.DUMMYFUNCTION("""COMPUTED_VALUE"""),"lohkomatriisi, ositettu matriisi")</f>
        <v>lohkomatriisi, ositettu matriisi</v>
      </c>
      <c r="B447" s="2" t="str">
        <f>IFERROR(__xludf.DUMMYFUNCTION("""COMPUTED_VALUE"""),"block matrix")</f>
        <v>block matrix</v>
      </c>
      <c r="C447" s="2" t="str">
        <f>IFERROR(__xludf.DUMMYFUNCTION("""COMPUTED_VALUE"""),"blockmatris")</f>
        <v>blockmatris</v>
      </c>
      <c r="D447" s="5"/>
      <c r="E447" s="5"/>
      <c r="F447" s="11"/>
      <c r="G447" s="11"/>
    </row>
    <row r="448">
      <c r="A448" s="2" t="str">
        <f>IFERROR(__xludf.DUMMYFUNCTION("""COMPUTED_VALUE"""),"lokaali, paikallinen")</f>
        <v>lokaali, paikallinen</v>
      </c>
      <c r="B448" s="2" t="str">
        <f>IFERROR(__xludf.DUMMYFUNCTION("""COMPUTED_VALUE"""),"local")</f>
        <v>local</v>
      </c>
      <c r="C448" s="2" t="str">
        <f>IFERROR(__xludf.DUMMYFUNCTION("""COMPUTED_VALUE"""),"lokal")</f>
        <v>lokal</v>
      </c>
      <c r="D448" s="5"/>
      <c r="E448" s="5"/>
      <c r="F448" s="11"/>
      <c r="G448" s="11"/>
    </row>
    <row r="449">
      <c r="A449" s="2" t="str">
        <f>IFERROR(__xludf.DUMMYFUNCTION("""COMPUTED_VALUE"""),"lokaalisti integroituva")</f>
        <v>lokaalisti integroituva</v>
      </c>
      <c r="B449" s="2" t="str">
        <f>IFERROR(__xludf.DUMMYFUNCTION("""COMPUTED_VALUE"""),"locally integrable")</f>
        <v>locally integrable</v>
      </c>
      <c r="C449" s="2" t="str">
        <f>IFERROR(__xludf.DUMMYFUNCTION("""COMPUTED_VALUE"""),"lokalt integrerbar")</f>
        <v>lokalt integrerbar</v>
      </c>
      <c r="D449" s="5"/>
      <c r="E449" s="5"/>
      <c r="F449" s="11"/>
      <c r="G449" s="11"/>
    </row>
    <row r="450">
      <c r="A450" s="2" t="str">
        <f>IFERROR(__xludf.DUMMYFUNCTION("""COMPUTED_VALUE"""),"lokaalisti kompakti")</f>
        <v>lokaalisti kompakti</v>
      </c>
      <c r="B450" s="2" t="str">
        <f>IFERROR(__xludf.DUMMYFUNCTION("""COMPUTED_VALUE"""),"locally compact")</f>
        <v>locally compact</v>
      </c>
      <c r="C450" s="2" t="str">
        <f>IFERROR(__xludf.DUMMYFUNCTION("""COMPUTED_VALUE"""),"-")</f>
        <v>-</v>
      </c>
      <c r="D450" s="5"/>
      <c r="E450" s="5"/>
      <c r="F450" s="11"/>
      <c r="G450" s="11"/>
    </row>
    <row r="451">
      <c r="A451" s="2" t="str">
        <f>IFERROR(__xludf.DUMMYFUNCTION("""COMPUTED_VALUE"""),"lokaalisti äärellinen")</f>
        <v>lokaalisti äärellinen</v>
      </c>
      <c r="B451" s="2" t="str">
        <f>IFERROR(__xludf.DUMMYFUNCTION("""COMPUTED_VALUE"""),"locally finite")</f>
        <v>locally finite</v>
      </c>
      <c r="C451" s="2" t="str">
        <f>IFERROR(__xludf.DUMMYFUNCTION("""COMPUTED_VALUE"""),"lokalt ändlig, lokalt begränsad")</f>
        <v>lokalt ändlig, lokalt begränsad</v>
      </c>
      <c r="D451" s="5"/>
      <c r="E451" s="5"/>
      <c r="F451" s="11"/>
      <c r="G451" s="11"/>
    </row>
    <row r="452">
      <c r="A452" s="2" t="str">
        <f>IFERROR(__xludf.DUMMYFUNCTION("""COMPUTED_VALUE"""),"luhistus")</f>
        <v>luhistus</v>
      </c>
      <c r="B452" s="2" t="str">
        <f>IFERROR(__xludf.DUMMYFUNCTION("""COMPUTED_VALUE"""),"collapse")</f>
        <v>collapse</v>
      </c>
      <c r="C452" s="2" t="str">
        <f>IFERROR(__xludf.DUMMYFUNCTION("""COMPUTED_VALUE"""),"kollaps")</f>
        <v>kollaps</v>
      </c>
      <c r="D452" s="5"/>
      <c r="E452" s="5"/>
      <c r="F452" s="11"/>
      <c r="G452" s="11"/>
    </row>
    <row r="453">
      <c r="A453" s="2" t="str">
        <f>IFERROR(__xludf.DUMMYFUNCTION("""COMPUTED_VALUE"""),"luku")</f>
        <v>luku</v>
      </c>
      <c r="B453" s="2" t="str">
        <f>IFERROR(__xludf.DUMMYFUNCTION("""COMPUTED_VALUE"""),"chapter")</f>
        <v>chapter</v>
      </c>
      <c r="C453" s="2" t="str">
        <f>IFERROR(__xludf.DUMMYFUNCTION("""COMPUTED_VALUE"""),"kapitel")</f>
        <v>kapitel</v>
      </c>
      <c r="D453" s="5"/>
      <c r="E453" s="5"/>
      <c r="F453" s="11"/>
      <c r="G453" s="11"/>
    </row>
    <row r="454">
      <c r="A454" s="2" t="str">
        <f>IFERROR(__xludf.DUMMYFUNCTION("""COMPUTED_VALUE"""),"luku; numero")</f>
        <v>luku; numero</v>
      </c>
      <c r="B454" s="2" t="str">
        <f>IFERROR(__xludf.DUMMYFUNCTION("""COMPUTED_VALUE"""),"number")</f>
        <v>number</v>
      </c>
      <c r="C454" s="2" t="str">
        <f>IFERROR(__xludf.DUMMYFUNCTION("""COMPUTED_VALUE"""),"tal, siffra")</f>
        <v>tal, siffra</v>
      </c>
      <c r="D454" s="5"/>
      <c r="E454" s="5"/>
      <c r="F454" s="11"/>
      <c r="G454" s="11"/>
    </row>
    <row r="455">
      <c r="A455" s="2" t="str">
        <f>IFERROR(__xludf.DUMMYFUNCTION("""COMPUTED_VALUE"""),"lukumäärämitta (ei vak.)")</f>
        <v>lukumäärämitta (ei vak.)</v>
      </c>
      <c r="B455" s="2" t="str">
        <f>IFERROR(__xludf.DUMMYFUNCTION("""COMPUTED_VALUE"""),"counting measure")</f>
        <v>counting measure</v>
      </c>
      <c r="C455" s="2" t="str">
        <f>IFERROR(__xludf.DUMMYFUNCTION("""COMPUTED_VALUE"""),"-")</f>
        <v>-</v>
      </c>
      <c r="D455" s="5"/>
      <c r="E455" s="5"/>
      <c r="F455" s="11"/>
      <c r="G455" s="11"/>
    </row>
    <row r="456">
      <c r="A456" s="2" t="str">
        <f>IFERROR(__xludf.DUMMYFUNCTION("""COMPUTED_VALUE"""),"lukuteoria")</f>
        <v>lukuteoria</v>
      </c>
      <c r="B456" s="2" t="str">
        <f>IFERROR(__xludf.DUMMYFUNCTION("""COMPUTED_VALUE"""),"number theory")</f>
        <v>number theory</v>
      </c>
      <c r="C456" s="2" t="str">
        <f>IFERROR(__xludf.DUMMYFUNCTION("""COMPUTED_VALUE"""),"talteori")</f>
        <v>talteori</v>
      </c>
      <c r="D456" s="5"/>
      <c r="E456" s="5"/>
      <c r="F456" s="11"/>
      <c r="G456" s="11"/>
    </row>
    <row r="457">
      <c r="A457" s="2" t="str">
        <f>IFERROR(__xludf.DUMMYFUNCTION("""COMPUTED_VALUE"""),"luonnollinen kanta")</f>
        <v>luonnollinen kanta</v>
      </c>
      <c r="B457" s="2" t="str">
        <f>IFERROR(__xludf.DUMMYFUNCTION("""COMPUTED_VALUE"""),"standard basis")</f>
        <v>standard basis</v>
      </c>
      <c r="C457" s="2" t="str">
        <f>IFERROR(__xludf.DUMMYFUNCTION("""COMPUTED_VALUE"""),"standardbas")</f>
        <v>standardbas</v>
      </c>
      <c r="D457" s="5"/>
      <c r="E457" s="5"/>
      <c r="F457" s="11"/>
      <c r="G457" s="11"/>
    </row>
    <row r="458">
      <c r="A458" s="2" t="str">
        <f>IFERROR(__xludf.DUMMYFUNCTION("""COMPUTED_VALUE"""),"luonnollinen logaritmi")</f>
        <v>luonnollinen logaritmi</v>
      </c>
      <c r="B458" s="2" t="str">
        <f>IFERROR(__xludf.DUMMYFUNCTION("""COMPUTED_VALUE"""),"natural logarithm")</f>
        <v>natural logarithm</v>
      </c>
      <c r="C458" s="2" t="str">
        <f>IFERROR(__xludf.DUMMYFUNCTION("""COMPUTED_VALUE"""),"naturlig logaritm")</f>
        <v>naturlig logaritm</v>
      </c>
      <c r="D458" s="5"/>
      <c r="E458" s="5"/>
      <c r="F458" s="11"/>
      <c r="G458" s="11"/>
    </row>
    <row r="459">
      <c r="A459" s="2" t="str">
        <f>IFERROR(__xludf.DUMMYFUNCTION("""COMPUTED_VALUE"""),"luonnollinen luku (yleensä 0,1,2,…; joskus 1,2,3,…)+B940")</f>
        <v>luonnollinen luku (yleensä 0,1,2,…; joskus 1,2,3,…)+B940</v>
      </c>
      <c r="B459" s="2" t="str">
        <f>IFERROR(__xludf.DUMMYFUNCTION("""COMPUTED_VALUE"""),"natural number")</f>
        <v>natural number</v>
      </c>
      <c r="C459" s="2" t="str">
        <f>IFERROR(__xludf.DUMMYFUNCTION("""COMPUTED_VALUE"""),"naturligt tal")</f>
        <v>naturligt tal</v>
      </c>
      <c r="D459" s="5"/>
      <c r="E459" s="5"/>
      <c r="F459" s="11"/>
      <c r="G459" s="11"/>
    </row>
    <row r="460">
      <c r="A460" s="2" t="str">
        <f>IFERROR(__xludf.DUMMYFUNCTION("""COMPUTED_VALUE"""),"lyhde")</f>
        <v>lyhde</v>
      </c>
      <c r="B460" s="2" t="str">
        <f>IFERROR(__xludf.DUMMYFUNCTION("""COMPUTED_VALUE"""),"sheaf")</f>
        <v>sheaf</v>
      </c>
      <c r="C460" s="2" t="str">
        <f>IFERROR(__xludf.DUMMYFUNCTION("""COMPUTED_VALUE"""),"-")</f>
        <v>-</v>
      </c>
      <c r="D460" s="5"/>
      <c r="E460" s="5"/>
      <c r="F460" s="11"/>
      <c r="G460" s="11"/>
    </row>
    <row r="461">
      <c r="A461" s="2" t="str">
        <f>IFERROR(__xludf.DUMMYFUNCTION("""COMPUTED_VALUE"""),"lähde")</f>
        <v>lähde</v>
      </c>
      <c r="B461" s="2" t="str">
        <f>IFERROR(__xludf.DUMMYFUNCTION("""COMPUTED_VALUE"""),"source")</f>
        <v>source</v>
      </c>
      <c r="C461" s="2" t="str">
        <f>IFERROR(__xludf.DUMMYFUNCTION("""COMPUTED_VALUE"""),"källa")</f>
        <v>källa</v>
      </c>
      <c r="D461" s="5"/>
      <c r="E461" s="5"/>
      <c r="F461" s="11"/>
      <c r="G461" s="11"/>
    </row>
    <row r="462">
      <c r="A462" s="2" t="str">
        <f>IFERROR(__xludf.DUMMYFUNCTION("""COMPUTED_VALUE"""),"lähteetön (div f eli nabla.f on 0)")</f>
        <v>lähteetön (div f eli nabla.f on 0)</v>
      </c>
      <c r="B462" s="2" t="str">
        <f>IFERROR(__xludf.DUMMYFUNCTION("""COMPUTED_VALUE"""),"incompressible (oik. puristumaton)")</f>
        <v>incompressible (oik. puristumaton)</v>
      </c>
      <c r="C462" s="2" t="str">
        <f>IFERROR(__xludf.DUMMYFUNCTION("""COMPUTED_VALUE"""),"källfri")</f>
        <v>källfri</v>
      </c>
      <c r="D462" s="5"/>
      <c r="E462" s="5"/>
      <c r="F462" s="11"/>
      <c r="G462" s="11"/>
    </row>
    <row r="463">
      <c r="A463" s="2" t="str">
        <f>IFERROR(__xludf.DUMMYFUNCTION("""COMPUTED_VALUE"""),"lähtö, ulostulo, output")</f>
        <v>lähtö, ulostulo, output</v>
      </c>
      <c r="B463" s="2" t="str">
        <f>IFERROR(__xludf.DUMMYFUNCTION("""COMPUTED_VALUE"""),"output")</f>
        <v>output</v>
      </c>
      <c r="C463" s="2" t="str">
        <f>IFERROR(__xludf.DUMMYFUNCTION("""COMPUTED_VALUE"""),"-")</f>
        <v>-</v>
      </c>
      <c r="D463" s="5"/>
      <c r="E463" s="5"/>
      <c r="F463" s="11"/>
      <c r="G463" s="11"/>
    </row>
    <row r="464">
      <c r="A464" s="2" t="str">
        <f>IFERROR(__xludf.DUMMYFUNCTION("""COMPUTED_VALUE"""),"lävistäjä, diagonaali")</f>
        <v>lävistäjä, diagonaali</v>
      </c>
      <c r="B464" s="2" t="str">
        <f>IFERROR(__xludf.DUMMYFUNCTION("""COMPUTED_VALUE"""),"diagonal")</f>
        <v>diagonal</v>
      </c>
      <c r="C464" s="2" t="str">
        <f>IFERROR(__xludf.DUMMYFUNCTION("""COMPUTED_VALUE"""),"diagonal")</f>
        <v>diagonal</v>
      </c>
      <c r="D464" s="5"/>
      <c r="E464" s="5"/>
      <c r="F464" s="11"/>
      <c r="G464" s="11"/>
    </row>
    <row r="465">
      <c r="A465" s="2" t="str">
        <f>IFERROR(__xludf.DUMMYFUNCTION("""COMPUTED_VALUE"""),"lävistäjämatriisi")</f>
        <v>lävistäjämatriisi</v>
      </c>
      <c r="B465" s="2" t="str">
        <f>IFERROR(__xludf.DUMMYFUNCTION("""COMPUTED_VALUE"""),"diagonal matrix")</f>
        <v>diagonal matrix</v>
      </c>
      <c r="C465" s="2" t="str">
        <f>IFERROR(__xludf.DUMMYFUNCTION("""COMPUTED_VALUE"""),"diagonalmatris")</f>
        <v>diagonalmatris</v>
      </c>
      <c r="D465" s="5"/>
      <c r="E465" s="5"/>
      <c r="F465" s="11"/>
      <c r="G465" s="11"/>
    </row>
    <row r="466">
      <c r="A466" s="2" t="str">
        <f>IFERROR(__xludf.DUMMYFUNCTION("""COMPUTED_VALUE"""),"maalijoukko, arvojoukko, kuvajoukko; kuva-avaruus")</f>
        <v>maalijoukko, arvojoukko, kuvajoukko; kuva-avaruus</v>
      </c>
      <c r="B466" s="2" t="str">
        <f>IFERROR(__xludf.DUMMYFUNCTION("""COMPUTED_VALUE"""),"range")</f>
        <v>range</v>
      </c>
      <c r="C466" s="2" t="str">
        <f>IFERROR(__xludf.DUMMYFUNCTION("""COMPUTED_VALUE"""),"räckvidd")</f>
        <v>räckvidd</v>
      </c>
      <c r="D466" s="5"/>
      <c r="E466" s="5"/>
      <c r="F466" s="11"/>
      <c r="G466" s="11"/>
    </row>
    <row r="467">
      <c r="A467" s="2" t="str">
        <f>IFERROR(__xludf.DUMMYFUNCTION("""COMPUTED_VALUE"""),"mahtavuus")</f>
        <v>mahtavuus</v>
      </c>
      <c r="B467" s="2" t="str">
        <f>IFERROR(__xludf.DUMMYFUNCTION("""COMPUTED_VALUE"""),"cardinality")</f>
        <v>cardinality</v>
      </c>
      <c r="C467" s="2" t="str">
        <f>IFERROR(__xludf.DUMMYFUNCTION("""COMPUTED_VALUE"""),"kardinalitet, mäktighet")</f>
        <v>kardinalitet, mäktighet</v>
      </c>
      <c r="D467" s="5"/>
      <c r="E467" s="5"/>
      <c r="F467" s="11"/>
      <c r="G467" s="11"/>
    </row>
    <row r="468">
      <c r="A468" s="2" t="str">
        <f>IFERROR(__xludf.DUMMYFUNCTION("""COMPUTED_VALUE"""),"maksimi")</f>
        <v>maksimi</v>
      </c>
      <c r="B468" s="2" t="str">
        <f>IFERROR(__xludf.DUMMYFUNCTION("""COMPUTED_VALUE"""),"maximum")</f>
        <v>maximum</v>
      </c>
      <c r="C468" s="2" t="str">
        <f>IFERROR(__xludf.DUMMYFUNCTION("""COMPUTED_VALUE"""),"maximum")</f>
        <v>maximum</v>
      </c>
      <c r="D468" s="5"/>
      <c r="E468" s="5"/>
      <c r="F468" s="11"/>
      <c r="G468" s="11"/>
    </row>
    <row r="469">
      <c r="A469" s="2" t="str">
        <f>IFERROR(__xludf.DUMMYFUNCTION("""COMPUTED_VALUE"""),"maksimifunktio")</f>
        <v>maksimifunktio</v>
      </c>
      <c r="B469" s="2" t="str">
        <f>IFERROR(__xludf.DUMMYFUNCTION("""COMPUTED_VALUE"""),"maximal function")</f>
        <v>maximal function</v>
      </c>
      <c r="C469" s="2" t="str">
        <f>IFERROR(__xludf.DUMMYFUNCTION("""COMPUTED_VALUE"""),"-")</f>
        <v>-</v>
      </c>
      <c r="D469" s="5"/>
      <c r="E469" s="5"/>
      <c r="F469" s="11"/>
      <c r="G469" s="11"/>
    </row>
    <row r="470">
      <c r="A470" s="2" t="str">
        <f>IFERROR(__xludf.DUMMYFUNCTION("""COMPUTED_VALUE"""),"maksimoida")</f>
        <v>maksimoida</v>
      </c>
      <c r="B470" s="2" t="str">
        <f>IFERROR(__xludf.DUMMYFUNCTION("""COMPUTED_VALUE"""),"maximize")</f>
        <v>maximize</v>
      </c>
      <c r="C470" s="2" t="str">
        <f>IFERROR(__xludf.DUMMYFUNCTION("""COMPUTED_VALUE"""),"maximera")</f>
        <v>maximera</v>
      </c>
      <c r="D470" s="5"/>
      <c r="E470" s="5"/>
      <c r="F470" s="11"/>
      <c r="G470" s="11"/>
    </row>
    <row r="471">
      <c r="A471" s="2" t="str">
        <f>IFERROR(__xludf.DUMMYFUNCTION("""COMPUTED_VALUE"""),"mantissa")</f>
        <v>mantissa</v>
      </c>
      <c r="B471" s="2" t="str">
        <f>IFERROR(__xludf.DUMMYFUNCTION("""COMPUTED_VALUE"""),"mantissa")</f>
        <v>mantissa</v>
      </c>
      <c r="C471" s="2" t="str">
        <f>IFERROR(__xludf.DUMMYFUNCTION("""COMPUTED_VALUE"""),"mantissa")</f>
        <v>mantissa</v>
      </c>
      <c r="D471" s="5"/>
      <c r="E471" s="5"/>
      <c r="F471" s="11"/>
      <c r="G471" s="11"/>
    </row>
    <row r="472">
      <c r="A472" s="2" t="str">
        <f>IFERROR(__xludf.DUMMYFUNCTION("""COMPUTED_VALUE"""),"martingaali")</f>
        <v>martingaali</v>
      </c>
      <c r="B472" s="2" t="str">
        <f>IFERROR(__xludf.DUMMYFUNCTION("""COMPUTED_VALUE"""),"martingale")</f>
        <v>martingale</v>
      </c>
      <c r="C472" s="2" t="str">
        <f>IFERROR(__xludf.DUMMYFUNCTION("""COMPUTED_VALUE"""),"-")</f>
        <v>-</v>
      </c>
      <c r="D472" s="5"/>
      <c r="E472" s="5"/>
      <c r="F472" s="11"/>
      <c r="G472" s="11"/>
    </row>
    <row r="473">
      <c r="A473" s="2" t="str">
        <f>IFERROR(__xludf.DUMMYFUNCTION("""COMPUTED_VALUE"""),"matriisi")</f>
        <v>matriisi</v>
      </c>
      <c r="B473" s="2" t="str">
        <f>IFERROR(__xludf.DUMMYFUNCTION("""COMPUTED_VALUE"""),"matrix")</f>
        <v>matrix</v>
      </c>
      <c r="C473" s="2" t="str">
        <f>IFERROR(__xludf.DUMMYFUNCTION("""COMPUTED_VALUE"""),"matris")</f>
        <v>matris</v>
      </c>
      <c r="D473" s="5"/>
      <c r="E473" s="5"/>
      <c r="F473" s="11"/>
      <c r="G473" s="11"/>
    </row>
    <row r="474">
      <c r="A474" s="2" t="str">
        <f>IFERROR(__xludf.DUMMYFUNCTION("""COMPUTED_VALUE"""),"matriisinormi")</f>
        <v>matriisinormi</v>
      </c>
      <c r="B474" s="2" t="str">
        <f>IFERROR(__xludf.DUMMYFUNCTION("""COMPUTED_VALUE"""),"matrix norm")</f>
        <v>matrix norm</v>
      </c>
      <c r="C474" s="2" t="str">
        <f>IFERROR(__xludf.DUMMYFUNCTION("""COMPUTED_VALUE"""),"matrisnorm")</f>
        <v>matrisnorm</v>
      </c>
      <c r="D474" s="5"/>
      <c r="E474" s="5"/>
      <c r="F474" s="11"/>
      <c r="G474" s="11"/>
    </row>
    <row r="475">
      <c r="A475" s="2" t="str">
        <f>IFERROR(__xludf.DUMMYFUNCTION("""COMPUTED_VALUE"""),"mediaani")</f>
        <v>mediaani</v>
      </c>
      <c r="B475" s="2" t="str">
        <f>IFERROR(__xludf.DUMMYFUNCTION("""COMPUTED_VALUE"""),"median")</f>
        <v>median</v>
      </c>
      <c r="C475" s="2" t="str">
        <f>IFERROR(__xludf.DUMMYFUNCTION("""COMPUTED_VALUE"""),"median")</f>
        <v>median</v>
      </c>
      <c r="D475" s="5"/>
      <c r="E475" s="5"/>
      <c r="F475" s="11"/>
      <c r="G475" s="11"/>
    </row>
    <row r="476">
      <c r="A476" s="2" t="str">
        <f>IFERROR(__xludf.DUMMYFUNCTION("""COMPUTED_VALUE"""),"merkkiluku")</f>
        <v>merkkiluku</v>
      </c>
      <c r="B476" s="2" t="str">
        <f>IFERROR(__xludf.DUMMYFUNCTION("""COMPUTED_VALUE"""),"signature")</f>
        <v>signature</v>
      </c>
      <c r="C476" s="2" t="str">
        <f>IFERROR(__xludf.DUMMYFUNCTION("""COMPUTED_VALUE"""),"signatur")</f>
        <v>signatur</v>
      </c>
      <c r="D476" s="5"/>
      <c r="E476" s="5"/>
      <c r="F476" s="11"/>
      <c r="G476" s="11"/>
    </row>
    <row r="477">
      <c r="A477" s="2" t="str">
        <f>IFERROR(__xludf.DUMMYFUNCTION("""COMPUTED_VALUE"""),"metriikka")</f>
        <v>metriikka</v>
      </c>
      <c r="B477" s="2" t="str">
        <f>IFERROR(__xludf.DUMMYFUNCTION("""COMPUTED_VALUE"""),"metric")</f>
        <v>metric</v>
      </c>
      <c r="C477" s="2" t="str">
        <f>IFERROR(__xludf.DUMMYFUNCTION("""COMPUTED_VALUE"""),"metrik")</f>
        <v>metrik</v>
      </c>
      <c r="D477" s="5"/>
      <c r="E477" s="5"/>
      <c r="F477" s="11"/>
      <c r="G477" s="11"/>
    </row>
    <row r="478">
      <c r="A478" s="2" t="str">
        <f>IFERROR(__xludf.DUMMYFUNCTION("""COMPUTED_VALUE"""),"metrinen avaruus")</f>
        <v>metrinen avaruus</v>
      </c>
      <c r="B478" s="2" t="str">
        <f>IFERROR(__xludf.DUMMYFUNCTION("""COMPUTED_VALUE"""),"metric space")</f>
        <v>metric space</v>
      </c>
      <c r="C478" s="2" t="str">
        <f>IFERROR(__xludf.DUMMYFUNCTION("""COMPUTED_VALUE"""),"metriskt rum")</f>
        <v>metriskt rum</v>
      </c>
      <c r="D478" s="5"/>
      <c r="E478" s="5"/>
      <c r="F478" s="11"/>
      <c r="G478" s="11"/>
    </row>
    <row r="479">
      <c r="A479" s="2" t="str">
        <f>IFERROR(__xludf.DUMMYFUNCTION("""COMPUTED_VALUE"""),"metristys")</f>
        <v>metristys</v>
      </c>
      <c r="B479" s="2" t="str">
        <f>IFERROR(__xludf.DUMMYFUNCTION("""COMPUTED_VALUE"""),"metrization")</f>
        <v>metrization</v>
      </c>
      <c r="C479" s="2" t="str">
        <f>IFERROR(__xludf.DUMMYFUNCTION("""COMPUTED_VALUE"""),"metrisering")</f>
        <v>metrisering</v>
      </c>
      <c r="D479" s="5"/>
      <c r="E479" s="5"/>
      <c r="F479" s="11"/>
      <c r="G479" s="11"/>
    </row>
    <row r="480">
      <c r="A480" s="2" t="str">
        <f>IFERROR(__xludf.DUMMYFUNCTION("""COMPUTED_VALUE"""),"metristyvä")</f>
        <v>metristyvä</v>
      </c>
      <c r="B480" s="2" t="str">
        <f>IFERROR(__xludf.DUMMYFUNCTION("""COMPUTED_VALUE"""),"metrizable")</f>
        <v>metrizable</v>
      </c>
      <c r="C480" s="2" t="str">
        <f>IFERROR(__xludf.DUMMYFUNCTION("""COMPUTED_VALUE"""),"metriserbar")</f>
        <v>metriserbar</v>
      </c>
      <c r="D480" s="5"/>
      <c r="E480" s="5"/>
      <c r="F480" s="11"/>
      <c r="G480" s="11"/>
    </row>
    <row r="481">
      <c r="A481" s="2" t="str">
        <f>IFERROR(__xludf.DUMMYFUNCTION("""COMPUTED_VALUE"""),"mielessä (L2-sense L2-mielessä tms.)")</f>
        <v>mielessä (L2-sense L2-mielessä tms.)</v>
      </c>
      <c r="B481" s="2" t="str">
        <f>IFERROR(__xludf.DUMMYFUNCTION("""COMPUTED_VALUE"""),"sense")</f>
        <v>sense</v>
      </c>
      <c r="C481" s="2" t="str">
        <f>IFERROR(__xludf.DUMMYFUNCTION("""COMPUTED_VALUE"""),"i avseende å")</f>
        <v>i avseende å</v>
      </c>
      <c r="D481" s="5"/>
      <c r="E481" s="5"/>
      <c r="F481" s="11"/>
      <c r="G481" s="11"/>
    </row>
    <row r="482">
      <c r="A482" s="2" t="str">
        <f>IFERROR(__xludf.DUMMYFUNCTION("""COMPUTED_VALUE"""),"minimi")</f>
        <v>minimi</v>
      </c>
      <c r="B482" s="2" t="str">
        <f>IFERROR(__xludf.DUMMYFUNCTION("""COMPUTED_VALUE"""),"minimum")</f>
        <v>minimum</v>
      </c>
      <c r="C482" s="2" t="str">
        <f>IFERROR(__xludf.DUMMYFUNCTION("""COMPUTED_VALUE"""),"minimum")</f>
        <v>minimum</v>
      </c>
      <c r="D482" s="5"/>
      <c r="E482" s="5"/>
      <c r="F482" s="11"/>
      <c r="G482" s="11"/>
    </row>
    <row r="483">
      <c r="A483" s="2" t="str">
        <f>IFERROR(__xludf.DUMMYFUNCTION("""COMPUTED_VALUE"""),"minimoida")</f>
        <v>minimoida</v>
      </c>
      <c r="B483" s="2" t="str">
        <f>IFERROR(__xludf.DUMMYFUNCTION("""COMPUTED_VALUE"""),"minimize")</f>
        <v>minimize</v>
      </c>
      <c r="C483" s="2" t="str">
        <f>IFERROR(__xludf.DUMMYFUNCTION("""COMPUTED_VALUE"""),"minimera")</f>
        <v>minimera</v>
      </c>
      <c r="D483" s="5"/>
      <c r="E483" s="5"/>
      <c r="F483" s="11"/>
      <c r="G483" s="11"/>
    </row>
    <row r="484">
      <c r="A484" s="2" t="str">
        <f>IFERROR(__xludf.DUMMYFUNCTION("""COMPUTED_VALUE"""),"minitopologia")</f>
        <v>minitopologia</v>
      </c>
      <c r="B484" s="2" t="str">
        <f>IFERROR(__xludf.DUMMYFUNCTION("""COMPUTED_VALUE"""),"indiscrete topology")</f>
        <v>indiscrete topology</v>
      </c>
      <c r="C484" s="2" t="str">
        <f>IFERROR(__xludf.DUMMYFUNCTION("""COMPUTED_VALUE"""),"-")</f>
        <v>-</v>
      </c>
      <c r="D484" s="5"/>
      <c r="E484" s="5"/>
      <c r="F484" s="11"/>
      <c r="G484" s="11"/>
    </row>
    <row r="485">
      <c r="A485" s="2" t="str">
        <f>IFERROR(__xludf.DUMMYFUNCTION("""COMPUTED_VALUE"""),"mitallinen")</f>
        <v>mitallinen</v>
      </c>
      <c r="B485" s="2" t="str">
        <f>IFERROR(__xludf.DUMMYFUNCTION("""COMPUTED_VALUE"""),"measurable")</f>
        <v>measurable</v>
      </c>
      <c r="C485" s="2" t="str">
        <f>IFERROR(__xludf.DUMMYFUNCTION("""COMPUTED_VALUE"""),"mätbar")</f>
        <v>mätbar</v>
      </c>
      <c r="D485" s="5"/>
      <c r="E485" s="5"/>
      <c r="F485" s="11"/>
      <c r="G485" s="11"/>
    </row>
    <row r="486">
      <c r="A486" s="2" t="str">
        <f>IFERROR(__xludf.DUMMYFUNCTION("""COMPUTED_VALUE"""),"mitta")</f>
        <v>mitta</v>
      </c>
      <c r="B486" s="2" t="str">
        <f>IFERROR(__xludf.DUMMYFUNCTION("""COMPUTED_VALUE"""),"measure")</f>
        <v>measure</v>
      </c>
      <c r="C486" s="2" t="str">
        <f>IFERROR(__xludf.DUMMYFUNCTION("""COMPUTED_VALUE"""),"mått")</f>
        <v>mått</v>
      </c>
      <c r="D486" s="5"/>
      <c r="E486" s="5"/>
      <c r="F486" s="11"/>
      <c r="G486" s="11"/>
    </row>
    <row r="487">
      <c r="A487" s="2" t="str">
        <f>IFERROR(__xludf.DUMMYFUNCTION("""COMPUTED_VALUE"""),"mitta-avaruus, mitallinen avaruus")</f>
        <v>mitta-avaruus, mitallinen avaruus</v>
      </c>
      <c r="B487" s="2" t="str">
        <f>IFERROR(__xludf.DUMMYFUNCTION("""COMPUTED_VALUE"""),"measurable space")</f>
        <v>measurable space</v>
      </c>
      <c r="C487" s="2" t="str">
        <f>IFERROR(__xludf.DUMMYFUNCTION("""COMPUTED_VALUE"""),"mätbart rum")</f>
        <v>mätbart rum</v>
      </c>
      <c r="D487" s="5"/>
      <c r="E487" s="5"/>
      <c r="F487" s="11"/>
      <c r="G487" s="11"/>
    </row>
    <row r="488">
      <c r="A488" s="2" t="str">
        <f>IFERROR(__xludf.DUMMYFUNCTION("""COMPUTED_VALUE"""),"momentti")</f>
        <v>momentti</v>
      </c>
      <c r="B488" s="2" t="str">
        <f>IFERROR(__xludf.DUMMYFUNCTION("""COMPUTED_VALUE"""),"moment")</f>
        <v>moment</v>
      </c>
      <c r="C488" s="2" t="str">
        <f>IFERROR(__xludf.DUMMYFUNCTION("""COMPUTED_VALUE"""),"moment")</f>
        <v>moment</v>
      </c>
      <c r="D488" s="5"/>
      <c r="E488" s="5"/>
      <c r="F488" s="11"/>
      <c r="G488" s="11"/>
    </row>
    <row r="489">
      <c r="A489" s="2" t="str">
        <f>IFERROR(__xludf.DUMMYFUNCTION("""COMPUTED_VALUE"""),"monikerta")</f>
        <v>monikerta</v>
      </c>
      <c r="B489" s="2" t="str">
        <f>IFERROR(__xludf.DUMMYFUNCTION("""COMPUTED_VALUE"""),"multiple")</f>
        <v>multiple</v>
      </c>
      <c r="C489" s="2" t="str">
        <f>IFERROR(__xludf.DUMMYFUNCTION("""COMPUTED_VALUE"""),"multippel")</f>
        <v>multippel</v>
      </c>
      <c r="D489" s="5"/>
      <c r="E489" s="5"/>
      <c r="F489" s="11"/>
      <c r="G489" s="11"/>
    </row>
    <row r="490">
      <c r="A490" s="2" t="str">
        <f>IFERROR(__xludf.DUMMYFUNCTION("""COMPUTED_VALUE"""),"monikulmio")</f>
        <v>monikulmio</v>
      </c>
      <c r="B490" s="2" t="str">
        <f>IFERROR(__xludf.DUMMYFUNCTION("""COMPUTED_VALUE"""),"polygon")</f>
        <v>polygon</v>
      </c>
      <c r="C490" s="2" t="str">
        <f>IFERROR(__xludf.DUMMYFUNCTION("""COMPUTED_VALUE"""),"månghörning")</f>
        <v>månghörning</v>
      </c>
      <c r="D490" s="5"/>
      <c r="E490" s="5"/>
      <c r="F490" s="11"/>
      <c r="G490" s="11"/>
    </row>
    <row r="491">
      <c r="A491" s="2" t="str">
        <f>IFERROR(__xludf.DUMMYFUNCTION("""COMPUTED_VALUE"""),"moninkertainen integraali")</f>
        <v>moninkertainen integraali</v>
      </c>
      <c r="B491" s="2" t="str">
        <f>IFERROR(__xludf.DUMMYFUNCTION("""COMPUTED_VALUE"""),"multiple integral")</f>
        <v>multiple integral</v>
      </c>
      <c r="C491" s="2" t="str">
        <f>IFERROR(__xludf.DUMMYFUNCTION("""COMPUTED_VALUE"""),"flerfaldig integral")</f>
        <v>flerfaldig integral</v>
      </c>
      <c r="D491" s="5"/>
      <c r="E491" s="5"/>
      <c r="F491" s="11"/>
      <c r="G491" s="11"/>
    </row>
    <row r="492">
      <c r="A492" s="2" t="str">
        <f>IFERROR(__xludf.DUMMYFUNCTION("""COMPUTED_VALUE"""),"moninkertainen integraali, iteroitu")</f>
        <v>moninkertainen integraali, iteroitu</v>
      </c>
      <c r="B492" s="2" t="str">
        <f>IFERROR(__xludf.DUMMYFUNCTION("""COMPUTED_VALUE"""),"iterated integral, repeated integral")</f>
        <v>iterated integral, repeated integral</v>
      </c>
      <c r="C492" s="2"/>
      <c r="D492" s="5"/>
      <c r="E492" s="5"/>
      <c r="F492" s="11"/>
      <c r="G492" s="11"/>
    </row>
    <row r="493">
      <c r="A493" s="2" t="str">
        <f>IFERROR(__xludf.DUMMYFUNCTION("""COMPUTED_VALUE"""),"moninkertainen ominaisarvo")</f>
        <v>moninkertainen ominaisarvo</v>
      </c>
      <c r="B493" s="2" t="str">
        <f>IFERROR(__xludf.DUMMYFUNCTION("""COMPUTED_VALUE"""),"repeated eigenvalue")</f>
        <v>repeated eigenvalue</v>
      </c>
      <c r="C493" s="2" t="str">
        <f>IFERROR(__xludf.DUMMYFUNCTION("""COMPUTED_VALUE"""),"mångfaldigt egenvärde")</f>
        <v>mångfaldigt egenvärde</v>
      </c>
      <c r="D493" s="5"/>
      <c r="E493" s="5"/>
      <c r="F493" s="11"/>
      <c r="G493" s="11"/>
    </row>
    <row r="494">
      <c r="A494" s="2" t="str">
        <f>IFERROR(__xludf.DUMMYFUNCTION("""COMPUTED_VALUE"""),"monisto")</f>
        <v>monisto</v>
      </c>
      <c r="B494" s="2" t="str">
        <f>IFERROR(__xludf.DUMMYFUNCTION("""COMPUTED_VALUE"""),"manifold")</f>
        <v>manifold</v>
      </c>
      <c r="C494" s="2" t="str">
        <f>IFERROR(__xludf.DUMMYFUNCTION("""COMPUTED_VALUE"""),"mångfald")</f>
        <v>mångfald</v>
      </c>
      <c r="D494" s="5"/>
      <c r="E494" s="5"/>
      <c r="F494" s="11"/>
      <c r="G494" s="11"/>
    </row>
    <row r="495">
      <c r="A495" s="2" t="str">
        <f>IFERROR(__xludf.DUMMYFUNCTION("""COMPUTED_VALUE"""),"monitahokas, tahokas")</f>
        <v>monitahokas, tahokas</v>
      </c>
      <c r="B495" s="2" t="str">
        <f>IFERROR(__xludf.DUMMYFUNCTION("""COMPUTED_VALUE"""),"polyhedron")</f>
        <v>polyhedron</v>
      </c>
      <c r="C495" s="2" t="str">
        <f>IFERROR(__xludf.DUMMYFUNCTION("""COMPUTED_VALUE"""),"polyeder")</f>
        <v>polyeder</v>
      </c>
      <c r="D495" s="5"/>
      <c r="E495" s="5"/>
      <c r="F495" s="11"/>
      <c r="G495" s="11"/>
    </row>
    <row r="496">
      <c r="A496" s="2" t="str">
        <f>IFERROR(__xludf.DUMMYFUNCTION("""COMPUTED_VALUE"""),"monoidi")</f>
        <v>monoidi</v>
      </c>
      <c r="B496" s="2" t="str">
        <f>IFERROR(__xludf.DUMMYFUNCTION("""COMPUTED_VALUE"""),"monoid")</f>
        <v>monoid</v>
      </c>
      <c r="C496" s="2" t="str">
        <f>IFERROR(__xludf.DUMMYFUNCTION("""COMPUTED_VALUE"""),"monoid")</f>
        <v>monoid</v>
      </c>
      <c r="D496" s="5"/>
      <c r="E496" s="5"/>
      <c r="F496" s="11"/>
      <c r="G496" s="11"/>
    </row>
    <row r="497">
      <c r="A497" s="2" t="str">
        <f>IFERROR(__xludf.DUMMYFUNCTION("""COMPUTED_VALUE"""),"monotoninen")</f>
        <v>monotoninen</v>
      </c>
      <c r="B497" s="2" t="str">
        <f>IFERROR(__xludf.DUMMYFUNCTION("""COMPUTED_VALUE"""),"monotonic, monotone")</f>
        <v>monotonic, monotone</v>
      </c>
      <c r="C497" s="2" t="str">
        <f>IFERROR(__xludf.DUMMYFUNCTION("""COMPUTED_VALUE"""),"monoton")</f>
        <v>monoton</v>
      </c>
      <c r="D497" s="5"/>
      <c r="E497" s="5"/>
      <c r="F497" s="11"/>
      <c r="G497" s="11"/>
    </row>
    <row r="498">
      <c r="A498" s="2" t="str">
        <f>IFERROR(__xludf.DUMMYFUNCTION("""COMPUTED_VALUE"""),"mooninen polynomi, pääpolynomi")</f>
        <v>mooninen polynomi, pääpolynomi</v>
      </c>
      <c r="B498" s="2" t="str">
        <f>IFERROR(__xludf.DUMMYFUNCTION("""COMPUTED_VALUE"""),"monic polynomial")</f>
        <v>monic polynomial</v>
      </c>
      <c r="C498" s="2" t="str">
        <f>IFERROR(__xludf.DUMMYFUNCTION("""COMPUTED_VALUE"""),"normalpolynom")</f>
        <v>normalpolynom</v>
      </c>
      <c r="D498" s="5"/>
      <c r="E498" s="5"/>
      <c r="F498" s="11"/>
      <c r="G498" s="11"/>
    </row>
    <row r="499">
      <c r="A499" s="2" t="str">
        <f>IFERROR(__xludf.DUMMYFUNCTION("""COMPUTED_VALUE"""),"multinomijakauma")</f>
        <v>multinomijakauma</v>
      </c>
      <c r="B499" s="2" t="str">
        <f>IFERROR(__xludf.DUMMYFUNCTION("""COMPUTED_VALUE"""),"multinomial distribution")</f>
        <v>multinomial distribution</v>
      </c>
      <c r="C499" s="2" t="str">
        <f>IFERROR(__xludf.DUMMYFUNCTION("""COMPUTED_VALUE"""),"multinomialfördelning")</f>
        <v>multinomialfördelning</v>
      </c>
      <c r="D499" s="5"/>
      <c r="E499" s="5"/>
      <c r="F499" s="11"/>
      <c r="G499" s="11"/>
    </row>
    <row r="500">
      <c r="A500" s="2" t="str">
        <f>IFERROR(__xludf.DUMMYFUNCTION("""COMPUTED_VALUE"""),"murtokehitelma")</f>
        <v>murtokehitelma</v>
      </c>
      <c r="B500" s="2" t="str">
        <f>IFERROR(__xludf.DUMMYFUNCTION("""COMPUTED_VALUE"""),"fraction")</f>
        <v>fraction</v>
      </c>
      <c r="C500" s="2" t="str">
        <f>IFERROR(__xludf.DUMMYFUNCTION("""COMPUTED_VALUE"""),"fraktion, bråkutveckling")</f>
        <v>fraktion, bråkutveckling</v>
      </c>
      <c r="D500" s="5"/>
      <c r="E500" s="5"/>
      <c r="F500" s="11"/>
      <c r="G500" s="11"/>
    </row>
    <row r="501">
      <c r="A501" s="2" t="str">
        <f>IFERROR(__xludf.DUMMYFUNCTION("""COMPUTED_VALUE"""),"muunnos")</f>
        <v>muunnos</v>
      </c>
      <c r="B501" s="2" t="str">
        <f>IFERROR(__xludf.DUMMYFUNCTION("""COMPUTED_VALUE"""),"transformation")</f>
        <v>transformation</v>
      </c>
      <c r="C501" s="2" t="str">
        <f>IFERROR(__xludf.DUMMYFUNCTION("""COMPUTED_VALUE"""),"transformation")</f>
        <v>transformation</v>
      </c>
      <c r="D501" s="5"/>
      <c r="E501" s="5"/>
      <c r="F501" s="11"/>
      <c r="G501" s="11"/>
    </row>
    <row r="502">
      <c r="A502" s="2" t="str">
        <f>IFERROR(__xludf.DUMMYFUNCTION("""COMPUTED_VALUE"""),"muutosnopeus")</f>
        <v>muutosnopeus</v>
      </c>
      <c r="B502" s="2" t="str">
        <f>IFERROR(__xludf.DUMMYFUNCTION("""COMPUTED_VALUE"""),"rate of change")</f>
        <v>rate of change</v>
      </c>
      <c r="C502" s="2" t="str">
        <f>IFERROR(__xludf.DUMMYFUNCTION("""COMPUTED_VALUE"""),"förändringshastighet")</f>
        <v>förändringshastighet</v>
      </c>
      <c r="D502" s="5"/>
      <c r="E502" s="5"/>
      <c r="F502" s="11"/>
      <c r="G502" s="11"/>
    </row>
    <row r="503">
      <c r="A503" s="2" t="str">
        <f>IFERROR(__xludf.DUMMYFUNCTION("""COMPUTED_VALUE"""),"muuttuja")</f>
        <v>muuttuja</v>
      </c>
      <c r="B503" s="2" t="str">
        <f>IFERROR(__xludf.DUMMYFUNCTION("""COMPUTED_VALUE"""),"variable")</f>
        <v>variable</v>
      </c>
      <c r="C503" s="2" t="str">
        <f>IFERROR(__xludf.DUMMYFUNCTION("""COMPUTED_VALUE"""),"variabel")</f>
        <v>variabel</v>
      </c>
      <c r="D503" s="5"/>
      <c r="E503" s="5"/>
      <c r="F503" s="11"/>
      <c r="G503" s="11"/>
    </row>
    <row r="504">
      <c r="A504" s="2" t="str">
        <f>IFERROR(__xludf.DUMMYFUNCTION("""COMPUTED_VALUE"""),"muuttujanvaihto")</f>
        <v>muuttujanvaihto</v>
      </c>
      <c r="B504" s="2" t="str">
        <f>IFERROR(__xludf.DUMMYFUNCTION("""COMPUTED_VALUE"""),"change of variables")</f>
        <v>change of variables</v>
      </c>
      <c r="C504" s="2" t="str">
        <f>IFERROR(__xludf.DUMMYFUNCTION("""COMPUTED_VALUE"""),"byte av variabler")</f>
        <v>byte av variabler</v>
      </c>
      <c r="D504" s="5"/>
      <c r="E504" s="5"/>
      <c r="F504" s="11"/>
      <c r="G504" s="11"/>
    </row>
    <row r="505">
      <c r="A505" s="2" t="str">
        <f>IFERROR(__xludf.DUMMYFUNCTION("""COMPUTED_VALUE"""),"muuttujien separointi")</f>
        <v>muuttujien separointi</v>
      </c>
      <c r="B505" s="2" t="str">
        <f>IFERROR(__xludf.DUMMYFUNCTION("""COMPUTED_VALUE"""),"separation of variables")</f>
        <v>separation of variables</v>
      </c>
      <c r="C505" s="2" t="str">
        <f>IFERROR(__xludf.DUMMYFUNCTION("""COMPUTED_VALUE"""),"separering av variabler")</f>
        <v>separering av variabler</v>
      </c>
      <c r="D505" s="5"/>
      <c r="E505" s="5"/>
      <c r="F505" s="11"/>
      <c r="G505" s="11"/>
    </row>
    <row r="506">
      <c r="A506" s="2" t="str">
        <f>IFERROR(__xludf.DUMMYFUNCTION("""COMPUTED_VALUE"""),"määritelmä")</f>
        <v>määritelmä</v>
      </c>
      <c r="B506" s="2" t="str">
        <f>IFERROR(__xludf.DUMMYFUNCTION("""COMPUTED_VALUE"""),"definition")</f>
        <v>definition</v>
      </c>
      <c r="C506" s="2" t="str">
        <f>IFERROR(__xludf.DUMMYFUNCTION("""COMPUTED_VALUE"""),"definition")</f>
        <v>definition</v>
      </c>
      <c r="D506" s="5"/>
      <c r="E506" s="5"/>
      <c r="F506" s="11"/>
      <c r="G506" s="11"/>
    </row>
    <row r="507">
      <c r="A507" s="2" t="str">
        <f>IFERROR(__xludf.DUMMYFUNCTION("""COMPUTED_VALUE"""),"määrittelyjoukko; alue")</f>
        <v>määrittelyjoukko; alue</v>
      </c>
      <c r="B507" s="2" t="str">
        <f>IFERROR(__xludf.DUMMYFUNCTION("""COMPUTED_VALUE"""),"domain")</f>
        <v>domain</v>
      </c>
      <c r="C507" s="2" t="str">
        <f>IFERROR(__xludf.DUMMYFUNCTION("""COMPUTED_VALUE"""),"område")</f>
        <v>område</v>
      </c>
      <c r="D507" s="5"/>
      <c r="E507" s="5"/>
      <c r="F507" s="11"/>
      <c r="G507" s="11"/>
    </row>
    <row r="508">
      <c r="A508" s="2" t="str">
        <f>IFERROR(__xludf.DUMMYFUNCTION("""COMPUTED_VALUE"""),"määrätty integraali")</f>
        <v>määrätty integraali</v>
      </c>
      <c r="B508" s="2" t="str">
        <f>IFERROR(__xludf.DUMMYFUNCTION("""COMPUTED_VALUE"""),"definite integral")</f>
        <v>definite integral</v>
      </c>
      <c r="C508" s="2" t="str">
        <f>IFERROR(__xludf.DUMMYFUNCTION("""COMPUTED_VALUE"""),"bestämd integral")</f>
        <v>bestämd integral</v>
      </c>
      <c r="D508" s="5"/>
      <c r="E508" s="5"/>
      <c r="F508" s="11"/>
      <c r="G508" s="11"/>
    </row>
    <row r="509">
      <c r="A509" s="2" t="str">
        <f>IFERROR(__xludf.DUMMYFUNCTION("""COMPUTED_VALUE"""),"määräämättömät kertoimet (yrite)")</f>
        <v>määräämättömät kertoimet (yrite)</v>
      </c>
      <c r="B509" s="2" t="str">
        <f>IFERROR(__xludf.DUMMYFUNCTION("""COMPUTED_VALUE"""),"undetermined coefficients")</f>
        <v>undetermined coefficients</v>
      </c>
      <c r="C509" s="2" t="str">
        <f>IFERROR(__xludf.DUMMYFUNCTION("""COMPUTED_VALUE"""),"obsestämda koefficienter")</f>
        <v>obsestämda koefficienter</v>
      </c>
      <c r="D509" s="5"/>
      <c r="E509" s="5"/>
      <c r="F509" s="11"/>
      <c r="G509" s="11"/>
    </row>
    <row r="510">
      <c r="A510" s="2" t="str">
        <f>IFERROR(__xludf.DUMMYFUNCTION("""COMPUTED_VALUE"""),"määräämätön integraali, epämääräinen integraali")</f>
        <v>määräämätön integraali, epämääräinen integraali</v>
      </c>
      <c r="B510" s="2" t="str">
        <f>IFERROR(__xludf.DUMMYFUNCTION("""COMPUTED_VALUE"""),"indefinite integral")</f>
        <v>indefinite integral</v>
      </c>
      <c r="C510" s="2" t="str">
        <f>IFERROR(__xludf.DUMMYFUNCTION("""COMPUTED_VALUE"""),"obestämd integral")</f>
        <v>obestämd integral</v>
      </c>
      <c r="D510" s="5"/>
      <c r="E510" s="5"/>
      <c r="F510" s="11"/>
      <c r="G510" s="11"/>
    </row>
    <row r="511">
      <c r="A511" s="2" t="str">
        <f>IFERROR(__xludf.DUMMYFUNCTION("""COMPUTED_VALUE"""),"Möbiuksen nauha")</f>
        <v>Möbiuksen nauha</v>
      </c>
      <c r="B511" s="2" t="str">
        <f>IFERROR(__xludf.DUMMYFUNCTION("""COMPUTED_VALUE"""),"Möbius band")</f>
        <v>Möbius band</v>
      </c>
      <c r="C511" s="2" t="str">
        <f>IFERROR(__xludf.DUMMYFUNCTION("""COMPUTED_VALUE"""),"Möbius' band")</f>
        <v>Möbius' band</v>
      </c>
      <c r="D511" s="5"/>
      <c r="E511" s="5"/>
      <c r="F511" s="11"/>
      <c r="G511" s="11"/>
    </row>
    <row r="512">
      <c r="A512" s="2" t="str">
        <f>IFERROR(__xludf.DUMMYFUNCTION("""COMPUTED_VALUE"""),"N1-avaruus")</f>
        <v>N1-avaruus</v>
      </c>
      <c r="B512" s="2" t="str">
        <f>IFERROR(__xludf.DUMMYFUNCTION("""COMPUTED_VALUE"""),"first countable space")</f>
        <v>first countable space</v>
      </c>
      <c r="C512" s="2" t="str">
        <f>IFERROR(__xludf.DUMMYFUNCTION("""COMPUTED_VALUE"""),"-")</f>
        <v>-</v>
      </c>
      <c r="D512" s="5"/>
      <c r="E512" s="5"/>
      <c r="F512" s="11"/>
      <c r="G512" s="11"/>
    </row>
    <row r="513">
      <c r="A513" s="2" t="str">
        <f>IFERROR(__xludf.DUMMYFUNCTION("""COMPUTED_VALUE"""),"N2-avaruus")</f>
        <v>N2-avaruus</v>
      </c>
      <c r="B513" s="2" t="str">
        <f>IFERROR(__xludf.DUMMYFUNCTION("""COMPUTED_VALUE"""),"second countable space")</f>
        <v>second countable space</v>
      </c>
      <c r="C513" s="2" t="str">
        <f>IFERROR(__xludf.DUMMYFUNCTION("""COMPUTED_VALUE"""),"-")</f>
        <v>-</v>
      </c>
      <c r="D513" s="5"/>
      <c r="E513" s="5"/>
      <c r="F513" s="11"/>
      <c r="G513" s="11"/>
    </row>
    <row r="514">
      <c r="A514" s="2" t="str">
        <f>IFERROR(__xludf.DUMMYFUNCTION("""COMPUTED_VALUE"""),"napa")</f>
        <v>napa</v>
      </c>
      <c r="B514" s="2" t="str">
        <f>IFERROR(__xludf.DUMMYFUNCTION("""COMPUTED_VALUE"""),"pole")</f>
        <v>pole</v>
      </c>
      <c r="C514" s="2" t="str">
        <f>IFERROR(__xludf.DUMMYFUNCTION("""COMPUTED_VALUE"""),"pol")</f>
        <v>pol</v>
      </c>
      <c r="D514" s="5"/>
      <c r="E514" s="5"/>
      <c r="F514" s="11"/>
      <c r="G514" s="11"/>
    </row>
    <row r="515">
      <c r="A515" s="2" t="str">
        <f>IFERROR(__xludf.DUMMYFUNCTION("""COMPUTED_VALUE"""),"napa-akseli, polaariakseli")</f>
        <v>napa-akseli, polaariakseli</v>
      </c>
      <c r="B515" s="2" t="str">
        <f>IFERROR(__xludf.DUMMYFUNCTION("""COMPUTED_VALUE"""),"polar axis")</f>
        <v>polar axis</v>
      </c>
      <c r="C515" s="2" t="str">
        <f>IFERROR(__xludf.DUMMYFUNCTION("""COMPUTED_VALUE"""),"poläraxel")</f>
        <v>poläraxel</v>
      </c>
      <c r="D515" s="5"/>
      <c r="E515" s="5"/>
      <c r="F515" s="11"/>
      <c r="G515" s="11"/>
    </row>
    <row r="516">
      <c r="A516" s="2" t="str">
        <f>IFERROR(__xludf.DUMMYFUNCTION("""COMPUTED_VALUE"""),"napakoordinaatit")</f>
        <v>napakoordinaatit</v>
      </c>
      <c r="B516" s="2" t="str">
        <f>IFERROR(__xludf.DUMMYFUNCTION("""COMPUTED_VALUE"""),"polar coordinates")</f>
        <v>polar coordinates</v>
      </c>
      <c r="C516" s="2" t="str">
        <f>IFERROR(__xludf.DUMMYFUNCTION("""COMPUTED_VALUE"""),"polära koordinater")</f>
        <v>polära koordinater</v>
      </c>
      <c r="D516" s="5"/>
      <c r="E516" s="5"/>
      <c r="F516" s="11"/>
      <c r="G516" s="11"/>
    </row>
    <row r="517">
      <c r="A517" s="2" t="str">
        <f>IFERROR(__xludf.DUMMYFUNCTION("""COMPUTED_VALUE"""),"napakoordinaattiesitys")</f>
        <v>napakoordinaattiesitys</v>
      </c>
      <c r="B517" s="2" t="str">
        <f>IFERROR(__xludf.DUMMYFUNCTION("""COMPUTED_VALUE"""),"polar form")</f>
        <v>polar form</v>
      </c>
      <c r="C517" s="2" t="str">
        <f>IFERROR(__xludf.DUMMYFUNCTION("""COMPUTED_VALUE"""),"polär form")</f>
        <v>polär form</v>
      </c>
      <c r="D517" s="5"/>
      <c r="E517" s="5"/>
      <c r="F517" s="11"/>
      <c r="G517" s="11"/>
    </row>
    <row r="518">
      <c r="A518" s="2" t="str">
        <f>IFERROR(__xludf.DUMMYFUNCTION("""COMPUTED_VALUE"""),"nauhamatriisi")</f>
        <v>nauhamatriisi</v>
      </c>
      <c r="B518" s="2" t="str">
        <f>IFERROR(__xludf.DUMMYFUNCTION("""COMPUTED_VALUE"""),"band matrix")</f>
        <v>band matrix</v>
      </c>
      <c r="C518" s="2" t="str">
        <f>IFERROR(__xludf.DUMMYFUNCTION("""COMPUTED_VALUE"""),"bandmatris")</f>
        <v>bandmatris</v>
      </c>
      <c r="D518" s="5"/>
      <c r="E518" s="5"/>
      <c r="F518" s="11"/>
      <c r="G518" s="11"/>
    </row>
    <row r="519">
      <c r="A519" s="2" t="str">
        <f>IFERROR(__xludf.DUMMYFUNCTION("""COMPUTED_VALUE"""),"negatiividefiniitti, negatiivisesti definiitti")</f>
        <v>negatiividefiniitti, negatiivisesti definiitti</v>
      </c>
      <c r="B519" s="2" t="str">
        <f>IFERROR(__xludf.DUMMYFUNCTION("""COMPUTED_VALUE"""),"negative definite")</f>
        <v>negative definite</v>
      </c>
      <c r="C519" s="2" t="str">
        <f>IFERROR(__xludf.DUMMYFUNCTION("""COMPUTED_VALUE"""),"negativt definit")</f>
        <v>negativt definit</v>
      </c>
      <c r="D519" s="5"/>
      <c r="E519" s="5"/>
      <c r="F519" s="11"/>
      <c r="G519" s="11"/>
    </row>
    <row r="520">
      <c r="A520" s="2" t="str">
        <f>IFERROR(__xludf.DUMMYFUNCTION("""COMPUTED_VALUE"""),"nelikulmio")</f>
        <v>nelikulmio</v>
      </c>
      <c r="B520" s="2" t="str">
        <f>IFERROR(__xludf.DUMMYFUNCTION("""COMPUTED_VALUE"""),"quadrilateral")</f>
        <v>quadrilateral</v>
      </c>
      <c r="C520" s="2" t="str">
        <f>IFERROR(__xludf.DUMMYFUNCTION("""COMPUTED_VALUE"""),"fyrsiding")</f>
        <v>fyrsiding</v>
      </c>
      <c r="D520" s="5"/>
      <c r="E520" s="5"/>
      <c r="F520" s="11"/>
      <c r="G520" s="11"/>
    </row>
    <row r="521">
      <c r="A521" s="2" t="str">
        <f>IFERROR(__xludf.DUMMYFUNCTION("""COMPUTED_VALUE"""),"neliö")</f>
        <v>neliö</v>
      </c>
      <c r="B521" s="2" t="str">
        <f>IFERROR(__xludf.DUMMYFUNCTION("""COMPUTED_VALUE"""),"square")</f>
        <v>square</v>
      </c>
      <c r="C521" s="2" t="str">
        <f>IFERROR(__xludf.DUMMYFUNCTION("""COMPUTED_VALUE"""),"kvadrat")</f>
        <v>kvadrat</v>
      </c>
      <c r="D521" s="5"/>
      <c r="E521" s="5"/>
      <c r="F521" s="11"/>
      <c r="G521" s="11"/>
    </row>
    <row r="522">
      <c r="A522" s="2" t="str">
        <f>IFERROR(__xludf.DUMMYFUNCTION("""COMPUTED_VALUE"""),"neliöjuuri")</f>
        <v>neliöjuuri</v>
      </c>
      <c r="B522" s="2" t="str">
        <f>IFERROR(__xludf.DUMMYFUNCTION("""COMPUTED_VALUE"""),"square root")</f>
        <v>square root</v>
      </c>
      <c r="C522" s="2" t="str">
        <f>IFERROR(__xludf.DUMMYFUNCTION("""COMPUTED_VALUE"""),"kvadratrot")</f>
        <v>kvadratrot</v>
      </c>
      <c r="D522" s="5"/>
      <c r="E522" s="5"/>
      <c r="F522" s="11"/>
      <c r="G522" s="11"/>
    </row>
    <row r="523">
      <c r="A523" s="2" t="str">
        <f>IFERROR(__xludf.DUMMYFUNCTION("""COMPUTED_VALUE"""),"neliökeskiarvo")</f>
        <v>neliökeskiarvo</v>
      </c>
      <c r="B523" s="2" t="str">
        <f>IFERROR(__xludf.DUMMYFUNCTION("""COMPUTED_VALUE"""),"quadratic mean")</f>
        <v>quadratic mean</v>
      </c>
      <c r="C523" s="2" t="str">
        <f>IFERROR(__xludf.DUMMYFUNCTION("""COMPUTED_VALUE"""),"kvadratiskt medelvärde")</f>
        <v>kvadratiskt medelvärde</v>
      </c>
      <c r="D523" s="5"/>
      <c r="E523" s="5"/>
      <c r="F523" s="11"/>
      <c r="G523" s="11"/>
    </row>
    <row r="524">
      <c r="A524" s="2" t="str">
        <f>IFERROR(__xludf.DUMMYFUNCTION("""COMPUTED_VALUE"""),"neliömatriisi")</f>
        <v>neliömatriisi</v>
      </c>
      <c r="B524" s="2" t="str">
        <f>IFERROR(__xludf.DUMMYFUNCTION("""COMPUTED_VALUE"""),"square matrix")</f>
        <v>square matrix</v>
      </c>
      <c r="C524" s="2" t="str">
        <f>IFERROR(__xludf.DUMMYFUNCTION("""COMPUTED_VALUE"""),"kvadratisk matris")</f>
        <v>kvadratisk matris</v>
      </c>
      <c r="D524" s="5"/>
      <c r="E524" s="5"/>
      <c r="F524" s="11"/>
      <c r="G524" s="11"/>
    </row>
    <row r="525">
      <c r="A525" s="2" t="str">
        <f>IFERROR(__xludf.DUMMYFUNCTION("""COMPUTED_VALUE"""),"neliömuoto")</f>
        <v>neliömuoto</v>
      </c>
      <c r="B525" s="2" t="str">
        <f>IFERROR(__xludf.DUMMYFUNCTION("""COMPUTED_VALUE"""),"quadratic form")</f>
        <v>quadratic form</v>
      </c>
      <c r="C525" s="2" t="str">
        <f>IFERROR(__xludf.DUMMYFUNCTION("""COMPUTED_VALUE"""),"kvadratisk form")</f>
        <v>kvadratisk form</v>
      </c>
      <c r="D525" s="5"/>
      <c r="E525" s="5"/>
      <c r="F525" s="11"/>
      <c r="G525" s="11"/>
    </row>
    <row r="526">
      <c r="A526" s="2" t="str">
        <f>IFERROR(__xludf.DUMMYFUNCTION("""COMPUTED_VALUE"""),"Newtonin menetelmä (""njuutton"")")</f>
        <v>Newtonin menetelmä ("njuutton")</v>
      </c>
      <c r="B526" s="2" t="str">
        <f>IFERROR(__xludf.DUMMYFUNCTION("""COMPUTED_VALUE"""),"Newton's method")</f>
        <v>Newton's method</v>
      </c>
      <c r="C526" s="2" t="str">
        <f>IFERROR(__xludf.DUMMYFUNCTION("""COMPUTED_VALUE"""),"Newtons metod")</f>
        <v>Newtons metod</v>
      </c>
      <c r="D526" s="5"/>
      <c r="E526" s="5"/>
      <c r="F526" s="11"/>
      <c r="G526" s="11"/>
    </row>
    <row r="527">
      <c r="A527" s="2" t="str">
        <f>IFERROR(__xludf.DUMMYFUNCTION("""COMPUTED_VALUE"""),"nielu")</f>
        <v>nielu</v>
      </c>
      <c r="B527" s="2" t="str">
        <f>IFERROR(__xludf.DUMMYFUNCTION("""COMPUTED_VALUE"""),"sink")</f>
        <v>sink</v>
      </c>
      <c r="C527" s="2" t="str">
        <f>IFERROR(__xludf.DUMMYFUNCTION("""COMPUTED_VALUE"""),"sänk")</f>
        <v>sänk</v>
      </c>
      <c r="D527" s="5"/>
      <c r="E527" s="5"/>
      <c r="F527" s="11"/>
      <c r="G527" s="11"/>
    </row>
    <row r="528">
      <c r="A528" s="2" t="str">
        <f>IFERROR(__xludf.DUMMYFUNCTION("""COMPUTED_VALUE"""),"nolla; nollakohta, juuri (funktion)")</f>
        <v>nolla; nollakohta, juuri (funktion)</v>
      </c>
      <c r="B528" s="2" t="str">
        <f>IFERROR(__xludf.DUMMYFUNCTION("""COMPUTED_VALUE"""),"zero")</f>
        <v>zero</v>
      </c>
      <c r="C528" s="2" t="str">
        <f>IFERROR(__xludf.DUMMYFUNCTION("""COMPUTED_VALUE"""),"nollställe")</f>
        <v>nollställe</v>
      </c>
      <c r="D528" s="5"/>
      <c r="E528" s="5"/>
      <c r="F528" s="11"/>
      <c r="G528" s="11"/>
    </row>
    <row r="529">
      <c r="A529" s="2" t="str">
        <f>IFERROR(__xludf.DUMMYFUNCTION("""COMPUTED_VALUE"""),"nollavektori")</f>
        <v>nollavektori</v>
      </c>
      <c r="B529" s="2" t="str">
        <f>IFERROR(__xludf.DUMMYFUNCTION("""COMPUTED_VALUE"""),"zero vector")</f>
        <v>zero vector</v>
      </c>
      <c r="C529" s="2" t="str">
        <f>IFERROR(__xludf.DUMMYFUNCTION("""COMPUTED_VALUE"""),"nollvektor")</f>
        <v>nollvektor</v>
      </c>
      <c r="D529" s="5"/>
      <c r="E529" s="5"/>
      <c r="F529" s="11"/>
      <c r="G529" s="11"/>
    </row>
    <row r="530">
      <c r="A530" s="2" t="str">
        <f>IFERROR(__xludf.DUMMYFUNCTION("""COMPUTED_VALUE"""),"nopea Fourier-muunnos (FFT)")</f>
        <v>nopea Fourier-muunnos (FFT)</v>
      </c>
      <c r="B530" s="2" t="str">
        <f>IFERROR(__xludf.DUMMYFUNCTION("""COMPUTED_VALUE"""),"fast Fourier transform (FFT)")</f>
        <v>fast Fourier transform (FFT)</v>
      </c>
      <c r="C530" s="2" t="str">
        <f>IFERROR(__xludf.DUMMYFUNCTION("""COMPUTED_VALUE"""),"snabb Fouriertransform")</f>
        <v>snabb Fouriertransform</v>
      </c>
      <c r="D530" s="5"/>
      <c r="E530" s="5"/>
      <c r="F530" s="11"/>
      <c r="G530" s="11"/>
    </row>
    <row r="531">
      <c r="A531" s="2" t="str">
        <f>IFERROR(__xludf.DUMMYFUNCTION("""COMPUTED_VALUE"""),"nopeasti vaimenevat funktiot (S)")</f>
        <v>nopeasti vaimenevat funktiot (S)</v>
      </c>
      <c r="B531" s="2" t="str">
        <f>IFERROR(__xludf.DUMMYFUNCTION("""COMPUTED_VALUE"""),"rapidly decreasing functions (S)")</f>
        <v>rapidly decreasing functions (S)</v>
      </c>
      <c r="C531" s="2" t="str">
        <f>IFERROR(__xludf.DUMMYFUNCTION("""COMPUTED_VALUE"""),"snabbt avtagande funktioner")</f>
        <v>snabbt avtagande funktioner</v>
      </c>
      <c r="D531" s="5"/>
      <c r="E531" s="5"/>
      <c r="F531" s="11"/>
      <c r="G531" s="11"/>
    </row>
    <row r="532">
      <c r="A532" s="2" t="str">
        <f>IFERROR(__xludf.DUMMYFUNCTION("""COMPUTED_VALUE"""),"nopeus")</f>
        <v>nopeus</v>
      </c>
      <c r="B532" s="2" t="str">
        <f>IFERROR(__xludf.DUMMYFUNCTION("""COMPUTED_VALUE"""),"velocity")</f>
        <v>velocity</v>
      </c>
      <c r="C532" s="2" t="str">
        <f>IFERROR(__xludf.DUMMYFUNCTION("""COMPUTED_VALUE"""),"hastighet")</f>
        <v>hastighet</v>
      </c>
      <c r="D532" s="5"/>
      <c r="E532" s="5"/>
      <c r="F532" s="11"/>
      <c r="G532" s="11"/>
    </row>
    <row r="533">
      <c r="A533" s="2" t="str">
        <f>IFERROR(__xludf.DUMMYFUNCTION("""COMPUTED_VALUE"""),"normaali")</f>
        <v>normaali</v>
      </c>
      <c r="B533" s="2" t="str">
        <f>IFERROR(__xludf.DUMMYFUNCTION("""COMPUTED_VALUE"""),"normal line")</f>
        <v>normal line</v>
      </c>
      <c r="C533" s="2" t="str">
        <f>IFERROR(__xludf.DUMMYFUNCTION("""COMPUTED_VALUE"""),"normal")</f>
        <v>normal</v>
      </c>
      <c r="D533" s="5"/>
      <c r="E533" s="5"/>
      <c r="F533" s="11"/>
      <c r="G533" s="11"/>
    </row>
    <row r="534">
      <c r="A534" s="2" t="str">
        <f>IFERROR(__xludf.DUMMYFUNCTION("""COMPUTED_VALUE"""),"normaali avaruus")</f>
        <v>normaali avaruus</v>
      </c>
      <c r="B534" s="2" t="str">
        <f>IFERROR(__xludf.DUMMYFUNCTION("""COMPUTED_VALUE"""),"normal space")</f>
        <v>normal space</v>
      </c>
      <c r="C534" s="2" t="str">
        <f>IFERROR(__xludf.DUMMYFUNCTION("""COMPUTED_VALUE"""),"normalrum")</f>
        <v>normalrum</v>
      </c>
      <c r="D534" s="5"/>
      <c r="E534" s="5"/>
      <c r="F534" s="11"/>
      <c r="G534" s="11"/>
    </row>
    <row r="535">
      <c r="A535" s="2" t="str">
        <f>IFERROR(__xludf.DUMMYFUNCTION("""COMPUTED_VALUE"""),"normaali matriisi")</f>
        <v>normaali matriisi</v>
      </c>
      <c r="B535" s="2" t="str">
        <f>IFERROR(__xludf.DUMMYFUNCTION("""COMPUTED_VALUE"""),"normal matrix")</f>
        <v>normal matrix</v>
      </c>
      <c r="C535" s="2" t="str">
        <f>IFERROR(__xludf.DUMMYFUNCTION("""COMPUTED_VALUE"""),"normalmatris")</f>
        <v>normalmatris</v>
      </c>
      <c r="D535" s="5"/>
      <c r="E535" s="5"/>
      <c r="F535" s="11"/>
      <c r="G535" s="11"/>
    </row>
    <row r="536">
      <c r="A536" s="2" t="str">
        <f>IFERROR(__xludf.DUMMYFUNCTION("""COMPUTED_VALUE"""),"normaali, normaalivektori, kohtisuora vektori")</f>
        <v>normaali, normaalivektori, kohtisuora vektori</v>
      </c>
      <c r="B536" s="2" t="str">
        <f>IFERROR(__xludf.DUMMYFUNCTION("""COMPUTED_VALUE"""),"normal vector")</f>
        <v>normal vector</v>
      </c>
      <c r="C536" s="2" t="str">
        <f>IFERROR(__xludf.DUMMYFUNCTION("""COMPUTED_VALUE"""),"normalvektor")</f>
        <v>normalvektor</v>
      </c>
      <c r="D536" s="5"/>
      <c r="E536" s="5"/>
      <c r="F536" s="11"/>
      <c r="G536" s="11"/>
    </row>
    <row r="537">
      <c r="A537" s="2" t="str">
        <f>IFERROR(__xludf.DUMMYFUNCTION("""COMPUTED_VALUE"""),"normaalijakauma")</f>
        <v>normaalijakauma</v>
      </c>
      <c r="B537" s="2" t="str">
        <f>IFERROR(__xludf.DUMMYFUNCTION("""COMPUTED_VALUE"""),"Gauss distribution, normal distribution")</f>
        <v>Gauss distribution, normal distribution</v>
      </c>
      <c r="C537" s="2" t="str">
        <f>IFERROR(__xludf.DUMMYFUNCTION("""COMPUTED_VALUE"""),"normalfördelning")</f>
        <v>normalfördelning</v>
      </c>
      <c r="D537" s="5"/>
      <c r="E537" s="5"/>
      <c r="F537" s="11"/>
      <c r="G537" s="11"/>
    </row>
    <row r="538">
      <c r="A538" s="2" t="str">
        <f>IFERROR(__xludf.DUMMYFUNCTION("""COMPUTED_VALUE"""),"normaalijakauma")</f>
        <v>normaalijakauma</v>
      </c>
      <c r="B538" s="2" t="str">
        <f>IFERROR(__xludf.DUMMYFUNCTION("""COMPUTED_VALUE"""),"normal distribution, Gauss distribution")</f>
        <v>normal distribution, Gauss distribution</v>
      </c>
      <c r="C538" s="2" t="str">
        <f>IFERROR(__xludf.DUMMYFUNCTION("""COMPUTED_VALUE"""),"normalfördelning")</f>
        <v>normalfördelning</v>
      </c>
      <c r="D538" s="5"/>
      <c r="E538" s="5"/>
      <c r="F538" s="11"/>
      <c r="G538" s="11"/>
    </row>
    <row r="539">
      <c r="A539" s="2" t="str">
        <f>IFERROR(__xludf.DUMMYFUNCTION("""COMPUTED_VALUE"""),"normaalikiihtyvyys")</f>
        <v>normaalikiihtyvyys</v>
      </c>
      <c r="B539" s="2" t="str">
        <f>IFERROR(__xludf.DUMMYFUNCTION("""COMPUTED_VALUE"""),"normal acceleration")</f>
        <v>normal acceleration</v>
      </c>
      <c r="C539" s="2" t="str">
        <f>IFERROR(__xludf.DUMMYFUNCTION("""COMPUTED_VALUE"""),"normalacceleration")</f>
        <v>normalacceleration</v>
      </c>
      <c r="D539" s="5"/>
      <c r="E539" s="5"/>
      <c r="F539" s="11"/>
      <c r="G539" s="11"/>
    </row>
    <row r="540">
      <c r="A540" s="2" t="str">
        <f>IFERROR(__xludf.DUMMYFUNCTION("""COMPUTED_VALUE"""),"normeerautuva, normalisoituva")</f>
        <v>normeerautuva, normalisoituva</v>
      </c>
      <c r="B540" s="2" t="str">
        <f>IFERROR(__xludf.DUMMYFUNCTION("""COMPUTED_VALUE"""),"normable")</f>
        <v>normable</v>
      </c>
      <c r="C540" s="2" t="str">
        <f>IFERROR(__xludf.DUMMYFUNCTION("""COMPUTED_VALUE"""),"normerbar")</f>
        <v>normerbar</v>
      </c>
      <c r="D540" s="5"/>
      <c r="E540" s="5"/>
      <c r="F540" s="11"/>
      <c r="G540" s="11"/>
    </row>
    <row r="541">
      <c r="A541" s="2" t="str">
        <f>IFERROR(__xludf.DUMMYFUNCTION("""COMPUTED_VALUE"""),"normi")</f>
        <v>normi</v>
      </c>
      <c r="B541" s="2" t="str">
        <f>IFERROR(__xludf.DUMMYFUNCTION("""COMPUTED_VALUE"""),"norm")</f>
        <v>norm</v>
      </c>
      <c r="C541" s="2" t="str">
        <f>IFERROR(__xludf.DUMMYFUNCTION("""COMPUTED_VALUE"""),"norm")</f>
        <v>norm</v>
      </c>
      <c r="D541" s="5"/>
      <c r="E541" s="5"/>
      <c r="F541" s="11"/>
      <c r="G541" s="11"/>
    </row>
    <row r="542">
      <c r="A542" s="2" t="str">
        <f>IFERROR(__xludf.DUMMYFUNCTION("""COMPUTED_VALUE"""),"normiavaruus")</f>
        <v>normiavaruus</v>
      </c>
      <c r="B542" s="2" t="str">
        <f>IFERROR(__xludf.DUMMYFUNCTION("""COMPUTED_VALUE"""),"normed space")</f>
        <v>normed space</v>
      </c>
      <c r="C542" s="2" t="str">
        <f>IFERROR(__xludf.DUMMYFUNCTION("""COMPUTED_VALUE"""),"normerat rum")</f>
        <v>normerat rum</v>
      </c>
      <c r="D542" s="5"/>
      <c r="E542" s="5"/>
      <c r="F542" s="11"/>
      <c r="G542" s="11"/>
    </row>
    <row r="543">
      <c r="A543" s="2" t="str">
        <f>IFERROR(__xludf.DUMMYFUNCTION("""COMPUTED_VALUE"""),"nosto")</f>
        <v>nosto</v>
      </c>
      <c r="B543" s="2" t="str">
        <f>IFERROR(__xludf.DUMMYFUNCTION("""COMPUTED_VALUE"""),"lift, lifting")</f>
        <v>lift, lifting</v>
      </c>
      <c r="C543" s="2" t="str">
        <f>IFERROR(__xludf.DUMMYFUNCTION("""COMPUTED_VALUE"""),"-")</f>
        <v>-</v>
      </c>
      <c r="D543" s="5"/>
      <c r="E543" s="5"/>
      <c r="F543" s="11"/>
      <c r="G543" s="11"/>
    </row>
    <row r="544">
      <c r="A544" s="2" t="str">
        <f>IFERROR(__xludf.DUMMYFUNCTION("""COMPUTED_VALUE"""),"nulliteetti (dim Ker T)")</f>
        <v>nulliteetti (dim Ker T)</v>
      </c>
      <c r="B544" s="2" t="str">
        <f>IFERROR(__xludf.DUMMYFUNCTION("""COMPUTED_VALUE"""),"nullity")</f>
        <v>nullity</v>
      </c>
      <c r="C544" s="2" t="str">
        <f>IFERROR(__xludf.DUMMYFUNCTION("""COMPUTED_VALUE"""),"kärnans dimension")</f>
        <v>kärnans dimension</v>
      </c>
      <c r="D544" s="5"/>
      <c r="E544" s="5"/>
      <c r="F544" s="11"/>
      <c r="G544" s="11"/>
    </row>
    <row r="545">
      <c r="A545" s="2" t="str">
        <f>IFERROR(__xludf.DUMMYFUNCTION("""COMPUTED_VALUE"""),"numeerinen")</f>
        <v>numeerinen</v>
      </c>
      <c r="B545" s="2" t="str">
        <f>IFERROR(__xludf.DUMMYFUNCTION("""COMPUTED_VALUE"""),"numerical")</f>
        <v>numerical</v>
      </c>
      <c r="C545" s="2" t="str">
        <f>IFERROR(__xludf.DUMMYFUNCTION("""COMPUTED_VALUE"""),"numerisk")</f>
        <v>numerisk</v>
      </c>
      <c r="D545" s="5"/>
      <c r="E545" s="5"/>
      <c r="F545" s="11"/>
      <c r="G545" s="11"/>
    </row>
    <row r="546">
      <c r="A546" s="2" t="str">
        <f>IFERROR(__xludf.DUMMYFUNCTION("""COMPUTED_VALUE"""),"numeroituva (1. -sti ääretön 2. enintään numeroituva)")</f>
        <v>numeroituva (1. -sti ääretön 2. enintään numeroituva)</v>
      </c>
      <c r="B546" s="2" t="str">
        <f>IFERROR(__xludf.DUMMYFUNCTION("""COMPUTED_VALUE"""),"countable, enumerable, denumerable")</f>
        <v>countable, enumerable, denumerable</v>
      </c>
      <c r="C546" s="2" t="str">
        <f>IFERROR(__xludf.DUMMYFUNCTION("""COMPUTED_VALUE"""),"uppräknelig")</f>
        <v>uppräknelig</v>
      </c>
      <c r="D546" s="5"/>
      <c r="E546" s="5"/>
      <c r="F546" s="11"/>
      <c r="G546" s="11"/>
    </row>
    <row r="547">
      <c r="A547" s="2" t="str">
        <f>IFERROR(__xludf.DUMMYFUNCTION("""COMPUTED_VALUE"""),"numeroituva (1. -sti ääretön 2. enintään numeroituva)")</f>
        <v>numeroituva (1. -sti ääretön 2. enintään numeroituva)</v>
      </c>
      <c r="B547" s="2" t="str">
        <f>IFERROR(__xludf.DUMMYFUNCTION("""COMPUTED_VALUE"""),"denumerable, countable, enumerable")</f>
        <v>denumerable, countable, enumerable</v>
      </c>
      <c r="C547" s="2" t="str">
        <f>IFERROR(__xludf.DUMMYFUNCTION("""COMPUTED_VALUE"""),"uppräknelig")</f>
        <v>uppräknelig</v>
      </c>
      <c r="D547" s="5"/>
      <c r="E547" s="5"/>
      <c r="F547" s="11"/>
      <c r="G547" s="11"/>
    </row>
    <row r="548">
      <c r="A548" s="2" t="str">
        <f>IFERROR(__xludf.DUMMYFUNCTION("""COMPUTED_VALUE"""),"numeroituva (1. -sti ääretön 2. enintään numeroituva)")</f>
        <v>numeroituva (1. -sti ääretön 2. enintään numeroituva)</v>
      </c>
      <c r="B548" s="2" t="str">
        <f>IFERROR(__xludf.DUMMYFUNCTION("""COMPUTED_VALUE"""),"enumerable, countable, denumerable")</f>
        <v>enumerable, countable, denumerable</v>
      </c>
      <c r="C548" s="2" t="str">
        <f>IFERROR(__xludf.DUMMYFUNCTION("""COMPUTED_VALUE"""),"uppräknelig")</f>
        <v>uppräknelig</v>
      </c>
      <c r="D548" s="5"/>
      <c r="E548" s="5"/>
      <c r="F548" s="11"/>
      <c r="G548" s="11"/>
    </row>
    <row r="549">
      <c r="A549" s="2" t="str">
        <f>IFERROR(__xludf.DUMMYFUNCTION("""COMPUTED_VALUE"""),"numeroituva-arvoinen")</f>
        <v>numeroituva-arvoinen</v>
      </c>
      <c r="B549" s="2" t="str">
        <f>IFERROR(__xludf.DUMMYFUNCTION("""COMPUTED_VALUE"""),"countably-valued")</f>
        <v>countably-valued</v>
      </c>
      <c r="C549" s="2" t="str">
        <f>IFERROR(__xludf.DUMMYFUNCTION("""COMPUTED_VALUE"""),"-")</f>
        <v>-</v>
      </c>
      <c r="D549" s="5"/>
      <c r="E549" s="5"/>
      <c r="F549" s="11"/>
      <c r="G549" s="11"/>
    </row>
    <row r="550">
      <c r="A550" s="2" t="str">
        <f>IFERROR(__xludf.DUMMYFUNCTION("""COMPUTED_VALUE"""),"nurkka")</f>
        <v>nurkka</v>
      </c>
      <c r="B550" s="2" t="str">
        <f>IFERROR(__xludf.DUMMYFUNCTION("""COMPUTED_VALUE"""),"corner")</f>
        <v>corner</v>
      </c>
      <c r="C550" s="2" t="str">
        <f>IFERROR(__xludf.DUMMYFUNCTION("""COMPUTED_VALUE"""),"hörn")</f>
        <v>hörn</v>
      </c>
      <c r="D550" s="5"/>
      <c r="E550" s="5"/>
      <c r="F550" s="11"/>
      <c r="G550" s="11"/>
    </row>
    <row r="551">
      <c r="A551" s="2" t="str">
        <f>IFERROR(__xludf.DUMMYFUNCTION("""COMPUTED_VALUE"""),"näyte, otos")</f>
        <v>näyte, otos</v>
      </c>
      <c r="B551" s="2" t="str">
        <f>IFERROR(__xludf.DUMMYFUNCTION("""COMPUTED_VALUE"""),"sample")</f>
        <v>sample</v>
      </c>
      <c r="C551" s="2" t="str">
        <f>IFERROR(__xludf.DUMMYFUNCTION("""COMPUTED_VALUE"""),"sampel, urval")</f>
        <v>sampel, urval</v>
      </c>
      <c r="D551" s="5"/>
      <c r="E551" s="5"/>
      <c r="F551" s="11"/>
      <c r="G551" s="11"/>
    </row>
    <row r="552">
      <c r="A552" s="2" t="str">
        <f>IFERROR(__xludf.DUMMYFUNCTION("""COMPUTED_VALUE"""),"näyttää")</f>
        <v>näyttää</v>
      </c>
      <c r="B552" s="2" t="str">
        <f>IFERROR(__xludf.DUMMYFUNCTION("""COMPUTED_VALUE"""),"show")</f>
        <v>show</v>
      </c>
      <c r="C552" s="2" t="str">
        <f>IFERROR(__xludf.DUMMYFUNCTION("""COMPUTED_VALUE"""),"visa")</f>
        <v>visa</v>
      </c>
      <c r="D552" s="5"/>
      <c r="E552" s="5"/>
      <c r="F552" s="11"/>
      <c r="G552" s="11"/>
    </row>
    <row r="553">
      <c r="A553" s="2" t="str">
        <f>IFERROR(__xludf.DUMMYFUNCTION("""COMPUTED_VALUE"""),"odotusarvo")</f>
        <v>odotusarvo</v>
      </c>
      <c r="B553" s="2" t="str">
        <f>IFERROR(__xludf.DUMMYFUNCTION("""COMPUTED_VALUE"""),"expected value, expectation (value)")</f>
        <v>expected value, expectation (value)</v>
      </c>
      <c r="C553" s="2" t="str">
        <f>IFERROR(__xludf.DUMMYFUNCTION("""COMPUTED_VALUE"""),"väntevärde")</f>
        <v>väntevärde</v>
      </c>
      <c r="D553" s="5"/>
      <c r="E553" s="5"/>
      <c r="F553" s="11"/>
      <c r="G553" s="11"/>
    </row>
    <row r="554">
      <c r="A554" s="2" t="str">
        <f>IFERROR(__xludf.DUMMYFUNCTION("""COMPUTED_VALUE"""),"ODY")</f>
        <v>ODY</v>
      </c>
      <c r="B554" s="2" t="str">
        <f>IFERROR(__xludf.DUMMYFUNCTION("""COMPUTED_VALUE"""),"PDE")</f>
        <v>PDE</v>
      </c>
      <c r="C554" s="2" t="str">
        <f>IFERROR(__xludf.DUMMYFUNCTION("""COMPUTED_VALUE"""),"PDE")</f>
        <v>PDE</v>
      </c>
      <c r="D554" s="5"/>
      <c r="E554" s="5"/>
      <c r="F554" s="11"/>
      <c r="G554" s="11"/>
    </row>
    <row r="555">
      <c r="A555" s="2" t="str">
        <f>IFERROR(__xludf.DUMMYFUNCTION("""COMPUTED_VALUE"""),"oikeanpuoleinen derivaatta")</f>
        <v>oikeanpuoleinen derivaatta</v>
      </c>
      <c r="B555" s="2" t="str">
        <f>IFERROR(__xludf.DUMMYFUNCTION("""COMPUTED_VALUE"""),"right derivative, right-hand derivative")</f>
        <v>right derivative, right-hand derivative</v>
      </c>
      <c r="C555" s="2" t="str">
        <f>IFERROR(__xludf.DUMMYFUNCTION("""COMPUTED_VALUE"""),"högerderivata")</f>
        <v>högerderivata</v>
      </c>
      <c r="D555" s="5"/>
      <c r="E555" s="5"/>
      <c r="F555" s="11"/>
      <c r="G555" s="11"/>
    </row>
    <row r="556">
      <c r="A556" s="2" t="str">
        <f>IFERROR(__xludf.DUMMYFUNCTION("""COMPUTED_VALUE"""),"oikeanpuoleinen käänteismatriisi")</f>
        <v>oikeanpuoleinen käänteismatriisi</v>
      </c>
      <c r="B556" s="2" t="str">
        <f>IFERROR(__xludf.DUMMYFUNCTION("""COMPUTED_VALUE"""),"right inverse")</f>
        <v>right inverse</v>
      </c>
      <c r="C556" s="2" t="str">
        <f>IFERROR(__xludf.DUMMYFUNCTION("""COMPUTED_VALUE"""),"-")</f>
        <v>-</v>
      </c>
      <c r="D556" s="5"/>
      <c r="E556" s="5"/>
      <c r="F556" s="11"/>
      <c r="G556" s="11"/>
    </row>
    <row r="557">
      <c r="A557" s="2" t="str">
        <f>IFERROR(__xludf.DUMMYFUNCTION("""COMPUTED_VALUE"""),"oikeanpuoleinen limit")</f>
        <v>oikeanpuoleinen limit</v>
      </c>
      <c r="B557" s="2" t="str">
        <f>IFERROR(__xludf.DUMMYFUNCTION("""COMPUTED_VALUE"""),"right limit, right-hand limit")</f>
        <v>right limit, right-hand limit</v>
      </c>
      <c r="C557" s="2" t="str">
        <f>IFERROR(__xludf.DUMMYFUNCTION("""COMPUTED_VALUE"""),"högergränsvärde")</f>
        <v>högergränsvärde</v>
      </c>
      <c r="D557" s="5"/>
      <c r="E557" s="5"/>
      <c r="F557" s="11"/>
      <c r="G557" s="11"/>
    </row>
    <row r="558">
      <c r="A558" s="2" t="str">
        <f>IFERROR(__xludf.DUMMYFUNCTION("""COMPUTED_VALUE"""),"oktantti")</f>
        <v>oktantti</v>
      </c>
      <c r="B558" s="2" t="str">
        <f>IFERROR(__xludf.DUMMYFUNCTION("""COMPUTED_VALUE"""),"octant")</f>
        <v>octant</v>
      </c>
      <c r="C558" s="2" t="str">
        <f>IFERROR(__xludf.DUMMYFUNCTION("""COMPUTED_VALUE"""),"oktant")</f>
        <v>oktant</v>
      </c>
      <c r="D558" s="5"/>
      <c r="E558" s="5"/>
      <c r="F558" s="11"/>
      <c r="G558" s="11"/>
    </row>
    <row r="559">
      <c r="A559" s="2" t="str">
        <f>IFERROR(__xludf.DUMMYFUNCTION("""COMPUTED_VALUE"""),"olemassaolo")</f>
        <v>olemassaolo</v>
      </c>
      <c r="B559" s="2" t="str">
        <f>IFERROR(__xludf.DUMMYFUNCTION("""COMPUTED_VALUE"""),"existence")</f>
        <v>existence</v>
      </c>
      <c r="C559" s="2" t="str">
        <f>IFERROR(__xludf.DUMMYFUNCTION("""COMPUTED_VALUE"""),"existens")</f>
        <v>existens</v>
      </c>
      <c r="D559" s="5"/>
      <c r="E559" s="5"/>
      <c r="F559" s="11"/>
      <c r="G559" s="11"/>
    </row>
    <row r="560">
      <c r="A560" s="2" t="str">
        <f>IFERROR(__xludf.DUMMYFUNCTION("""COMPUTED_VALUE"""),"olennainen erikoispiste")</f>
        <v>olennainen erikoispiste</v>
      </c>
      <c r="B560" s="2" t="str">
        <f>IFERROR(__xludf.DUMMYFUNCTION("""COMPUTED_VALUE"""),"essential singularity")</f>
        <v>essential singularity</v>
      </c>
      <c r="C560" s="2" t="str">
        <f>IFERROR(__xludf.DUMMYFUNCTION("""COMPUTED_VALUE"""),"väsentlig singularitet")</f>
        <v>väsentlig singularitet</v>
      </c>
      <c r="D560" s="5"/>
      <c r="E560" s="5"/>
      <c r="F560" s="11"/>
      <c r="G560" s="11"/>
    </row>
    <row r="561">
      <c r="A561" s="2" t="str">
        <f>IFERROR(__xludf.DUMMYFUNCTION("""COMPUTED_VALUE"""),"olla olemassa")</f>
        <v>olla olemassa</v>
      </c>
      <c r="B561" s="2" t="str">
        <f>IFERROR(__xludf.DUMMYFUNCTION("""COMPUTED_VALUE"""),"exists")</f>
        <v>exists</v>
      </c>
      <c r="C561" s="2" t="str">
        <f>IFERROR(__xludf.DUMMYFUNCTION("""COMPUTED_VALUE"""),"existera")</f>
        <v>existera</v>
      </c>
      <c r="D561" s="5"/>
      <c r="E561" s="5"/>
      <c r="F561" s="11"/>
      <c r="G561" s="11"/>
    </row>
    <row r="562">
      <c r="A562" s="2" t="str">
        <f>IFERROR(__xludf.DUMMYFUNCTION("""COMPUTED_VALUE"""),"ominaisarvo")</f>
        <v>ominaisarvo</v>
      </c>
      <c r="B562" s="2" t="str">
        <f>IFERROR(__xludf.DUMMYFUNCTION("""COMPUTED_VALUE"""),"eigenvalue")</f>
        <v>eigenvalue</v>
      </c>
      <c r="C562" s="2" t="str">
        <f>IFERROR(__xludf.DUMMYFUNCTION("""COMPUTED_VALUE"""),"egenvärde")</f>
        <v>egenvärde</v>
      </c>
      <c r="D562" s="5"/>
      <c r="E562" s="5"/>
      <c r="F562" s="11"/>
      <c r="G562" s="11"/>
    </row>
    <row r="563">
      <c r="A563" s="2" t="str">
        <f>IFERROR(__xludf.DUMMYFUNCTION("""COMPUTED_VALUE"""),"ominaisavaruus")</f>
        <v>ominaisavaruus</v>
      </c>
      <c r="B563" s="2" t="str">
        <f>IFERROR(__xludf.DUMMYFUNCTION("""COMPUTED_VALUE"""),"eigenspace")</f>
        <v>eigenspace</v>
      </c>
      <c r="C563" s="2" t="str">
        <f>IFERROR(__xludf.DUMMYFUNCTION("""COMPUTED_VALUE"""),"egenrum")</f>
        <v>egenrum</v>
      </c>
      <c r="D563" s="5"/>
      <c r="E563" s="5"/>
      <c r="F563" s="11"/>
      <c r="G563" s="11"/>
    </row>
    <row r="564">
      <c r="A564" s="2" t="str">
        <f>IFERROR(__xludf.DUMMYFUNCTION("""COMPUTED_VALUE"""),"ominaisvektori")</f>
        <v>ominaisvektori</v>
      </c>
      <c r="B564" s="2" t="str">
        <f>IFERROR(__xludf.DUMMYFUNCTION("""COMPUTED_VALUE"""),"eigenvector")</f>
        <v>eigenvector</v>
      </c>
      <c r="C564" s="2" t="str">
        <f>IFERROR(__xludf.DUMMYFUNCTION("""COMPUTED_VALUE"""),"egenvektor")</f>
        <v>egenvektor</v>
      </c>
      <c r="D564" s="5"/>
      <c r="E564" s="5"/>
      <c r="F564" s="11"/>
      <c r="G564" s="11"/>
    </row>
    <row r="565">
      <c r="A565" s="2" t="str">
        <f>IFERROR(__xludf.DUMMYFUNCTION("""COMPUTED_VALUE"""),"operaattori")</f>
        <v>operaattori</v>
      </c>
      <c r="B565" s="2" t="str">
        <f>IFERROR(__xludf.DUMMYFUNCTION("""COMPUTED_VALUE"""),"operator")</f>
        <v>operator</v>
      </c>
      <c r="C565" s="2" t="str">
        <f>IFERROR(__xludf.DUMMYFUNCTION("""COMPUTED_VALUE"""),"operator")</f>
        <v>operator</v>
      </c>
      <c r="D565" s="5"/>
      <c r="E565" s="5"/>
      <c r="F565" s="11"/>
      <c r="G565" s="11"/>
    </row>
    <row r="566">
      <c r="A566" s="2" t="str">
        <f>IFERROR(__xludf.DUMMYFUNCTION("""COMPUTED_VALUE"""),"optimaalinen")</f>
        <v>optimaalinen</v>
      </c>
      <c r="B566" s="2" t="str">
        <f>IFERROR(__xludf.DUMMYFUNCTION("""COMPUTED_VALUE"""),"optimal")</f>
        <v>optimal</v>
      </c>
      <c r="C566" s="2" t="str">
        <f>IFERROR(__xludf.DUMMYFUNCTION("""COMPUTED_VALUE"""),"optimal")</f>
        <v>optimal</v>
      </c>
      <c r="D566" s="5"/>
      <c r="E566" s="5"/>
      <c r="F566" s="11"/>
      <c r="G566" s="11"/>
    </row>
    <row r="567">
      <c r="A567" s="2" t="str">
        <f>IFERROR(__xludf.DUMMYFUNCTION("""COMPUTED_VALUE"""),"optimoida")</f>
        <v>optimoida</v>
      </c>
      <c r="B567" s="2" t="str">
        <f>IFERROR(__xludf.DUMMYFUNCTION("""COMPUTED_VALUE"""),"optimize")</f>
        <v>optimize</v>
      </c>
      <c r="C567" s="2" t="str">
        <f>IFERROR(__xludf.DUMMYFUNCTION("""COMPUTED_VALUE"""),"optimera")</f>
        <v>optimera</v>
      </c>
      <c r="D567" s="5"/>
      <c r="E567" s="5"/>
      <c r="F567" s="11"/>
      <c r="G567" s="11"/>
    </row>
    <row r="568">
      <c r="A568" s="2" t="str">
        <f>IFERROR(__xludf.DUMMYFUNCTION("""COMPUTED_VALUE"""),"origo")</f>
        <v>origo</v>
      </c>
      <c r="B568" s="2" t="str">
        <f>IFERROR(__xludf.DUMMYFUNCTION("""COMPUTED_VALUE"""),"origin")</f>
        <v>origin</v>
      </c>
      <c r="C568" s="2" t="str">
        <f>IFERROR(__xludf.DUMMYFUNCTION("""COMPUTED_VALUE"""),"origo")</f>
        <v>origo</v>
      </c>
      <c r="D568" s="5"/>
      <c r="E568" s="5"/>
      <c r="F568" s="11"/>
      <c r="G568" s="11"/>
    </row>
    <row r="569">
      <c r="A569" s="2" t="str">
        <f>IFERROR(__xludf.DUMMYFUNCTION("""COMPUTED_VALUE"""),"ortogonaalikomplementti, ortokomplementti, orto")</f>
        <v>ortogonaalikomplementti, ortokomplementti, orto</v>
      </c>
      <c r="B569" s="2" t="str">
        <f>IFERROR(__xludf.DUMMYFUNCTION("""COMPUTED_VALUE"""),"orthogonal complement")</f>
        <v>orthogonal complement</v>
      </c>
      <c r="C569" s="2" t="str">
        <f>IFERROR(__xludf.DUMMYFUNCTION("""COMPUTED_VALUE"""),"ortogonalkomplement")</f>
        <v>ortogonalkomplement</v>
      </c>
      <c r="D569" s="5"/>
      <c r="E569" s="5"/>
      <c r="F569" s="11"/>
      <c r="G569" s="11"/>
    </row>
    <row r="570">
      <c r="A570" s="2" t="str">
        <f>IFERROR(__xludf.DUMMYFUNCTION("""COMPUTED_VALUE"""),"ortogonaalinen matriisi")</f>
        <v>ortogonaalinen matriisi</v>
      </c>
      <c r="B570" s="2" t="str">
        <f>IFERROR(__xludf.DUMMYFUNCTION("""COMPUTED_VALUE"""),"orthogonal matrix")</f>
        <v>orthogonal matrix</v>
      </c>
      <c r="C570" s="2" t="str">
        <f>IFERROR(__xludf.DUMMYFUNCTION("""COMPUTED_VALUE"""),"ortogonalmatris")</f>
        <v>ortogonalmatris</v>
      </c>
      <c r="D570" s="5"/>
      <c r="E570" s="5"/>
      <c r="F570" s="11"/>
      <c r="G570" s="11"/>
    </row>
    <row r="571">
      <c r="A571" s="2" t="str">
        <f>IFERROR(__xludf.DUMMYFUNCTION("""COMPUTED_VALUE"""),"ortonormeerattu, ortonormaali")</f>
        <v>ortonormeerattu, ortonormaali</v>
      </c>
      <c r="B571" s="2" t="str">
        <f>IFERROR(__xludf.DUMMYFUNCTION("""COMPUTED_VALUE"""),"orthonormal")</f>
        <v>orthonormal</v>
      </c>
      <c r="C571" s="2" t="str">
        <f>IFERROR(__xludf.DUMMYFUNCTION("""COMPUTED_VALUE"""),"ortonormerad")</f>
        <v>ortonormerad</v>
      </c>
      <c r="D571" s="5"/>
      <c r="E571" s="5"/>
      <c r="F571" s="11"/>
      <c r="G571" s="11"/>
    </row>
    <row r="572">
      <c r="A572" s="2" t="str">
        <f>IFERROR(__xludf.DUMMYFUNCTION("""COMPUTED_VALUE"""),"osajoukko")</f>
        <v>osajoukko</v>
      </c>
      <c r="B572" s="2" t="str">
        <f>IFERROR(__xludf.DUMMYFUNCTION("""COMPUTED_VALUE"""),"subset")</f>
        <v>subset</v>
      </c>
      <c r="C572" s="2" t="str">
        <f>IFERROR(__xludf.DUMMYFUNCTION("""COMPUTED_VALUE"""),"delmängd")</f>
        <v>delmängd</v>
      </c>
      <c r="D572" s="5"/>
      <c r="E572" s="5"/>
      <c r="F572" s="11"/>
      <c r="G572" s="11"/>
    </row>
    <row r="573">
      <c r="A573" s="2" t="str">
        <f>IFERROR(__xludf.DUMMYFUNCTION("""COMPUTED_VALUE"""),"osamurtokehitelmä")</f>
        <v>osamurtokehitelmä</v>
      </c>
      <c r="B573" s="2" t="str">
        <f>IFERROR(__xludf.DUMMYFUNCTION("""COMPUTED_VALUE"""),"partial fraction decomposition")</f>
        <v>partial fraction decomposition</v>
      </c>
      <c r="C573" s="2" t="str">
        <f>IFERROR(__xludf.DUMMYFUNCTION("""COMPUTED_VALUE"""),"partialbråksutveckling")</f>
        <v>partialbråksutveckling</v>
      </c>
      <c r="D573" s="5"/>
      <c r="E573" s="5"/>
      <c r="F573" s="11"/>
      <c r="G573" s="11"/>
    </row>
    <row r="574">
      <c r="A574" s="2" t="str">
        <f>IFERROR(__xludf.DUMMYFUNCTION("""COMPUTED_VALUE"""),"osamäärä")</f>
        <v>osamäärä</v>
      </c>
      <c r="B574" s="2" t="str">
        <f>IFERROR(__xludf.DUMMYFUNCTION("""COMPUTED_VALUE"""),"quotient")</f>
        <v>quotient</v>
      </c>
      <c r="C574" s="2" t="str">
        <f>IFERROR(__xludf.DUMMYFUNCTION("""COMPUTED_VALUE"""),"kvot")</f>
        <v>kvot</v>
      </c>
      <c r="D574" s="5"/>
      <c r="E574" s="5"/>
      <c r="F574" s="11"/>
      <c r="G574" s="11"/>
    </row>
    <row r="575">
      <c r="A575" s="2" t="str">
        <f>IFERROR(__xludf.DUMMYFUNCTION("""COMPUTED_VALUE"""),"osapeite")</f>
        <v>osapeite</v>
      </c>
      <c r="B575" s="2" t="str">
        <f>IFERROR(__xludf.DUMMYFUNCTION("""COMPUTED_VALUE"""),"subcover")</f>
        <v>subcover</v>
      </c>
      <c r="C575" s="2" t="str">
        <f>IFERROR(__xludf.DUMMYFUNCTION("""COMPUTED_VALUE"""),"deltäcke")</f>
        <v>deltäcke</v>
      </c>
      <c r="D575" s="5"/>
      <c r="E575" s="5"/>
      <c r="F575" s="11"/>
      <c r="G575" s="11"/>
    </row>
    <row r="576">
      <c r="A576" s="2" t="str">
        <f>IFERROR(__xludf.DUMMYFUNCTION("""COMPUTED_VALUE"""),"osapeite")</f>
        <v>osapeite</v>
      </c>
      <c r="B576" s="2" t="str">
        <f>IFERROR(__xludf.DUMMYFUNCTION("""COMPUTED_VALUE"""),"subcovering")</f>
        <v>subcovering</v>
      </c>
      <c r="C576" s="2" t="str">
        <f>IFERROR(__xludf.DUMMYFUNCTION("""COMPUTED_VALUE"""),"-")</f>
        <v>-</v>
      </c>
      <c r="D576" s="5"/>
      <c r="E576" s="5"/>
      <c r="F576" s="11"/>
      <c r="G576" s="11"/>
    </row>
    <row r="577">
      <c r="A577" s="2" t="str">
        <f>IFERROR(__xludf.DUMMYFUNCTION("""COMPUTED_VALUE"""),"osasumma")</f>
        <v>osasumma</v>
      </c>
      <c r="B577" s="2" t="str">
        <f>IFERROR(__xludf.DUMMYFUNCTION("""COMPUTED_VALUE"""),"partial sum")</f>
        <v>partial sum</v>
      </c>
      <c r="C577" s="2" t="str">
        <f>IFERROR(__xludf.DUMMYFUNCTION("""COMPUTED_VALUE"""),"delsumma")</f>
        <v>delsumma</v>
      </c>
      <c r="D577" s="5"/>
      <c r="E577" s="5"/>
      <c r="F577" s="11"/>
      <c r="G577" s="11"/>
    </row>
    <row r="578">
      <c r="A578" s="2" t="str">
        <f>IFERROR(__xludf.DUMMYFUNCTION("""COMPUTED_VALUE"""),"osaväli")</f>
        <v>osaväli</v>
      </c>
      <c r="B578" s="2" t="str">
        <f>IFERROR(__xludf.DUMMYFUNCTION("""COMPUTED_VALUE"""),"subinterval")</f>
        <v>subinterval</v>
      </c>
      <c r="C578" s="2" t="str">
        <f>IFERROR(__xludf.DUMMYFUNCTION("""COMPUTED_VALUE"""),"delintervall")</f>
        <v>delintervall</v>
      </c>
      <c r="D578" s="5"/>
      <c r="E578" s="5"/>
      <c r="F578" s="11"/>
      <c r="G578" s="11"/>
    </row>
    <row r="579">
      <c r="A579" s="2" t="str">
        <f>IFERROR(__xludf.DUMMYFUNCTION("""COMPUTED_VALUE"""),"osittaisderivaatta")</f>
        <v>osittaisderivaatta</v>
      </c>
      <c r="B579" s="2" t="str">
        <f>IFERROR(__xludf.DUMMYFUNCTION("""COMPUTED_VALUE"""),"partial derivative")</f>
        <v>partial derivative</v>
      </c>
      <c r="C579" s="2" t="str">
        <f>IFERROR(__xludf.DUMMYFUNCTION("""COMPUTED_VALUE"""),"partiell derivata")</f>
        <v>partiell derivata</v>
      </c>
      <c r="D579" s="5"/>
      <c r="E579" s="5"/>
      <c r="F579" s="11"/>
      <c r="G579" s="11"/>
    </row>
    <row r="580">
      <c r="A580" s="2" t="str">
        <f>IFERROR(__xludf.DUMMYFUNCTION("""COMPUTED_VALUE"""),"osittaisdifferentiaaliyhtälö")</f>
        <v>osittaisdifferentiaaliyhtälö</v>
      </c>
      <c r="B580" s="2" t="str">
        <f>IFERROR(__xludf.DUMMYFUNCTION("""COMPUTED_VALUE"""),"partial differential equation")</f>
        <v>partial differential equation</v>
      </c>
      <c r="C580" s="2" t="str">
        <f>IFERROR(__xludf.DUMMYFUNCTION("""COMPUTED_VALUE"""),"partiell differentialekvation")</f>
        <v>partiell differentialekvation</v>
      </c>
      <c r="D580" s="5"/>
      <c r="E580" s="5"/>
      <c r="F580" s="11"/>
      <c r="G580" s="11"/>
    </row>
    <row r="581">
      <c r="A581" s="2" t="str">
        <f>IFERROR(__xludf.DUMMYFUNCTION("""COMPUTED_VALUE"""),"osittaisintegrointi")</f>
        <v>osittaisintegrointi</v>
      </c>
      <c r="B581" s="2" t="str">
        <f>IFERROR(__xludf.DUMMYFUNCTION("""COMPUTED_VALUE"""),"integration by parts")</f>
        <v>integration by parts</v>
      </c>
      <c r="C581" s="2" t="str">
        <f>IFERROR(__xludf.DUMMYFUNCTION("""COMPUTED_VALUE"""),"partiell integration")</f>
        <v>partiell integration</v>
      </c>
      <c r="D581" s="5"/>
      <c r="E581" s="5"/>
      <c r="F581" s="11"/>
      <c r="G581" s="11"/>
    </row>
    <row r="582">
      <c r="A582" s="2" t="str">
        <f>IFERROR(__xludf.DUMMYFUNCTION("""COMPUTED_VALUE"""),"osittaistuenta")</f>
        <v>osittaistuenta</v>
      </c>
      <c r="B582" s="2" t="str">
        <f>IFERROR(__xludf.DUMMYFUNCTION("""COMPUTED_VALUE"""),"partial pivoting")</f>
        <v>partial pivoting</v>
      </c>
      <c r="C582" s="2" t="str">
        <f>IFERROR(__xludf.DUMMYFUNCTION("""COMPUTED_VALUE"""),"partiell pivåtering")</f>
        <v>partiell pivåtering</v>
      </c>
      <c r="D582" s="5"/>
      <c r="E582" s="5"/>
      <c r="F582" s="11"/>
      <c r="G582" s="11"/>
    </row>
    <row r="583">
      <c r="A583" s="2" t="str">
        <f>IFERROR(__xludf.DUMMYFUNCTION("""COMPUTED_VALUE"""),"osittelulaki")</f>
        <v>osittelulaki</v>
      </c>
      <c r="B583" s="2" t="str">
        <f>IFERROR(__xludf.DUMMYFUNCTION("""COMPUTED_VALUE"""),"distributive law")</f>
        <v>distributive law</v>
      </c>
      <c r="C583" s="2" t="str">
        <f>IFERROR(__xludf.DUMMYFUNCTION("""COMPUTED_VALUE"""),"distributionslag")</f>
        <v>distributionslag</v>
      </c>
      <c r="D583" s="5"/>
      <c r="E583" s="5"/>
      <c r="F583" s="11"/>
      <c r="G583" s="11"/>
    </row>
    <row r="584">
      <c r="A584" s="2" t="str">
        <f>IFERROR(__xludf.DUMMYFUNCTION("""COMPUTED_VALUE"""),"ositus")</f>
        <v>ositus</v>
      </c>
      <c r="B584" s="2" t="str">
        <f>IFERROR(__xludf.DUMMYFUNCTION("""COMPUTED_VALUE"""),"decomposition")</f>
        <v>decomposition</v>
      </c>
      <c r="C584" s="2" t="str">
        <f>IFERROR(__xludf.DUMMYFUNCTION("""COMPUTED_VALUE"""),"uppdelning, sönderläggning")</f>
        <v>uppdelning, sönderläggning</v>
      </c>
      <c r="D584" s="5"/>
      <c r="E584" s="5"/>
      <c r="F584" s="11"/>
      <c r="G584" s="11"/>
    </row>
    <row r="585">
      <c r="A585" s="2" t="str">
        <f>IFERROR(__xludf.DUMMYFUNCTION("""COMPUTED_VALUE"""),"ositus")</f>
        <v>ositus</v>
      </c>
      <c r="B585" s="2" t="str">
        <f>IFERROR(__xludf.DUMMYFUNCTION("""COMPUTED_VALUE"""),"partition")</f>
        <v>partition</v>
      </c>
      <c r="C585" s="2" t="str">
        <f>IFERROR(__xludf.DUMMYFUNCTION("""COMPUTED_VALUE"""),"delning")</f>
        <v>delning</v>
      </c>
      <c r="D585" s="5"/>
      <c r="E585" s="5"/>
      <c r="F585" s="11"/>
      <c r="G585" s="11"/>
    </row>
    <row r="586">
      <c r="A586" s="2" t="str">
        <f>IFERROR(__xludf.DUMMYFUNCTION("""COMPUTED_VALUE"""),"oskuloiva taso")</f>
        <v>oskuloiva taso</v>
      </c>
      <c r="B586" s="2" t="str">
        <f>IFERROR(__xludf.DUMMYFUNCTION("""COMPUTED_VALUE"""),"osculating plane")</f>
        <v>osculating plane</v>
      </c>
      <c r="C586" s="2" t="str">
        <f>IFERROR(__xludf.DUMMYFUNCTION("""COMPUTED_VALUE"""),"smygplan")</f>
        <v>smygplan</v>
      </c>
      <c r="D586" s="5"/>
      <c r="E586" s="5"/>
      <c r="F586" s="11"/>
      <c r="G586" s="11"/>
    </row>
    <row r="587">
      <c r="A587" s="2" t="str">
        <f>IFERROR(__xludf.DUMMYFUNCTION("""COMPUTED_VALUE"""),"outo attraktori")</f>
        <v>outo attraktori</v>
      </c>
      <c r="B587" s="2" t="str">
        <f>IFERROR(__xludf.DUMMYFUNCTION("""COMPUTED_VALUE"""),"strange attractor")</f>
        <v>strange attractor</v>
      </c>
      <c r="C587" s="2" t="str">
        <f>IFERROR(__xludf.DUMMYFUNCTION("""COMPUTED_VALUE"""),"-")</f>
        <v>-</v>
      </c>
      <c r="D587" s="5"/>
      <c r="E587" s="5"/>
      <c r="F587" s="11"/>
      <c r="G587" s="11"/>
    </row>
    <row r="588">
      <c r="A588" s="2" t="str">
        <f>IFERROR(__xludf.DUMMYFUNCTION("""COMPUTED_VALUE"""),"p-adinen")</f>
        <v>p-adinen</v>
      </c>
      <c r="B588" s="2" t="str">
        <f>IFERROR(__xludf.DUMMYFUNCTION("""COMPUTED_VALUE"""),"p-adic")</f>
        <v>p-adic</v>
      </c>
      <c r="C588" s="2" t="str">
        <f>IFERROR(__xludf.DUMMYFUNCTION("""COMPUTED_VALUE"""),"p-ad")</f>
        <v>p-ad</v>
      </c>
      <c r="D588" s="5"/>
      <c r="E588" s="5"/>
      <c r="F588" s="11"/>
      <c r="G588" s="11"/>
    </row>
    <row r="589">
      <c r="A589" s="2" t="str">
        <f>IFERROR(__xludf.DUMMYFUNCTION("""COMPUTED_VALUE"""),"pahanlaatuinen")</f>
        <v>pahanlaatuinen</v>
      </c>
      <c r="B589" s="2" t="str">
        <f>IFERROR(__xludf.DUMMYFUNCTION("""COMPUTED_VALUE"""),"ill-posed")</f>
        <v>ill-posed</v>
      </c>
      <c r="C589" s="2" t="str">
        <f>IFERROR(__xludf.DUMMYFUNCTION("""COMPUTED_VALUE"""),"elakartad")</f>
        <v>elakartad</v>
      </c>
      <c r="D589" s="5"/>
      <c r="E589" s="5"/>
      <c r="F589" s="11"/>
      <c r="G589" s="11"/>
    </row>
    <row r="590">
      <c r="A590" s="2" t="str">
        <f>IFERROR(__xludf.DUMMYFUNCTION("""COMPUTED_VALUE"""),"paikallinen ääriarvo, lokaali ääriarvo")</f>
        <v>paikallinen ääriarvo, lokaali ääriarvo</v>
      </c>
      <c r="B590" s="2" t="str">
        <f>IFERROR(__xludf.DUMMYFUNCTION("""COMPUTED_VALUE"""),"local extremum")</f>
        <v>local extremum</v>
      </c>
      <c r="C590" s="2" t="str">
        <f>IFERROR(__xludf.DUMMYFUNCTION("""COMPUTED_VALUE"""),"lokalt extremvärde")</f>
        <v>lokalt extremvärde</v>
      </c>
      <c r="D590" s="5"/>
      <c r="E590" s="5"/>
      <c r="F590" s="11"/>
      <c r="G590" s="11"/>
    </row>
    <row r="591">
      <c r="A591" s="2" t="str">
        <f>IFERROR(__xludf.DUMMYFUNCTION("""COMPUTED_VALUE"""),"paikkavektori")</f>
        <v>paikkavektori</v>
      </c>
      <c r="B591" s="2" t="str">
        <f>IFERROR(__xludf.DUMMYFUNCTION("""COMPUTED_VALUE"""),"position vector")</f>
        <v>position vector</v>
      </c>
      <c r="C591" s="2" t="str">
        <f>IFERROR(__xludf.DUMMYFUNCTION("""COMPUTED_VALUE"""),"ortsvektor")</f>
        <v>ortsvektor</v>
      </c>
      <c r="D591" s="5"/>
      <c r="E591" s="5"/>
      <c r="F591" s="11"/>
      <c r="G591" s="11"/>
    </row>
    <row r="592">
      <c r="A592" s="2" t="str">
        <f>IFERROR(__xludf.DUMMYFUNCTION("""COMPUTED_VALUE"""),"paine")</f>
        <v>paine</v>
      </c>
      <c r="B592" s="2" t="str">
        <f>IFERROR(__xludf.DUMMYFUNCTION("""COMPUTED_VALUE"""),"pressure")</f>
        <v>pressure</v>
      </c>
      <c r="C592" s="2" t="str">
        <f>IFERROR(__xludf.DUMMYFUNCTION("""COMPUTED_VALUE"""),"tryck")</f>
        <v>tryck</v>
      </c>
      <c r="D592" s="5"/>
      <c r="E592" s="5"/>
      <c r="F592" s="11"/>
      <c r="G592" s="11"/>
    </row>
    <row r="593">
      <c r="A593" s="2" t="str">
        <f>IFERROR(__xludf.DUMMYFUNCTION("""COMPUTED_VALUE"""),"paino")</f>
        <v>paino</v>
      </c>
      <c r="B593" s="2" t="str">
        <f>IFERROR(__xludf.DUMMYFUNCTION("""COMPUTED_VALUE"""),"weighting coefficient")</f>
        <v>weighting coefficient</v>
      </c>
      <c r="C593" s="2" t="str">
        <f>IFERROR(__xludf.DUMMYFUNCTION("""COMPUTED_VALUE"""),"vikt")</f>
        <v>vikt</v>
      </c>
      <c r="D593" s="5"/>
      <c r="E593" s="5"/>
      <c r="F593" s="11"/>
      <c r="G593" s="11"/>
    </row>
    <row r="594">
      <c r="A594" s="2" t="str">
        <f>IFERROR(__xludf.DUMMYFUNCTION("""COMPUTED_VALUE"""),"painopiste")</f>
        <v>painopiste</v>
      </c>
      <c r="B594" s="2" t="str">
        <f>IFERROR(__xludf.DUMMYFUNCTION("""COMPUTED_VALUE"""),"barycenter")</f>
        <v>barycenter</v>
      </c>
      <c r="C594" s="2" t="str">
        <f>IFERROR(__xludf.DUMMYFUNCTION("""COMPUTED_VALUE"""),"barycenter, tyngdpunkt")</f>
        <v>barycenter, tyngdpunkt</v>
      </c>
      <c r="D594" s="5"/>
      <c r="E594" s="5"/>
      <c r="F594" s="11"/>
      <c r="G594" s="11"/>
    </row>
    <row r="595">
      <c r="A595" s="2" t="str">
        <f>IFERROR(__xludf.DUMMYFUNCTION("""COMPUTED_VALUE"""),"painopiste, massakeskipiste")</f>
        <v>painopiste, massakeskipiste</v>
      </c>
      <c r="B595" s="2" t="str">
        <f>IFERROR(__xludf.DUMMYFUNCTION("""COMPUTED_VALUE"""),"center of mass")</f>
        <v>center of mass</v>
      </c>
      <c r="C595" s="2" t="str">
        <f>IFERROR(__xludf.DUMMYFUNCTION("""COMPUTED_VALUE"""),"tyngdpunkt")</f>
        <v>tyngdpunkt</v>
      </c>
      <c r="D595" s="5"/>
      <c r="E595" s="5"/>
      <c r="F595" s="11"/>
      <c r="G595" s="11"/>
    </row>
    <row r="596">
      <c r="A596" s="2" t="str">
        <f>IFERROR(__xludf.DUMMYFUNCTION("""COMPUTED_VALUE"""),"painotettu")</f>
        <v>painotettu</v>
      </c>
      <c r="B596" s="2" t="str">
        <f>IFERROR(__xludf.DUMMYFUNCTION("""COMPUTED_VALUE"""),"weighted")</f>
        <v>weighted</v>
      </c>
      <c r="C596" s="2" t="str">
        <f>IFERROR(__xludf.DUMMYFUNCTION("""COMPUTED_VALUE"""),"vägt")</f>
        <v>vägt</v>
      </c>
      <c r="D596" s="5"/>
      <c r="E596" s="5"/>
      <c r="F596" s="11"/>
      <c r="G596" s="11"/>
    </row>
    <row r="597">
      <c r="A597" s="2" t="str">
        <f>IFERROR(__xludf.DUMMYFUNCTION("""COMPUTED_VALUE"""),"pallo, pallonpinta, pallonkuori")</f>
        <v>pallo, pallonpinta, pallonkuori</v>
      </c>
      <c r="B597" s="2" t="str">
        <f>IFERROR(__xludf.DUMMYFUNCTION("""COMPUTED_VALUE"""),"sphere")</f>
        <v>sphere</v>
      </c>
      <c r="C597" s="2" t="str">
        <f>IFERROR(__xludf.DUMMYFUNCTION("""COMPUTED_VALUE"""),"sfär")</f>
        <v>sfär</v>
      </c>
      <c r="D597" s="5"/>
      <c r="E597" s="5"/>
      <c r="F597" s="11"/>
      <c r="G597" s="11"/>
    </row>
    <row r="598">
      <c r="A598" s="2" t="str">
        <f>IFERROR(__xludf.DUMMYFUNCTION("""COMPUTED_VALUE"""),"pallokoordinaatit")</f>
        <v>pallokoordinaatit</v>
      </c>
      <c r="B598" s="2" t="str">
        <f>IFERROR(__xludf.DUMMYFUNCTION("""COMPUTED_VALUE"""),"spherical coordinates")</f>
        <v>spherical coordinates</v>
      </c>
      <c r="C598" s="2" t="str">
        <f>IFERROR(__xludf.DUMMYFUNCTION("""COMPUTED_VALUE"""),"sfäriska koordinater")</f>
        <v>sfäriska koordinater</v>
      </c>
      <c r="D598" s="5"/>
      <c r="E598" s="5"/>
      <c r="F598" s="11"/>
      <c r="G598" s="11"/>
    </row>
    <row r="599">
      <c r="A599" s="2" t="str">
        <f>IFERROR(__xludf.DUMMYFUNCTION("""COMPUTED_VALUE"""),"paloittain")</f>
        <v>paloittain</v>
      </c>
      <c r="B599" s="2" t="str">
        <f>IFERROR(__xludf.DUMMYFUNCTION("""COMPUTED_VALUE"""),"piecewise")</f>
        <v>piecewise</v>
      </c>
      <c r="C599" s="2" t="str">
        <f>IFERROR(__xludf.DUMMYFUNCTION("""COMPUTED_VALUE"""),"styckvis")</f>
        <v>styckvis</v>
      </c>
      <c r="D599" s="5"/>
      <c r="E599" s="5"/>
      <c r="F599" s="11"/>
      <c r="G599" s="11"/>
    </row>
    <row r="600">
      <c r="A600" s="2" t="str">
        <f>IFERROR(__xludf.DUMMYFUNCTION("""COMPUTED_VALUE"""),"paloittain lineaarinen, PL")</f>
        <v>paloittain lineaarinen, PL</v>
      </c>
      <c r="B600" s="2" t="str">
        <f>IFERROR(__xludf.DUMMYFUNCTION("""COMPUTED_VALUE"""),"piecewise linear, PL")</f>
        <v>piecewise linear, PL</v>
      </c>
      <c r="C600" s="2" t="str">
        <f>IFERROR(__xludf.DUMMYFUNCTION("""COMPUTED_VALUE"""),"styckvis linjär")</f>
        <v>styckvis linjär</v>
      </c>
      <c r="D600" s="5"/>
      <c r="E600" s="5"/>
      <c r="F600" s="11"/>
      <c r="G600" s="11"/>
    </row>
    <row r="601">
      <c r="A601" s="2" t="str">
        <f>IFERROR(__xludf.DUMMYFUNCTION("""COMPUTED_VALUE"""),"paraabeli")</f>
        <v>paraabeli</v>
      </c>
      <c r="B601" s="2" t="str">
        <f>IFERROR(__xludf.DUMMYFUNCTION("""COMPUTED_VALUE"""),"parabola")</f>
        <v>parabola</v>
      </c>
      <c r="C601" s="2" t="str">
        <f>IFERROR(__xludf.DUMMYFUNCTION("""COMPUTED_VALUE"""),"parabel")</f>
        <v>parabel</v>
      </c>
      <c r="D601" s="5"/>
      <c r="E601" s="5"/>
      <c r="F601" s="11"/>
      <c r="G601" s="11"/>
    </row>
    <row r="602">
      <c r="A602" s="2" t="str">
        <f>IFERROR(__xludf.DUMMYFUNCTION("""COMPUTED_VALUE"""),"parabolinen")</f>
        <v>parabolinen</v>
      </c>
      <c r="B602" s="2" t="str">
        <f>IFERROR(__xludf.DUMMYFUNCTION("""COMPUTED_VALUE"""),"parabolic")</f>
        <v>parabolic</v>
      </c>
      <c r="C602" s="2" t="str">
        <f>IFERROR(__xludf.DUMMYFUNCTION("""COMPUTED_VALUE"""),"parabolisk")</f>
        <v>parabolisk</v>
      </c>
      <c r="D602" s="5"/>
      <c r="E602" s="5"/>
      <c r="F602" s="11"/>
      <c r="G602" s="11"/>
    </row>
    <row r="603">
      <c r="A603" s="2" t="str">
        <f>IFERROR(__xludf.DUMMYFUNCTION("""COMPUTED_VALUE"""),"paraboloidi")</f>
        <v>paraboloidi</v>
      </c>
      <c r="B603" s="2" t="str">
        <f>IFERROR(__xludf.DUMMYFUNCTION("""COMPUTED_VALUE"""),"paraboloid")</f>
        <v>paraboloid</v>
      </c>
      <c r="C603" s="2" t="str">
        <f>IFERROR(__xludf.DUMMYFUNCTION("""COMPUTED_VALUE"""),"paraboloid")</f>
        <v>paraboloid</v>
      </c>
      <c r="D603" s="5"/>
      <c r="E603" s="5"/>
      <c r="F603" s="11"/>
      <c r="G603" s="11"/>
    </row>
    <row r="604">
      <c r="A604" s="2" t="str">
        <f>IFERROR(__xludf.DUMMYFUNCTION("""COMPUTED_VALUE"""),"parametri")</f>
        <v>parametri</v>
      </c>
      <c r="B604" s="2" t="str">
        <f>IFERROR(__xludf.DUMMYFUNCTION("""COMPUTED_VALUE"""),"parameter")</f>
        <v>parameter</v>
      </c>
      <c r="C604" s="2" t="str">
        <f>IFERROR(__xludf.DUMMYFUNCTION("""COMPUTED_VALUE"""),"parameter")</f>
        <v>parameter</v>
      </c>
      <c r="D604" s="5"/>
      <c r="E604" s="5"/>
      <c r="F604" s="11"/>
      <c r="G604" s="11"/>
    </row>
    <row r="605">
      <c r="A605" s="2" t="str">
        <f>IFERROR(__xludf.DUMMYFUNCTION("""COMPUTED_VALUE"""),"parametrimuotoinen käyrä")</f>
        <v>parametrimuotoinen käyrä</v>
      </c>
      <c r="B605" s="2" t="str">
        <f>IFERROR(__xludf.DUMMYFUNCTION("""COMPUTED_VALUE"""),"parametric curve")</f>
        <v>parametric curve</v>
      </c>
      <c r="C605" s="2" t="str">
        <f>IFERROR(__xludf.DUMMYFUNCTION("""COMPUTED_VALUE"""),"kutva i parameterform")</f>
        <v>kutva i parameterform</v>
      </c>
      <c r="D605" s="5"/>
      <c r="E605" s="5"/>
      <c r="F605" s="11"/>
      <c r="G605" s="11"/>
    </row>
    <row r="606">
      <c r="A606" s="2" t="str">
        <f>IFERROR(__xludf.DUMMYFUNCTION("""COMPUTED_VALUE"""),"parametrisointi")</f>
        <v>parametrisointi</v>
      </c>
      <c r="B606" s="2" t="str">
        <f>IFERROR(__xludf.DUMMYFUNCTION("""COMPUTED_VALUE"""),"parametrization")</f>
        <v>parametrization</v>
      </c>
      <c r="C606" s="2" t="str">
        <f>IFERROR(__xludf.DUMMYFUNCTION("""COMPUTED_VALUE"""),"parametrisering")</f>
        <v>parametrisering</v>
      </c>
      <c r="D606" s="5"/>
      <c r="E606" s="5"/>
      <c r="F606" s="11"/>
      <c r="G606" s="11"/>
    </row>
    <row r="607">
      <c r="A607" s="2" t="str">
        <f>IFERROR(__xludf.DUMMYFUNCTION("""COMPUTED_VALUE"""),"pareittain")</f>
        <v>pareittain</v>
      </c>
      <c r="B607" s="2" t="str">
        <f>IFERROR(__xludf.DUMMYFUNCTION("""COMPUTED_VALUE"""),"pairwise")</f>
        <v>pairwise</v>
      </c>
      <c r="C607" s="2" t="str">
        <f>IFERROR(__xludf.DUMMYFUNCTION("""COMPUTED_VALUE"""),"parvis")</f>
        <v>parvis</v>
      </c>
      <c r="D607" s="5"/>
      <c r="E607" s="5"/>
      <c r="F607" s="11"/>
      <c r="G607" s="11"/>
    </row>
    <row r="608">
      <c r="A608" s="2" t="str">
        <f>IFERROR(__xludf.DUMMYFUNCTION("""COMPUTED_VALUE"""),"parillinen")</f>
        <v>parillinen</v>
      </c>
      <c r="B608" s="2" t="str">
        <f>IFERROR(__xludf.DUMMYFUNCTION("""COMPUTED_VALUE"""),"even")</f>
        <v>even</v>
      </c>
      <c r="C608" s="2" t="str">
        <f>IFERROR(__xludf.DUMMYFUNCTION("""COMPUTED_VALUE"""),"jämn")</f>
        <v>jämn</v>
      </c>
      <c r="D608" s="5"/>
      <c r="E608" s="5"/>
      <c r="F608" s="11"/>
      <c r="G608" s="11"/>
    </row>
    <row r="609">
      <c r="A609" s="2" t="str">
        <f>IFERROR(__xludf.DUMMYFUNCTION("""COMPUTED_VALUE"""),"pariton")</f>
        <v>pariton</v>
      </c>
      <c r="B609" s="2" t="str">
        <f>IFERROR(__xludf.DUMMYFUNCTION("""COMPUTED_VALUE"""),"odd")</f>
        <v>odd</v>
      </c>
      <c r="C609" s="2" t="str">
        <f>IFERROR(__xludf.DUMMYFUNCTION("""COMPUTED_VALUE"""),"udda")</f>
        <v>udda</v>
      </c>
      <c r="D609" s="5"/>
      <c r="E609" s="5"/>
      <c r="F609" s="11"/>
      <c r="G609" s="11"/>
    </row>
    <row r="610">
      <c r="A610" s="2" t="str">
        <f>IFERROR(__xludf.DUMMYFUNCTION("""COMPUTED_VALUE"""),"paritus (TVS vs. duaali tms.); parikuvaus")</f>
        <v>paritus (TVS vs. duaali tms.); parikuvaus</v>
      </c>
      <c r="B610" s="2" t="str">
        <f>IFERROR(__xludf.DUMMYFUNCTION("""COMPUTED_VALUE"""),"coupling, pairing")</f>
        <v>coupling, pairing</v>
      </c>
      <c r="C610" s="2" t="str">
        <f>IFERROR(__xludf.DUMMYFUNCTION("""COMPUTED_VALUE"""),"-")</f>
        <v>-</v>
      </c>
      <c r="D610" s="5"/>
      <c r="E610" s="5"/>
      <c r="F610" s="11"/>
      <c r="G610" s="11"/>
    </row>
    <row r="611">
      <c r="A611" s="2" t="str">
        <f>IFERROR(__xludf.DUMMYFUNCTION("""COMPUTED_VALUE"""),"paritus (TVS vs. duaali tms.); parikuvaus")</f>
        <v>paritus (TVS vs. duaali tms.); parikuvaus</v>
      </c>
      <c r="B611" s="2" t="str">
        <f>IFERROR(__xludf.DUMMYFUNCTION("""COMPUTED_VALUE"""),"pairing")</f>
        <v>pairing</v>
      </c>
      <c r="C611" s="2" t="str">
        <f>IFERROR(__xludf.DUMMYFUNCTION("""COMPUTED_VALUE"""),"-")</f>
        <v>-</v>
      </c>
      <c r="D611" s="5"/>
      <c r="E611" s="5"/>
      <c r="F611" s="11"/>
      <c r="G611" s="11"/>
    </row>
    <row r="612">
      <c r="A612" s="2" t="str">
        <f>IFERROR(__xludf.DUMMYFUNCTION("""COMPUTED_VALUE"""),"peilausmatriisi")</f>
        <v>peilausmatriisi</v>
      </c>
      <c r="B612" s="2" t="str">
        <f>IFERROR(__xludf.DUMMYFUNCTION("""COMPUTED_VALUE"""),"reflection matrix")</f>
        <v>reflection matrix</v>
      </c>
      <c r="C612" s="2" t="str">
        <f>IFERROR(__xludf.DUMMYFUNCTION("""COMPUTED_VALUE"""),"reflektionsmatris")</f>
        <v>reflektionsmatris</v>
      </c>
      <c r="D612" s="5"/>
      <c r="E612" s="5"/>
      <c r="F612" s="11"/>
      <c r="G612" s="11"/>
    </row>
    <row r="613">
      <c r="A613" s="2" t="str">
        <f>IFERROR(__xludf.DUMMYFUNCTION("""COMPUTED_VALUE"""),"peite (avoin peite tms.)")</f>
        <v>peite (avoin peite tms.)</v>
      </c>
      <c r="B613" s="2" t="str">
        <f>IFERROR(__xludf.DUMMYFUNCTION("""COMPUTED_VALUE"""),"cover, covering")</f>
        <v>cover, covering</v>
      </c>
      <c r="C613" s="2" t="str">
        <f>IFERROR(__xludf.DUMMYFUNCTION("""COMPUTED_VALUE"""),"täcke")</f>
        <v>täcke</v>
      </c>
      <c r="D613" s="5"/>
      <c r="E613" s="5"/>
      <c r="F613" s="11"/>
      <c r="G613" s="11"/>
    </row>
    <row r="614">
      <c r="A614" s="2" t="str">
        <f>IFERROR(__xludf.DUMMYFUNCTION("""COMPUTED_VALUE"""),"peitekuvaus")</f>
        <v>peitekuvaus</v>
      </c>
      <c r="B614" s="2" t="str">
        <f>IFERROR(__xludf.DUMMYFUNCTION("""COMPUTED_VALUE"""),"covering map")</f>
        <v>covering map</v>
      </c>
      <c r="C614" s="2" t="str">
        <f>IFERROR(__xludf.DUMMYFUNCTION("""COMPUTED_VALUE"""),"övertäckningsavbildning")</f>
        <v>övertäckningsavbildning</v>
      </c>
      <c r="D614" s="5"/>
      <c r="E614" s="5"/>
      <c r="F614" s="11"/>
      <c r="G614" s="11"/>
    </row>
    <row r="615">
      <c r="A615" s="2" t="str">
        <f>IFERROR(__xludf.DUMMYFUNCTION("""COMPUTED_VALUE"""),"perfekti (joukko)")</f>
        <v>perfekti (joukko)</v>
      </c>
      <c r="B615" s="2" t="str">
        <f>IFERROR(__xludf.DUMMYFUNCTION("""COMPUTED_VALUE"""),"perfect")</f>
        <v>perfect</v>
      </c>
      <c r="C615" s="2" t="str">
        <f>IFERROR(__xludf.DUMMYFUNCTION("""COMPUTED_VALUE"""),"perfekt")</f>
        <v>perfekt</v>
      </c>
      <c r="D615" s="5"/>
      <c r="E615" s="5"/>
      <c r="F615" s="11"/>
      <c r="G615" s="11"/>
    </row>
    <row r="616">
      <c r="A616" s="2" t="str">
        <f>IFERROR(__xludf.DUMMYFUNCTION("""COMPUTED_VALUE"""),"perhe")</f>
        <v>perhe</v>
      </c>
      <c r="B616" s="2" t="str">
        <f>IFERROR(__xludf.DUMMYFUNCTION("""COMPUTED_VALUE"""),"family")</f>
        <v>family</v>
      </c>
      <c r="C616" s="2" t="str">
        <f>IFERROR(__xludf.DUMMYFUNCTION("""COMPUTED_VALUE"""),"familj")</f>
        <v>familj</v>
      </c>
      <c r="D616" s="5"/>
      <c r="E616" s="5"/>
      <c r="F616" s="11"/>
      <c r="G616" s="11"/>
    </row>
    <row r="617">
      <c r="A617" s="2" t="str">
        <f>IFERROR(__xludf.DUMMYFUNCTION("""COMPUTED_VALUE"""),"perinnöllinen")</f>
        <v>perinnöllinen</v>
      </c>
      <c r="B617" s="2" t="str">
        <f>IFERROR(__xludf.DUMMYFUNCTION("""COMPUTED_VALUE"""),"hereditary")</f>
        <v>hereditary</v>
      </c>
      <c r="C617" s="2" t="str">
        <f>IFERROR(__xludf.DUMMYFUNCTION("""COMPUTED_VALUE"""),"ärftlig")</f>
        <v>ärftlig</v>
      </c>
      <c r="D617" s="5"/>
      <c r="E617" s="5"/>
      <c r="F617" s="11"/>
      <c r="G617" s="11"/>
    </row>
    <row r="618">
      <c r="A618" s="2" t="str">
        <f>IFERROR(__xludf.DUMMYFUNCTION("""COMPUTED_VALUE"""),"permutaatio, permutointi")</f>
        <v>permutaatio, permutointi</v>
      </c>
      <c r="B618" s="2" t="str">
        <f>IFERROR(__xludf.DUMMYFUNCTION("""COMPUTED_VALUE"""),"permutation")</f>
        <v>permutation</v>
      </c>
      <c r="C618" s="2" t="str">
        <f>IFERROR(__xludf.DUMMYFUNCTION("""COMPUTED_VALUE"""),"permutation")</f>
        <v>permutation</v>
      </c>
      <c r="D618" s="5"/>
      <c r="E618" s="5"/>
      <c r="F618" s="11"/>
      <c r="G618" s="11"/>
    </row>
    <row r="619">
      <c r="A619" s="2" t="str">
        <f>IFERROR(__xludf.DUMMYFUNCTION("""COMPUTED_VALUE"""),"perusjoukko")</f>
        <v>perusjoukko</v>
      </c>
      <c r="B619" s="2" t="str">
        <f>IFERROR(__xludf.DUMMYFUNCTION("""COMPUTED_VALUE"""),"universe")</f>
        <v>universe</v>
      </c>
      <c r="C619" s="2" t="str">
        <f>IFERROR(__xludf.DUMMYFUNCTION("""COMPUTED_VALUE"""),"grundmängd")</f>
        <v>grundmängd</v>
      </c>
      <c r="D619" s="5"/>
      <c r="E619" s="5"/>
      <c r="F619" s="11"/>
      <c r="G619" s="11"/>
    </row>
    <row r="620">
      <c r="A620" s="2" t="str">
        <f>IFERROR(__xludf.DUMMYFUNCTION("""COMPUTED_VALUE"""),"peruslause")</f>
        <v>peruslause</v>
      </c>
      <c r="B620" s="2" t="str">
        <f>IFERROR(__xludf.DUMMYFUNCTION("""COMPUTED_VALUE"""),"fundamental theorem")</f>
        <v>fundamental theorem</v>
      </c>
      <c r="C620" s="2" t="str">
        <f>IFERROR(__xludf.DUMMYFUNCTION("""COMPUTED_VALUE"""),"fundamentalsats")</f>
        <v>fundamentalsats</v>
      </c>
      <c r="D620" s="5"/>
      <c r="E620" s="5"/>
      <c r="F620" s="11"/>
      <c r="G620" s="11"/>
    </row>
    <row r="621">
      <c r="A621" s="2" t="str">
        <f>IFERROR(__xludf.DUMMYFUNCTION("""COMPUTED_VALUE"""),"perusratkaisu")</f>
        <v>perusratkaisu</v>
      </c>
      <c r="B621" s="2" t="str">
        <f>IFERROR(__xludf.DUMMYFUNCTION("""COMPUTED_VALUE"""),"fundamental solution")</f>
        <v>fundamental solution</v>
      </c>
      <c r="C621" s="2" t="str">
        <f>IFERROR(__xludf.DUMMYFUNCTION("""COMPUTED_VALUE"""),"fundamentallösning")</f>
        <v>fundamentallösning</v>
      </c>
      <c r="D621" s="5"/>
      <c r="E621" s="5"/>
      <c r="F621" s="11"/>
      <c r="G621" s="11"/>
    </row>
    <row r="622">
      <c r="A622" s="2" t="str">
        <f>IFERROR(__xludf.DUMMYFUNCTION("""COMPUTED_VALUE"""),"perusryhmä")</f>
        <v>perusryhmä</v>
      </c>
      <c r="B622" s="2" t="str">
        <f>IFERROR(__xludf.DUMMYFUNCTION("""COMPUTED_VALUE"""),"fundamental group")</f>
        <v>fundamental group</v>
      </c>
      <c r="C622" s="2" t="str">
        <f>IFERROR(__xludf.DUMMYFUNCTION("""COMPUTED_VALUE"""),"grundmängd")</f>
        <v>grundmängd</v>
      </c>
      <c r="D622" s="5"/>
      <c r="E622" s="5"/>
      <c r="F622" s="11"/>
      <c r="G622" s="11"/>
    </row>
    <row r="623">
      <c r="A623" s="2" t="str">
        <f>IFERROR(__xludf.DUMMYFUNCTION("""COMPUTED_VALUE"""),"pienin neliö(summa)")</f>
        <v>pienin neliö(summa)</v>
      </c>
      <c r="B623" s="2" t="str">
        <f>IFERROR(__xludf.DUMMYFUNCTION("""COMPUTED_VALUE"""),"least squares")</f>
        <v>least squares</v>
      </c>
      <c r="C623" s="2" t="str">
        <f>IFERROR(__xludf.DUMMYFUNCTION("""COMPUTED_VALUE"""),"minsta kvadrat")</f>
        <v>minsta kvadrat</v>
      </c>
      <c r="D623" s="5"/>
      <c r="E623" s="5"/>
      <c r="F623" s="11"/>
      <c r="G623" s="11"/>
    </row>
    <row r="624">
      <c r="A624" s="2" t="str">
        <f>IFERROR(__xludf.DUMMYFUNCTION("""COMPUTED_VALUE"""),"pienin yhteinen monikerta")</f>
        <v>pienin yhteinen monikerta</v>
      </c>
      <c r="B624" s="2" t="str">
        <f>IFERROR(__xludf.DUMMYFUNCTION("""COMPUTED_VALUE"""),"least common multiple")</f>
        <v>least common multiple</v>
      </c>
      <c r="C624" s="2" t="str">
        <f>IFERROR(__xludf.DUMMYFUNCTION("""COMPUTED_VALUE"""),"minsta gemensamma multipel")</f>
        <v>minsta gemensamma multipel</v>
      </c>
      <c r="D624" s="5"/>
      <c r="E624" s="5"/>
      <c r="F624" s="11"/>
      <c r="G624" s="11"/>
    </row>
    <row r="625">
      <c r="A625" s="2" t="str">
        <f>IFERROR(__xludf.DUMMYFUNCTION("""COMPUTED_VALUE"""),"pinta")</f>
        <v>pinta</v>
      </c>
      <c r="B625" s="2" t="str">
        <f>IFERROR(__xludf.DUMMYFUNCTION("""COMPUTED_VALUE"""),"surface")</f>
        <v>surface</v>
      </c>
      <c r="C625" s="2" t="str">
        <f>IFERROR(__xludf.DUMMYFUNCTION("""COMPUTED_VALUE"""),"yta")</f>
        <v>yta</v>
      </c>
      <c r="D625" s="5"/>
      <c r="E625" s="5"/>
      <c r="F625" s="11"/>
      <c r="G625" s="11"/>
    </row>
    <row r="626">
      <c r="A626" s="2" t="str">
        <f>IFERROR(__xludf.DUMMYFUNCTION("""COMPUTED_VALUE"""),"pinta-ala, ala")</f>
        <v>pinta-ala, ala</v>
      </c>
      <c r="B626" s="2" t="str">
        <f>IFERROR(__xludf.DUMMYFUNCTION("""COMPUTED_VALUE"""),"area")</f>
        <v>area</v>
      </c>
      <c r="C626" s="2" t="str">
        <f>IFERROR(__xludf.DUMMYFUNCTION("""COMPUTED_VALUE"""),"yta, area")</f>
        <v>yta, area</v>
      </c>
      <c r="D626" s="5"/>
      <c r="E626" s="5"/>
      <c r="F626" s="11"/>
      <c r="G626" s="11"/>
    </row>
    <row r="627">
      <c r="A627" s="2" t="str">
        <f>IFERROR(__xludf.DUMMYFUNCTION("""COMPUTED_VALUE"""),"piste")</f>
        <v>piste</v>
      </c>
      <c r="B627" s="2" t="str">
        <f>IFERROR(__xludf.DUMMYFUNCTION("""COMPUTED_VALUE"""),"point")</f>
        <v>point</v>
      </c>
      <c r="C627" s="2" t="str">
        <f>IFERROR(__xludf.DUMMYFUNCTION("""COMPUTED_VALUE"""),"punkt")</f>
        <v>punkt</v>
      </c>
      <c r="D627" s="5"/>
      <c r="E627" s="5"/>
      <c r="F627" s="11"/>
      <c r="G627" s="11"/>
    </row>
    <row r="628">
      <c r="A628" s="2" t="str">
        <f>IFERROR(__xludf.DUMMYFUNCTION("""COMPUTED_VALUE"""),"pisteittäin")</f>
        <v>pisteittäin</v>
      </c>
      <c r="B628" s="2" t="str">
        <f>IFERROR(__xludf.DUMMYFUNCTION("""COMPUTED_VALUE"""),"pointwise")</f>
        <v>pointwise</v>
      </c>
      <c r="C628" s="2" t="str">
        <f>IFERROR(__xludf.DUMMYFUNCTION("""COMPUTED_VALUE"""),"punktvis")</f>
        <v>punktvis</v>
      </c>
      <c r="D628" s="5"/>
      <c r="E628" s="5"/>
      <c r="F628" s="11"/>
      <c r="G628" s="11"/>
    </row>
    <row r="629">
      <c r="A629" s="2" t="str">
        <f>IFERROR(__xludf.DUMMYFUNCTION("""COMPUTED_VALUE"""),"pistetulo, skalaaritulo, sisätulo")</f>
        <v>pistetulo, skalaaritulo, sisätulo</v>
      </c>
      <c r="B629" s="2" t="str">
        <f>IFERROR(__xludf.DUMMYFUNCTION("""COMPUTED_VALUE"""),"dot product")</f>
        <v>dot product</v>
      </c>
      <c r="C629" s="2" t="str">
        <f>IFERROR(__xludf.DUMMYFUNCTION("""COMPUTED_VALUE"""),"skalärprodukt")</f>
        <v>skalärprodukt</v>
      </c>
      <c r="D629" s="5"/>
      <c r="E629" s="5"/>
      <c r="F629" s="11"/>
      <c r="G629" s="11"/>
    </row>
    <row r="630">
      <c r="A630" s="2" t="str">
        <f>IFERROR(__xludf.DUMMYFUNCTION("""COMPUTED_VALUE"""),"pituus")</f>
        <v>pituus</v>
      </c>
      <c r="B630" s="2" t="str">
        <f>IFERROR(__xludf.DUMMYFUNCTION("""COMPUTED_VALUE"""),"length")</f>
        <v>length</v>
      </c>
      <c r="C630" s="2" t="str">
        <f>IFERROR(__xludf.DUMMYFUNCTION("""COMPUTED_VALUE"""),"längd")</f>
        <v>längd</v>
      </c>
      <c r="D630" s="5"/>
      <c r="E630" s="5"/>
      <c r="F630" s="11"/>
      <c r="G630" s="11"/>
    </row>
    <row r="631">
      <c r="A631" s="2" t="str">
        <f>IFERROR(__xludf.DUMMYFUNCTION("""COMPUTED_VALUE"""),"pohjustin")</f>
        <v>pohjustin</v>
      </c>
      <c r="B631" s="2" t="str">
        <f>IFERROR(__xludf.DUMMYFUNCTION("""COMPUTED_VALUE"""),"preconditioner")</f>
        <v>preconditioner</v>
      </c>
      <c r="C631" s="2" t="str">
        <f>IFERROR(__xludf.DUMMYFUNCTION("""COMPUTED_VALUE"""),"-")</f>
        <v>-</v>
      </c>
      <c r="D631" s="5"/>
      <c r="E631" s="5"/>
      <c r="F631" s="11"/>
      <c r="G631" s="11"/>
    </row>
    <row r="632">
      <c r="A632" s="2" t="str">
        <f>IFERROR(__xludf.DUMMYFUNCTION("""COMPUTED_VALUE"""),"poistuva erikoispiste")</f>
        <v>poistuva erikoispiste</v>
      </c>
      <c r="B632" s="2" t="str">
        <f>IFERROR(__xludf.DUMMYFUNCTION("""COMPUTED_VALUE"""),"removable singularity")</f>
        <v>removable singularity</v>
      </c>
      <c r="C632" s="2" t="str">
        <f>IFERROR(__xludf.DUMMYFUNCTION("""COMPUTED_VALUE"""),"hävbar singularitet")</f>
        <v>hävbar singularitet</v>
      </c>
      <c r="D632" s="5"/>
      <c r="E632" s="5"/>
      <c r="F632" s="11"/>
      <c r="G632" s="11"/>
    </row>
    <row r="633">
      <c r="A633" s="2" t="str">
        <f>IFERROR(__xludf.DUMMYFUNCTION("""COMPUTED_VALUE"""),"polaarihajotelma")</f>
        <v>polaarihajotelma</v>
      </c>
      <c r="B633" s="2" t="str">
        <f>IFERROR(__xludf.DUMMYFUNCTION("""COMPUTED_VALUE"""),"polar decomposition")</f>
        <v>polar decomposition</v>
      </c>
      <c r="C633" s="2"/>
      <c r="D633" s="5"/>
      <c r="E633" s="5"/>
      <c r="F633" s="11"/>
      <c r="G633" s="11"/>
    </row>
    <row r="634">
      <c r="A634" s="2" t="str">
        <f>IFERROR(__xludf.DUMMYFUNCTION("""COMPUTED_VALUE"""),"polku")</f>
        <v>polku</v>
      </c>
      <c r="B634" s="2" t="str">
        <f>IFERROR(__xludf.DUMMYFUNCTION("""COMPUTED_VALUE"""),"path")</f>
        <v>path</v>
      </c>
      <c r="C634" s="2" t="str">
        <f>IFERROR(__xludf.DUMMYFUNCTION("""COMPUTED_VALUE"""),"stig, bana")</f>
        <v>stig, bana</v>
      </c>
      <c r="D634" s="5"/>
      <c r="E634" s="5"/>
      <c r="F634" s="11"/>
      <c r="G634" s="11"/>
    </row>
    <row r="635">
      <c r="A635" s="2" t="str">
        <f>IFERROR(__xludf.DUMMYFUNCTION("""COMPUTED_VALUE"""),"polkuyhtenäinen")</f>
        <v>polkuyhtenäinen</v>
      </c>
      <c r="B635" s="2" t="str">
        <f>IFERROR(__xludf.DUMMYFUNCTION("""COMPUTED_VALUE"""),"pathwise connected, path connected")</f>
        <v>pathwise connected, path connected</v>
      </c>
      <c r="C635" s="2" t="str">
        <f>IFERROR(__xludf.DUMMYFUNCTION("""COMPUTED_VALUE"""),"bågvis sammanhängande")</f>
        <v>bågvis sammanhängande</v>
      </c>
      <c r="D635" s="5"/>
      <c r="E635" s="5"/>
      <c r="F635" s="11"/>
      <c r="G635" s="11"/>
    </row>
    <row r="636">
      <c r="A636" s="2" t="str">
        <f>IFERROR(__xludf.DUMMYFUNCTION("""COMPUTED_VALUE"""),"polttopiste")</f>
        <v>polttopiste</v>
      </c>
      <c r="B636" s="2" t="str">
        <f>IFERROR(__xludf.DUMMYFUNCTION("""COMPUTED_VALUE"""),"focus")</f>
        <v>focus</v>
      </c>
      <c r="C636" s="2" t="str">
        <f>IFERROR(__xludf.DUMMYFUNCTION("""COMPUTED_VALUE"""),"brännpunkt, fokus")</f>
        <v>brännpunkt, fokus</v>
      </c>
      <c r="D636" s="5"/>
      <c r="E636" s="5"/>
      <c r="F636" s="11"/>
      <c r="G636" s="11"/>
    </row>
    <row r="637">
      <c r="A637" s="2" t="str">
        <f>IFERROR(__xludf.DUMMYFUNCTION("""COMPUTED_VALUE"""),"polynomi")</f>
        <v>polynomi</v>
      </c>
      <c r="B637" s="2" t="str">
        <f>IFERROR(__xludf.DUMMYFUNCTION("""COMPUTED_VALUE"""),"polynomial")</f>
        <v>polynomial</v>
      </c>
      <c r="C637" s="2" t="str">
        <f>IFERROR(__xludf.DUMMYFUNCTION("""COMPUTED_VALUE"""),"polynom")</f>
        <v>polynom</v>
      </c>
      <c r="D637" s="5"/>
      <c r="E637" s="5"/>
      <c r="F637" s="11"/>
      <c r="G637" s="11"/>
    </row>
    <row r="638">
      <c r="A638" s="2" t="str">
        <f>IFERROR(__xludf.DUMMYFUNCTION("""COMPUTED_VALUE"""),"porrasfunktio (Riemann-integroinnissa)")</f>
        <v>porrasfunktio (Riemann-integroinnissa)</v>
      </c>
      <c r="B638" s="2" t="str">
        <f>IFERROR(__xludf.DUMMYFUNCTION("""COMPUTED_VALUE"""),"step function")</f>
        <v>step function</v>
      </c>
      <c r="C638" s="2" t="str">
        <f>IFERROR(__xludf.DUMMYFUNCTION("""COMPUTED_VALUE"""),"trappfunktion")</f>
        <v>trappfunktion</v>
      </c>
      <c r="D638" s="5"/>
      <c r="E638" s="5"/>
      <c r="F638" s="11"/>
      <c r="G638" s="11"/>
    </row>
    <row r="639">
      <c r="A639" s="2" t="str">
        <f>IFERROR(__xludf.DUMMYFUNCTION("""COMPUTED_VALUE"""),"porrasmatriisi")</f>
        <v>porrasmatriisi</v>
      </c>
      <c r="B639" s="2" t="str">
        <f>IFERROR(__xludf.DUMMYFUNCTION("""COMPUTED_VALUE"""),"echelon matrix")</f>
        <v>echelon matrix</v>
      </c>
      <c r="C639" s="2" t="str">
        <f>IFERROR(__xludf.DUMMYFUNCTION("""COMPUTED_VALUE"""),"-")</f>
        <v>-</v>
      </c>
      <c r="D639" s="5"/>
      <c r="E639" s="5"/>
      <c r="F639" s="11"/>
      <c r="G639" s="11"/>
    </row>
    <row r="640">
      <c r="A640" s="2" t="str">
        <f>IFERROR(__xludf.DUMMYFUNCTION("""COMPUTED_VALUE"""),"porrasmatriisi")</f>
        <v>porrasmatriisi</v>
      </c>
      <c r="B640" s="2" t="str">
        <f>IFERROR(__xludf.DUMMYFUNCTION("""COMPUTED_VALUE"""),"echelon matrix")</f>
        <v>echelon matrix</v>
      </c>
      <c r="C640" s="2" t="str">
        <f>IFERROR(__xludf.DUMMYFUNCTION("""COMPUTED_VALUE"""),"trappstegsmatris")</f>
        <v>trappstegsmatris</v>
      </c>
      <c r="D640" s="5"/>
      <c r="E640" s="5"/>
      <c r="F640" s="11"/>
      <c r="G640" s="11"/>
    </row>
    <row r="641">
      <c r="A641" s="2" t="str">
        <f>IFERROR(__xludf.DUMMYFUNCTION("""COMPUTED_VALUE"""),"porrasmuoto")</f>
        <v>porrasmuoto</v>
      </c>
      <c r="B641" s="2" t="str">
        <f>IFERROR(__xludf.DUMMYFUNCTION("""COMPUTED_VALUE"""),"echelon form, row echelon form")</f>
        <v>echelon form, row echelon form</v>
      </c>
      <c r="C641" s="2" t="str">
        <f>IFERROR(__xludf.DUMMYFUNCTION("""COMPUTED_VALUE"""),"trappstegsform")</f>
        <v>trappstegsform</v>
      </c>
      <c r="D641" s="5"/>
      <c r="E641" s="5"/>
      <c r="F641" s="11"/>
      <c r="G641" s="11"/>
    </row>
    <row r="642">
      <c r="A642" s="2" t="str">
        <f>IFERROR(__xludf.DUMMYFUNCTION("""COMPUTED_VALUE"""),"porrastettu")</f>
        <v>porrastettu</v>
      </c>
      <c r="B642" s="2" t="str">
        <f>IFERROR(__xludf.DUMMYFUNCTION("""COMPUTED_VALUE"""),"graded")</f>
        <v>graded</v>
      </c>
      <c r="C642" s="2" t="str">
        <f>IFERROR(__xludf.DUMMYFUNCTION("""COMPUTED_VALUE"""),"graderad")</f>
        <v>graderad</v>
      </c>
      <c r="D642" s="5"/>
      <c r="E642" s="5"/>
      <c r="F642" s="11"/>
      <c r="G642" s="11"/>
    </row>
    <row r="643">
      <c r="A643" s="2" t="str">
        <f>IFERROR(__xludf.DUMMYFUNCTION("""COMPUTED_VALUE"""),"positiividefiniitti, positiivisesti definiitti")</f>
        <v>positiividefiniitti, positiivisesti definiitti</v>
      </c>
      <c r="B643" s="2" t="str">
        <f>IFERROR(__xludf.DUMMYFUNCTION("""COMPUTED_VALUE"""),"positive definite")</f>
        <v>positive definite</v>
      </c>
      <c r="C643" s="2" t="str">
        <f>IFERROR(__xludf.DUMMYFUNCTION("""COMPUTED_VALUE"""),"positivt definit")</f>
        <v>positivt definit</v>
      </c>
      <c r="D643" s="5"/>
      <c r="E643" s="5"/>
      <c r="F643" s="11"/>
      <c r="G643" s="11"/>
    </row>
    <row r="644">
      <c r="A644" s="2" t="str">
        <f>IFERROR(__xludf.DUMMYFUNCTION("""COMPUTED_VALUE"""),"positiivinen")</f>
        <v>positiivinen</v>
      </c>
      <c r="B644" s="2" t="str">
        <f>IFERROR(__xludf.DUMMYFUNCTION("""COMPUTED_VALUE"""),"positive")</f>
        <v>positive</v>
      </c>
      <c r="C644" s="2" t="str">
        <f>IFERROR(__xludf.DUMMYFUNCTION("""COMPUTED_VALUE"""),"positiv")</f>
        <v>positiv</v>
      </c>
      <c r="D644" s="5"/>
      <c r="E644" s="5"/>
      <c r="F644" s="11"/>
      <c r="G644" s="11"/>
    </row>
    <row r="645">
      <c r="A645" s="2" t="str">
        <f>IFERROR(__xludf.DUMMYFUNCTION("""COMPUTED_VALUE"""),"positiivinen variaatio, ylävariaatio")</f>
        <v>positiivinen variaatio, ylävariaatio</v>
      </c>
      <c r="B645" s="2" t="str">
        <f>IFERROR(__xludf.DUMMYFUNCTION("""COMPUTED_VALUE"""),"positive variation (of a measure)")</f>
        <v>positive variation (of a measure)</v>
      </c>
      <c r="C645" s="2" t="str">
        <f>IFERROR(__xludf.DUMMYFUNCTION("""COMPUTED_VALUE"""),"positiv variation")</f>
        <v>positiv variation</v>
      </c>
      <c r="D645" s="5"/>
      <c r="E645" s="5"/>
      <c r="F645" s="11"/>
      <c r="G645" s="11"/>
    </row>
    <row r="646">
      <c r="A646" s="2" t="str">
        <f>IFERROR(__xludf.DUMMYFUNCTION("""COMPUTED_VALUE"""),"potenssi; mahtavuus")</f>
        <v>potenssi; mahtavuus</v>
      </c>
      <c r="B646" s="2" t="str">
        <f>IFERROR(__xludf.DUMMYFUNCTION("""COMPUTED_VALUE"""),"power")</f>
        <v>power</v>
      </c>
      <c r="C646" s="2" t="str">
        <f>IFERROR(__xludf.DUMMYFUNCTION("""COMPUTED_VALUE"""),"potens")</f>
        <v>potens</v>
      </c>
      <c r="D646" s="5"/>
      <c r="E646" s="5"/>
      <c r="F646" s="11"/>
      <c r="G646" s="11"/>
    </row>
    <row r="647">
      <c r="A647" s="2" t="str">
        <f>IFERROR(__xludf.DUMMYFUNCTION("""COMPUTED_VALUE"""),"potenssiinkorotusmenetelmä")</f>
        <v>potenssiinkorotusmenetelmä</v>
      </c>
      <c r="B647" s="2" t="str">
        <f>IFERROR(__xludf.DUMMYFUNCTION("""COMPUTED_VALUE"""),"power method")</f>
        <v>power method</v>
      </c>
      <c r="C647" s="2"/>
      <c r="D647" s="5"/>
      <c r="E647" s="5"/>
      <c r="F647" s="11"/>
      <c r="G647" s="11"/>
    </row>
    <row r="648">
      <c r="A648" s="2" t="str">
        <f>IFERROR(__xludf.DUMMYFUNCTION("""COMPUTED_VALUE"""),"potenssijoukko")</f>
        <v>potenssijoukko</v>
      </c>
      <c r="B648" s="2" t="str">
        <f>IFERROR(__xludf.DUMMYFUNCTION("""COMPUTED_VALUE"""),"power set")</f>
        <v>power set</v>
      </c>
      <c r="C648" s="2" t="str">
        <f>IFERROR(__xludf.DUMMYFUNCTION("""COMPUTED_VALUE"""),"-")</f>
        <v>-</v>
      </c>
      <c r="D648" s="5"/>
      <c r="E648" s="5"/>
      <c r="F648" s="11"/>
      <c r="G648" s="11"/>
    </row>
    <row r="649">
      <c r="A649" s="2" t="str">
        <f>IFERROR(__xludf.DUMMYFUNCTION("""COMPUTED_VALUE"""),"potenssisarja")</f>
        <v>potenssisarja</v>
      </c>
      <c r="B649" s="2" t="str">
        <f>IFERROR(__xludf.DUMMYFUNCTION("""COMPUTED_VALUE"""),"power series")</f>
        <v>power series</v>
      </c>
      <c r="C649" s="2" t="str">
        <f>IFERROR(__xludf.DUMMYFUNCTION("""COMPUTED_VALUE"""),"potensserie")</f>
        <v>potensserie</v>
      </c>
      <c r="D649" s="5"/>
      <c r="E649" s="5"/>
      <c r="F649" s="11"/>
      <c r="G649" s="11"/>
    </row>
    <row r="650">
      <c r="A650" s="2" t="str">
        <f>IFERROR(__xludf.DUMMYFUNCTION("""COMPUTED_VALUE"""),"prekompakti (1. totaalisti rajoitettu 2. suhteellisesti kompakti)")</f>
        <v>prekompakti (1. totaalisti rajoitettu 2. suhteellisesti kompakti)</v>
      </c>
      <c r="B650" s="2" t="str">
        <f>IFERROR(__xludf.DUMMYFUNCTION("""COMPUTED_VALUE"""),"precompact")</f>
        <v>precompact</v>
      </c>
      <c r="C650" s="2" t="str">
        <f>IFERROR(__xludf.DUMMYFUNCTION("""COMPUTED_VALUE"""),"-")</f>
        <v>-</v>
      </c>
      <c r="D650" s="5"/>
      <c r="E650" s="5"/>
      <c r="F650" s="11"/>
      <c r="G650" s="11"/>
    </row>
    <row r="651">
      <c r="A651" s="2" t="str">
        <f>IFERROR(__xludf.DUMMYFUNCTION("""COMPUTED_VALUE"""),"projektio")</f>
        <v>projektio</v>
      </c>
      <c r="B651" s="2" t="str">
        <f>IFERROR(__xludf.DUMMYFUNCTION("""COMPUTED_VALUE"""),"projection")</f>
        <v>projection</v>
      </c>
      <c r="C651" s="2" t="str">
        <f>IFERROR(__xludf.DUMMYFUNCTION("""COMPUTED_VALUE"""),"projektion")</f>
        <v>projektion</v>
      </c>
      <c r="D651" s="5"/>
      <c r="E651" s="5"/>
      <c r="F651" s="11"/>
      <c r="G651" s="11"/>
    </row>
    <row r="652">
      <c r="A652" s="2" t="str">
        <f>IFERROR(__xludf.DUMMYFUNCTION("""COMPUTED_VALUE"""),"pseudoinverssi")</f>
        <v>pseudoinverssi</v>
      </c>
      <c r="B652" s="2" t="str">
        <f>IFERROR(__xludf.DUMMYFUNCTION("""COMPUTED_VALUE"""),"pseudoinverse")</f>
        <v>pseudoinverse</v>
      </c>
      <c r="C652" s="2" t="str">
        <f>IFERROR(__xludf.DUMMYFUNCTION("""COMPUTED_VALUE"""),"pseudoinvers")</f>
        <v>pseudoinvers</v>
      </c>
      <c r="D652" s="5"/>
      <c r="E652" s="5"/>
      <c r="F652" s="11"/>
      <c r="G652" s="11"/>
    </row>
    <row r="653">
      <c r="A653" s="2" t="str">
        <f>IFERROR(__xludf.DUMMYFUNCTION("""COMPUTED_VALUE"""),"puhtaasti imaginaarinen (reaaliosa on 0)")</f>
        <v>puhtaasti imaginaarinen (reaaliosa on 0)</v>
      </c>
      <c r="B653" s="2" t="str">
        <f>IFERROR(__xludf.DUMMYFUNCTION("""COMPUTED_VALUE"""),"pure(ly) imaginary")</f>
        <v>pure(ly) imaginary</v>
      </c>
      <c r="C653" s="2" t="str">
        <f>IFERROR(__xludf.DUMMYFUNCTION("""COMPUTED_VALUE"""),"rent imaginär")</f>
        <v>rent imaginär</v>
      </c>
      <c r="D653" s="5"/>
      <c r="E653" s="5"/>
      <c r="F653" s="11"/>
      <c r="G653" s="11"/>
    </row>
    <row r="654">
      <c r="A654" s="2" t="str">
        <f>IFERROR(__xludf.DUMMYFUNCTION("""COMPUTED_VALUE"""),"puoliavoin väli")</f>
        <v>puoliavoin väli</v>
      </c>
      <c r="B654" s="2" t="str">
        <f>IFERROR(__xludf.DUMMYFUNCTION("""COMPUTED_VALUE"""),"half-open interval")</f>
        <v>half-open interval</v>
      </c>
      <c r="C654" s="2" t="str">
        <f>IFERROR(__xludf.DUMMYFUNCTION("""COMPUTED_VALUE"""),"halvöppet intervall")</f>
        <v>halvöppet intervall</v>
      </c>
      <c r="D654" s="5"/>
      <c r="E654" s="5"/>
      <c r="F654" s="11"/>
      <c r="G654" s="11"/>
    </row>
    <row r="655">
      <c r="A655" s="2" t="str">
        <f>IFERROR(__xludf.DUMMYFUNCTION("""COMPUTED_VALUE"""),"puoliintumisaika")</f>
        <v>puoliintumisaika</v>
      </c>
      <c r="B655" s="2" t="str">
        <f>IFERROR(__xludf.DUMMYFUNCTION("""COMPUTED_VALUE"""),"half-life")</f>
        <v>half-life</v>
      </c>
      <c r="C655" s="2" t="str">
        <f>IFERROR(__xludf.DUMMYFUNCTION("""COMPUTED_VALUE"""),"halveringstid")</f>
        <v>halveringstid</v>
      </c>
      <c r="D655" s="5"/>
      <c r="E655" s="5"/>
      <c r="F655" s="11"/>
      <c r="G655" s="11"/>
    </row>
    <row r="656">
      <c r="A656" s="2" t="str">
        <f>IFERROR(__xludf.DUMMYFUNCTION("""COMPUTED_VALUE"""),"puolipallo")</f>
        <v>puolipallo</v>
      </c>
      <c r="B656" s="2" t="str">
        <f>IFERROR(__xludf.DUMMYFUNCTION("""COMPUTED_VALUE"""),"hemisphere")</f>
        <v>hemisphere</v>
      </c>
      <c r="C656" s="2" t="str">
        <f>IFERROR(__xludf.DUMMYFUNCTION("""COMPUTED_VALUE"""),"halvklot")</f>
        <v>halvklot</v>
      </c>
      <c r="D656" s="5"/>
      <c r="E656" s="5"/>
      <c r="F656" s="11"/>
      <c r="G656" s="11"/>
    </row>
    <row r="657">
      <c r="A657" s="2" t="str">
        <f>IFERROR(__xludf.DUMMYFUNCTION("""COMPUTED_VALUE"""),"puoliryhmä")</f>
        <v>puoliryhmä</v>
      </c>
      <c r="B657" s="2" t="str">
        <f>IFERROR(__xludf.DUMMYFUNCTION("""COMPUTED_VALUE"""),"semigroup")</f>
        <v>semigroup</v>
      </c>
      <c r="C657" s="2" t="str">
        <f>IFERROR(__xludf.DUMMYFUNCTION("""COMPUTED_VALUE"""),"-")</f>
        <v>-</v>
      </c>
      <c r="D657" s="5"/>
      <c r="E657" s="5"/>
      <c r="F657" s="11"/>
      <c r="G657" s="11"/>
    </row>
    <row r="658">
      <c r="A658" s="2" t="str">
        <f>IFERROR(__xludf.DUMMYFUNCTION("""COMPUTED_VALUE"""),"puolisuunnikas")</f>
        <v>puolisuunnikas</v>
      </c>
      <c r="B658" s="2" t="str">
        <f>IFERROR(__xludf.DUMMYFUNCTION("""COMPUTED_VALUE"""),"trapezoid")</f>
        <v>trapezoid</v>
      </c>
      <c r="C658" s="2" t="str">
        <f>IFERROR(__xludf.DUMMYFUNCTION("""COMPUTED_VALUE"""),"trapetsoid")</f>
        <v>trapetsoid</v>
      </c>
      <c r="D658" s="5"/>
      <c r="E658" s="5"/>
      <c r="F658" s="11"/>
      <c r="G658" s="11"/>
    </row>
    <row r="659">
      <c r="A659" s="2" t="str">
        <f>IFERROR(__xludf.DUMMYFUNCTION("""COMPUTED_VALUE"""),"puolisuunnikassääntö, trapetsisääntö")</f>
        <v>puolisuunnikassääntö, trapetsisääntö</v>
      </c>
      <c r="B659" s="2" t="str">
        <f>IFERROR(__xludf.DUMMYFUNCTION("""COMPUTED_VALUE"""),"Trapezoid Rule")</f>
        <v>Trapezoid Rule</v>
      </c>
      <c r="C659" s="2" t="str">
        <f>IFERROR(__xludf.DUMMYFUNCTION("""COMPUTED_VALUE"""),"trapetsregeln")</f>
        <v>trapetsregeln</v>
      </c>
      <c r="D659" s="5"/>
      <c r="E659" s="5"/>
      <c r="F659" s="11"/>
      <c r="G659" s="11"/>
    </row>
    <row r="660">
      <c r="A660" s="2" t="str">
        <f>IFERROR(__xludf.DUMMYFUNCTION("""COMPUTED_VALUE"""),"puolitusmenetelmä (juuren määrityksessä)")</f>
        <v>puolitusmenetelmä (juuren määrityksessä)</v>
      </c>
      <c r="B660" s="2" t="str">
        <f>IFERROR(__xludf.DUMMYFUNCTION("""COMPUTED_VALUE"""),"bisection method")</f>
        <v>bisection method</v>
      </c>
      <c r="C660" s="2" t="str">
        <f>IFERROR(__xludf.DUMMYFUNCTION("""COMPUTED_VALUE"""),"bisektionsmetoden")</f>
        <v>bisektionsmetoden</v>
      </c>
      <c r="D660" s="5"/>
      <c r="E660" s="5"/>
      <c r="F660" s="11"/>
      <c r="G660" s="11"/>
    </row>
    <row r="661">
      <c r="A661" s="2" t="str">
        <f>IFERROR(__xludf.DUMMYFUNCTION("""COMPUTED_VALUE"""),"puu")</f>
        <v>puu</v>
      </c>
      <c r="B661" s="2" t="str">
        <f>IFERROR(__xludf.DUMMYFUNCTION("""COMPUTED_VALUE"""),"tree")</f>
        <v>tree</v>
      </c>
      <c r="C661" s="2" t="str">
        <f>IFERROR(__xludf.DUMMYFUNCTION("""COMPUTED_VALUE"""),"träd")</f>
        <v>träd</v>
      </c>
      <c r="D661" s="5"/>
      <c r="E661" s="5"/>
      <c r="F661" s="11"/>
      <c r="G661" s="11"/>
    </row>
    <row r="662">
      <c r="A662" s="2" t="str">
        <f>IFERROR(__xludf.DUMMYFUNCTION("""COMPUTED_VALUE"""),"pykälä")</f>
        <v>pykälä</v>
      </c>
      <c r="B662" s="2" t="str">
        <f>IFERROR(__xludf.DUMMYFUNCTION("""COMPUTED_VALUE"""),"section")</f>
        <v>section</v>
      </c>
      <c r="C662" s="2" t="str">
        <f>IFERROR(__xludf.DUMMYFUNCTION("""COMPUTED_VALUE"""),"paragraf")</f>
        <v>paragraf</v>
      </c>
      <c r="D662" s="5"/>
      <c r="E662" s="5"/>
      <c r="F662" s="11"/>
      <c r="G662" s="11"/>
    </row>
    <row r="663">
      <c r="A663" s="2" t="str">
        <f>IFERROR(__xludf.DUMMYFUNCTION("""COMPUTED_VALUE"""),"pyramidi")</f>
        <v>pyramidi</v>
      </c>
      <c r="B663" s="2" t="str">
        <f>IFERROR(__xludf.DUMMYFUNCTION("""COMPUTED_VALUE"""),"pyramid")</f>
        <v>pyramid</v>
      </c>
      <c r="C663" s="2" t="str">
        <f>IFERROR(__xludf.DUMMYFUNCTION("""COMPUTED_VALUE"""),"pyramid")</f>
        <v>pyramid</v>
      </c>
      <c r="D663" s="5"/>
      <c r="E663" s="5"/>
      <c r="F663" s="11"/>
      <c r="G663" s="11"/>
    </row>
    <row r="664">
      <c r="A664" s="2" t="str">
        <f>IFERROR(__xludf.DUMMYFUNCTION("""COMPUTED_VALUE"""),"pystysuora")</f>
        <v>pystysuora</v>
      </c>
      <c r="B664" s="2" t="str">
        <f>IFERROR(__xludf.DUMMYFUNCTION("""COMPUTED_VALUE"""),"vertical")</f>
        <v>vertical</v>
      </c>
      <c r="C664" s="2" t="str">
        <f>IFERROR(__xludf.DUMMYFUNCTION("""COMPUTED_VALUE"""),"lodrät, vertikal")</f>
        <v>lodrät, vertikal</v>
      </c>
      <c r="D664" s="5"/>
      <c r="E664" s="5"/>
      <c r="F664" s="11"/>
      <c r="G664" s="11"/>
    </row>
    <row r="665">
      <c r="A665" s="2" t="str">
        <f>IFERROR(__xludf.DUMMYFUNCTION("""COMPUTED_VALUE"""),"pystyvektori")</f>
        <v>pystyvektori</v>
      </c>
      <c r="B665" s="2" t="str">
        <f>IFERROR(__xludf.DUMMYFUNCTION("""COMPUTED_VALUE"""),"column vector")</f>
        <v>column vector</v>
      </c>
      <c r="C665" s="2" t="str">
        <f>IFERROR(__xludf.DUMMYFUNCTION("""COMPUTED_VALUE"""),"lodrät vektor")</f>
        <v>lodrät vektor</v>
      </c>
      <c r="D665" s="5"/>
      <c r="E665" s="5"/>
      <c r="F665" s="11"/>
      <c r="G665" s="11"/>
    </row>
    <row r="666">
      <c r="A666" s="2" t="str">
        <f>IFERROR(__xludf.DUMMYFUNCTION("""COMPUTED_VALUE"""),"pyöristysvirhe")</f>
        <v>pyöristysvirhe</v>
      </c>
      <c r="B666" s="2" t="str">
        <f>IFERROR(__xludf.DUMMYFUNCTION("""COMPUTED_VALUE"""),"roundoff error")</f>
        <v>roundoff error</v>
      </c>
      <c r="C666" s="2" t="str">
        <f>IFERROR(__xludf.DUMMYFUNCTION("""COMPUTED_VALUE"""),"avrundningsfel")</f>
        <v>avrundningsfel</v>
      </c>
      <c r="D666" s="5"/>
      <c r="E666" s="5"/>
      <c r="F666" s="11"/>
      <c r="G666" s="11"/>
    </row>
    <row r="667">
      <c r="A667" s="2" t="str">
        <f>IFERROR(__xludf.DUMMYFUNCTION("""COMPUTED_VALUE"""),"pyörteetön (curl f eli nabla risti f on 0)")</f>
        <v>pyörteetön (curl f eli nabla risti f on 0)</v>
      </c>
      <c r="B667" s="2" t="str">
        <f>IFERROR(__xludf.DUMMYFUNCTION("""COMPUTED_VALUE"""),"irrotational")</f>
        <v>irrotational</v>
      </c>
      <c r="C667" s="2" t="str">
        <f>IFERROR(__xludf.DUMMYFUNCTION("""COMPUTED_VALUE"""),"virvelfri")</f>
        <v>virvelfri</v>
      </c>
      <c r="D667" s="5"/>
      <c r="E667" s="5"/>
      <c r="F667" s="11"/>
      <c r="G667" s="11"/>
    </row>
    <row r="668">
      <c r="A668" s="2" t="str">
        <f>IFERROR(__xludf.DUMMYFUNCTION("""COMPUTED_VALUE"""),"pyörähdyskappale")</f>
        <v>pyörähdyskappale</v>
      </c>
      <c r="B668" s="2" t="str">
        <f>IFERROR(__xludf.DUMMYFUNCTION("""COMPUTED_VALUE"""),"solid of revolution")</f>
        <v>solid of revolution</v>
      </c>
      <c r="C668" s="2" t="str">
        <f>IFERROR(__xludf.DUMMYFUNCTION("""COMPUTED_VALUE"""),"rotationskropp")</f>
        <v>rotationskropp</v>
      </c>
      <c r="D668" s="5"/>
      <c r="E668" s="5"/>
      <c r="F668" s="11"/>
      <c r="G668" s="11"/>
    </row>
    <row r="669">
      <c r="A669" s="2" t="str">
        <f>IFERROR(__xludf.DUMMYFUNCTION("""COMPUTED_VALUE"""),"pyörähdyspinta")</f>
        <v>pyörähdyspinta</v>
      </c>
      <c r="B669" s="2" t="str">
        <f>IFERROR(__xludf.DUMMYFUNCTION("""COMPUTED_VALUE"""),"surface of revolution")</f>
        <v>surface of revolution</v>
      </c>
      <c r="C669" s="2" t="str">
        <f>IFERROR(__xludf.DUMMYFUNCTION("""COMPUTED_VALUE"""),"rotationsyta")</f>
        <v>rotationsyta</v>
      </c>
      <c r="D669" s="5"/>
      <c r="E669" s="5"/>
      <c r="F669" s="11"/>
      <c r="G669" s="11"/>
    </row>
    <row r="670">
      <c r="A670" s="2" t="str">
        <f>IFERROR(__xludf.DUMMYFUNCTION("""COMPUTED_VALUE"""),"pääakseli")</f>
        <v>pääakseli</v>
      </c>
      <c r="B670" s="2" t="str">
        <f>IFERROR(__xludf.DUMMYFUNCTION("""COMPUTED_VALUE"""),"principal axis")</f>
        <v>principal axis</v>
      </c>
      <c r="C670" s="2" t="str">
        <f>IFERROR(__xludf.DUMMYFUNCTION("""COMPUTED_VALUE"""),"huvudaxel")</f>
        <v>huvudaxel</v>
      </c>
      <c r="D670" s="5"/>
      <c r="E670" s="5"/>
      <c r="F670" s="11"/>
      <c r="G670" s="11"/>
    </row>
    <row r="671">
      <c r="A671" s="2" t="str">
        <f>IFERROR(__xludf.DUMMYFUNCTION("""COMPUTED_VALUE"""),"pääarvo")</f>
        <v>pääarvo</v>
      </c>
      <c r="B671" s="2" t="str">
        <f>IFERROR(__xludf.DUMMYFUNCTION("""COMPUTED_VALUE"""),"principal value")</f>
        <v>principal value</v>
      </c>
      <c r="C671" s="2" t="str">
        <f>IFERROR(__xludf.DUMMYFUNCTION("""COMPUTED_VALUE"""),"principalvärde")</f>
        <v>principalvärde</v>
      </c>
      <c r="D671" s="5"/>
      <c r="E671" s="5"/>
      <c r="F671" s="11"/>
      <c r="G671" s="11"/>
    </row>
    <row r="672">
      <c r="A672" s="2" t="str">
        <f>IFERROR(__xludf.DUMMYFUNCTION("""COMPUTED_VALUE"""),"päänormaali")</f>
        <v>päänormaali</v>
      </c>
      <c r="B672" s="2" t="str">
        <f>IFERROR(__xludf.DUMMYFUNCTION("""COMPUTED_VALUE"""),"principal normal")</f>
        <v>principal normal</v>
      </c>
      <c r="C672" s="2" t="str">
        <f>IFERROR(__xludf.DUMMYFUNCTION("""COMPUTED_VALUE"""),"huvudnormal")</f>
        <v>huvudnormal</v>
      </c>
      <c r="D672" s="5"/>
      <c r="E672" s="5"/>
      <c r="F672" s="11"/>
      <c r="G672" s="11"/>
    </row>
    <row r="673">
      <c r="A673" s="2" t="str">
        <f>IFERROR(__xludf.DUMMYFUNCTION("""COMPUTED_VALUE"""),"päätepiste")</f>
        <v>päätepiste</v>
      </c>
      <c r="B673" s="2" t="str">
        <f>IFERROR(__xludf.DUMMYFUNCTION("""COMPUTED_VALUE"""),"endpoint")</f>
        <v>endpoint</v>
      </c>
      <c r="C673" s="2" t="str">
        <f>IFERROR(__xludf.DUMMYFUNCTION("""COMPUTED_VALUE"""),"ändpunkt")</f>
        <v>ändpunkt</v>
      </c>
      <c r="D673" s="5"/>
      <c r="E673" s="5"/>
      <c r="F673" s="11"/>
      <c r="G673" s="11"/>
    </row>
    <row r="674">
      <c r="A674" s="2" t="str">
        <f>IFERROR(__xludf.DUMMYFUNCTION("""COMPUTED_VALUE"""),"Radon-mitta")</f>
        <v>Radon-mitta</v>
      </c>
      <c r="B674" s="2" t="str">
        <f>IFERROR(__xludf.DUMMYFUNCTION("""COMPUTED_VALUE"""),"Radon measure")</f>
        <v>Radon measure</v>
      </c>
      <c r="C674" s="2" t="str">
        <f>IFERROR(__xludf.DUMMYFUNCTION("""COMPUTED_VALUE"""),"Radonmått")</f>
        <v>Radonmått</v>
      </c>
      <c r="D674" s="5"/>
      <c r="E674" s="5"/>
      <c r="F674" s="11"/>
      <c r="G674" s="11"/>
    </row>
    <row r="675">
      <c r="A675" s="2" t="str">
        <f>IFERROR(__xludf.DUMMYFUNCTION("""COMPUTED_VALUE"""),"raja-arvo")</f>
        <v>raja-arvo</v>
      </c>
      <c r="B675" s="2" t="str">
        <f>IFERROR(__xludf.DUMMYFUNCTION("""COMPUTED_VALUE"""),"limit")</f>
        <v>limit</v>
      </c>
      <c r="C675" s="2" t="str">
        <f>IFERROR(__xludf.DUMMYFUNCTION("""COMPUTED_VALUE"""),"gränsvärde")</f>
        <v>gränsvärde</v>
      </c>
      <c r="D675" s="5"/>
      <c r="E675" s="5"/>
      <c r="F675" s="11"/>
      <c r="G675" s="11"/>
    </row>
    <row r="676">
      <c r="A676" s="2" t="str">
        <f>IFERROR(__xludf.DUMMYFUNCTION("""COMPUTED_VALUE"""),"rajoitettu heilahtelu (BV) (mitta, funktio)")</f>
        <v>rajoitettu heilahtelu (BV) (mitta, funktio)</v>
      </c>
      <c r="B676" s="2" t="str">
        <f>IFERROR(__xludf.DUMMYFUNCTION("""COMPUTED_VALUE"""),"bounded variation (BV)")</f>
        <v>bounded variation (BV)</v>
      </c>
      <c r="C676" s="2" t="str">
        <f>IFERROR(__xludf.DUMMYFUNCTION("""COMPUTED_VALUE"""),"bunden variation")</f>
        <v>bunden variation</v>
      </c>
      <c r="D676" s="5"/>
      <c r="E676" s="5"/>
      <c r="F676" s="11"/>
      <c r="G676" s="11"/>
    </row>
    <row r="677">
      <c r="A677" s="2" t="str">
        <f>IFERROR(__xludf.DUMMYFUNCTION("""COMPUTED_VALUE"""),"rajoitettu, rajallinen")</f>
        <v>rajoitettu, rajallinen</v>
      </c>
      <c r="B677" s="2" t="str">
        <f>IFERROR(__xludf.DUMMYFUNCTION("""COMPUTED_VALUE"""),"bounded")</f>
        <v>bounded</v>
      </c>
      <c r="C677" s="2" t="str">
        <f>IFERROR(__xludf.DUMMYFUNCTION("""COMPUTED_VALUE"""),"begränsad")</f>
        <v>begränsad</v>
      </c>
      <c r="D677" s="5"/>
      <c r="E677" s="5"/>
      <c r="F677" s="11"/>
      <c r="G677" s="11"/>
    </row>
    <row r="678">
      <c r="A678" s="2" t="str">
        <f>IFERROR(__xludf.DUMMYFUNCTION("""COMPUTED_VALUE"""),"rajoitettujen lineaarioperaattorien puoliryhmä")</f>
        <v>rajoitettujen lineaarioperaattorien puoliryhmä</v>
      </c>
      <c r="B678" s="2" t="str">
        <f>IFERROR(__xludf.DUMMYFUNCTION("""COMPUTED_VALUE"""),"semigroup of bounded linear operators")</f>
        <v>semigroup of bounded linear operators</v>
      </c>
      <c r="C678" s="2" t="str">
        <f>IFERROR(__xludf.DUMMYFUNCTION("""COMPUTED_VALUE"""),"-")</f>
        <v>-</v>
      </c>
      <c r="D678" s="5"/>
      <c r="E678" s="5"/>
      <c r="F678" s="11"/>
      <c r="G678" s="11"/>
    </row>
    <row r="679">
      <c r="A679" s="2" t="str">
        <f>IFERROR(__xludf.DUMMYFUNCTION("""COMPUTED_VALUE"""),"rajoittamaton; rajaton")</f>
        <v>rajoittamaton; rajaton</v>
      </c>
      <c r="B679" s="2" t="str">
        <f>IFERROR(__xludf.DUMMYFUNCTION("""COMPUTED_VALUE"""),"unbounded")</f>
        <v>unbounded</v>
      </c>
      <c r="C679" s="2" t="str">
        <f>IFERROR(__xludf.DUMMYFUNCTION("""COMPUTED_VALUE"""),"obegränsad")</f>
        <v>obegränsad</v>
      </c>
      <c r="D679" s="5"/>
      <c r="E679" s="5"/>
      <c r="F679" s="11"/>
      <c r="G679" s="11"/>
    </row>
    <row r="680">
      <c r="A680" s="2" t="str">
        <f>IFERROR(__xludf.DUMMYFUNCTION("""COMPUTED_VALUE"""),"rajoittuma")</f>
        <v>rajoittuma</v>
      </c>
      <c r="B680" s="2" t="str">
        <f>IFERROR(__xludf.DUMMYFUNCTION("""COMPUTED_VALUE"""),"restriction")</f>
        <v>restriction</v>
      </c>
      <c r="C680" s="2" t="str">
        <f>IFERROR(__xludf.DUMMYFUNCTION("""COMPUTED_VALUE"""),"restriktion")</f>
        <v>restriktion</v>
      </c>
      <c r="D680" s="5"/>
      <c r="E680" s="5"/>
      <c r="F680" s="11"/>
      <c r="G680" s="11"/>
    </row>
    <row r="681">
      <c r="A681" s="2" t="str">
        <f>IFERROR(__xludf.DUMMYFUNCTION("""COMPUTED_VALUE"""),"rangi (dim range T), ranki, kuvadimensio, aste, arvoaste, säännöllisyysluku; sijaluku, rankiluku")</f>
        <v>rangi (dim range T), ranki, kuvadimensio, aste, arvoaste, säännöllisyysluku; sijaluku, rankiluku</v>
      </c>
      <c r="B681" s="2" t="str">
        <f>IFERROR(__xludf.DUMMYFUNCTION("""COMPUTED_VALUE"""),"rank")</f>
        <v>rank</v>
      </c>
      <c r="C681" s="2" t="str">
        <f>IFERROR(__xludf.DUMMYFUNCTION("""COMPUTED_VALUE"""),"rang")</f>
        <v>rang</v>
      </c>
      <c r="D681" s="5"/>
      <c r="E681" s="5"/>
      <c r="F681" s="11"/>
      <c r="G681" s="11"/>
    </row>
    <row r="682">
      <c r="A682" s="2" t="str">
        <f>IFERROR(__xludf.DUMMYFUNCTION("""COMPUTED_VALUE"""),"rata")</f>
        <v>rata</v>
      </c>
      <c r="B682" s="2" t="str">
        <f>IFERROR(__xludf.DUMMYFUNCTION("""COMPUTED_VALUE"""),"orbit")</f>
        <v>orbit</v>
      </c>
      <c r="C682" s="2" t="str">
        <f>IFERROR(__xludf.DUMMYFUNCTION("""COMPUTED_VALUE"""),"bana")</f>
        <v>bana</v>
      </c>
      <c r="D682" s="5"/>
      <c r="E682" s="5"/>
      <c r="F682" s="11"/>
      <c r="G682" s="11"/>
    </row>
    <row r="683">
      <c r="A683" s="2" t="str">
        <f>IFERROR(__xludf.DUMMYFUNCTION("""COMPUTED_VALUE"""),"rationaalifunktio")</f>
        <v>rationaalifunktio</v>
      </c>
      <c r="B683" s="2" t="str">
        <f>IFERROR(__xludf.DUMMYFUNCTION("""COMPUTED_VALUE"""),"rational function")</f>
        <v>rational function</v>
      </c>
      <c r="C683" s="2" t="str">
        <f>IFERROR(__xludf.DUMMYFUNCTION("""COMPUTED_VALUE"""),"rationell funktion")</f>
        <v>rationell funktion</v>
      </c>
      <c r="D683" s="5"/>
      <c r="E683" s="5"/>
      <c r="F683" s="11"/>
      <c r="G683" s="11"/>
    </row>
    <row r="684">
      <c r="A684" s="2" t="str">
        <f>IFERROR(__xludf.DUMMYFUNCTION("""COMPUTED_VALUE"""),"rationaaliluku")</f>
        <v>rationaaliluku</v>
      </c>
      <c r="B684" s="2" t="str">
        <f>IFERROR(__xludf.DUMMYFUNCTION("""COMPUTED_VALUE"""),"rational number")</f>
        <v>rational number</v>
      </c>
      <c r="C684" s="2" t="str">
        <f>IFERROR(__xludf.DUMMYFUNCTION("""COMPUTED_VALUE"""),"rationellt tal")</f>
        <v>rationellt tal</v>
      </c>
      <c r="D684" s="5"/>
      <c r="E684" s="5"/>
      <c r="F684" s="11"/>
      <c r="G684" s="11"/>
    </row>
    <row r="685">
      <c r="A685" s="2" t="str">
        <f>IFERROR(__xludf.DUMMYFUNCTION("""COMPUTED_VALUE"""),"rationaalinen")</f>
        <v>rationaalinen</v>
      </c>
      <c r="B685" s="2" t="str">
        <f>IFERROR(__xludf.DUMMYFUNCTION("""COMPUTED_VALUE"""),"rational")</f>
        <v>rational</v>
      </c>
      <c r="C685" s="2" t="str">
        <f>IFERROR(__xludf.DUMMYFUNCTION("""COMPUTED_VALUE"""),"rationell")</f>
        <v>rationell</v>
      </c>
      <c r="D685" s="5"/>
      <c r="E685" s="5"/>
      <c r="F685" s="11"/>
      <c r="G685" s="11"/>
    </row>
    <row r="686">
      <c r="A686" s="2" t="str">
        <f>IFERROR(__xludf.DUMMYFUNCTION("""COMPUTED_VALUE"""),"ratkaisu")</f>
        <v>ratkaisu</v>
      </c>
      <c r="B686" s="2" t="str">
        <f>IFERROR(__xludf.DUMMYFUNCTION("""COMPUTED_VALUE"""),"solution")</f>
        <v>solution</v>
      </c>
      <c r="C686" s="2" t="str">
        <f>IFERROR(__xludf.DUMMYFUNCTION("""COMPUTED_VALUE"""),"lösning")</f>
        <v>lösning</v>
      </c>
      <c r="D686" s="5"/>
      <c r="E686" s="5"/>
      <c r="F686" s="11"/>
      <c r="G686" s="11"/>
    </row>
    <row r="687">
      <c r="A687" s="2" t="str">
        <f>IFERROR(__xludf.DUMMYFUNCTION("""COMPUTED_VALUE"""),"Rayleighin osamäärä")</f>
        <v>Rayleighin osamäärä</v>
      </c>
      <c r="B687" s="2" t="str">
        <f>IFERROR(__xludf.DUMMYFUNCTION("""COMPUTED_VALUE"""),"Rayleigh quotient")</f>
        <v>Rayleigh quotient</v>
      </c>
      <c r="C687" s="2" t="str">
        <f>IFERROR(__xludf.DUMMYFUNCTION("""COMPUTED_VALUE"""),"Rayleigh-kvot")</f>
        <v>Rayleigh-kvot</v>
      </c>
      <c r="D687" s="5"/>
      <c r="E687" s="5"/>
      <c r="F687" s="11"/>
      <c r="G687" s="11"/>
    </row>
    <row r="688">
      <c r="A688" s="2" t="str">
        <f>IFERROR(__xludf.DUMMYFUNCTION("""COMPUTED_VALUE"""),"reaaliakseli")</f>
        <v>reaaliakseli</v>
      </c>
      <c r="B688" s="2" t="str">
        <f>IFERROR(__xludf.DUMMYFUNCTION("""COMPUTED_VALUE"""),"real axis")</f>
        <v>real axis</v>
      </c>
      <c r="C688" s="2" t="str">
        <f>IFERROR(__xludf.DUMMYFUNCTION("""COMPUTED_VALUE"""),"reella axeln")</f>
        <v>reella axeln</v>
      </c>
      <c r="D688" s="5"/>
      <c r="E688" s="5"/>
      <c r="F688" s="11"/>
      <c r="G688" s="11"/>
    </row>
    <row r="689">
      <c r="A689" s="2" t="str">
        <f>IFERROR(__xludf.DUMMYFUNCTION("""COMPUTED_VALUE"""),"reaaliarvoinen")</f>
        <v>reaaliarvoinen</v>
      </c>
      <c r="B689" s="2" t="str">
        <f>IFERROR(__xludf.DUMMYFUNCTION("""COMPUTED_VALUE"""),"real-valued")</f>
        <v>real-valued</v>
      </c>
      <c r="C689" s="2" t="str">
        <f>IFERROR(__xludf.DUMMYFUNCTION("""COMPUTED_VALUE"""),"reellvärd")</f>
        <v>reellvärd</v>
      </c>
      <c r="D689" s="5"/>
      <c r="E689" s="5"/>
      <c r="F689" s="11"/>
      <c r="G689" s="11"/>
    </row>
    <row r="690">
      <c r="A690" s="2" t="str">
        <f>IFERROR(__xludf.DUMMYFUNCTION("""COMPUTED_VALUE"""),"reaalikertoiminen vektoriavaruus, reaalinen vektoriavaruus")</f>
        <v>reaalikertoiminen vektoriavaruus, reaalinen vektoriavaruus</v>
      </c>
      <c r="B690" s="2" t="str">
        <f>IFERROR(__xludf.DUMMYFUNCTION("""COMPUTED_VALUE"""),"real vector space")</f>
        <v>real vector space</v>
      </c>
      <c r="C690" s="2" t="str">
        <f>IFERROR(__xludf.DUMMYFUNCTION("""COMPUTED_VALUE"""),"reellt vektorrum")</f>
        <v>reellt vektorrum</v>
      </c>
      <c r="D690" s="5"/>
      <c r="E690" s="5"/>
      <c r="F690" s="11"/>
      <c r="G690" s="11"/>
    </row>
    <row r="691">
      <c r="A691" s="2" t="str">
        <f>IFERROR(__xludf.DUMMYFUNCTION("""COMPUTED_VALUE"""),"reaaliluku")</f>
        <v>reaaliluku</v>
      </c>
      <c r="B691" s="2" t="str">
        <f>IFERROR(__xludf.DUMMYFUNCTION("""COMPUTED_VALUE"""),"real number")</f>
        <v>real number</v>
      </c>
      <c r="C691" s="2" t="str">
        <f>IFERROR(__xludf.DUMMYFUNCTION("""COMPUTED_VALUE"""),"reellt tal")</f>
        <v>reellt tal</v>
      </c>
      <c r="D691" s="5"/>
      <c r="E691" s="5"/>
      <c r="F691" s="11"/>
      <c r="G691" s="11"/>
    </row>
    <row r="692">
      <c r="A692" s="2" t="str">
        <f>IFERROR(__xludf.DUMMYFUNCTION("""COMPUTED_VALUE"""),"reaalinen, reaali-")</f>
        <v>reaalinen, reaali-</v>
      </c>
      <c r="B692" s="2" t="str">
        <f>IFERROR(__xludf.DUMMYFUNCTION("""COMPUTED_VALUE"""),"real")</f>
        <v>real</v>
      </c>
      <c r="C692" s="2" t="str">
        <f>IFERROR(__xludf.DUMMYFUNCTION("""COMPUTED_VALUE"""),"reell")</f>
        <v>reell</v>
      </c>
      <c r="D692" s="5"/>
      <c r="E692" s="5"/>
      <c r="F692" s="11"/>
      <c r="G692" s="11"/>
    </row>
    <row r="693">
      <c r="A693" s="2" t="str">
        <f>IFERROR(__xludf.DUMMYFUNCTION("""COMPUTED_VALUE"""),"reaaliosa")</f>
        <v>reaaliosa</v>
      </c>
      <c r="B693" s="2" t="str">
        <f>IFERROR(__xludf.DUMMYFUNCTION("""COMPUTED_VALUE"""),"real part")</f>
        <v>real part</v>
      </c>
      <c r="C693" s="2" t="str">
        <f>IFERROR(__xludf.DUMMYFUNCTION("""COMPUTED_VALUE"""),"reell del")</f>
        <v>reell del</v>
      </c>
      <c r="D693" s="5"/>
      <c r="E693" s="5"/>
      <c r="F693" s="11"/>
      <c r="G693" s="11"/>
    </row>
    <row r="694">
      <c r="A694" s="2" t="str">
        <f>IFERROR(__xludf.DUMMYFUNCTION("""COMPUTED_VALUE"""),"refleksiivinen")</f>
        <v>refleksiivinen</v>
      </c>
      <c r="B694" s="2" t="str">
        <f>IFERROR(__xludf.DUMMYFUNCTION("""COMPUTED_VALUE"""),"reflexive")</f>
        <v>reflexive</v>
      </c>
      <c r="C694" s="2" t="str">
        <f>IFERROR(__xludf.DUMMYFUNCTION("""COMPUTED_VALUE"""),"reflexiv")</f>
        <v>reflexiv</v>
      </c>
      <c r="D694" s="5"/>
      <c r="E694" s="5"/>
      <c r="F694" s="11"/>
      <c r="G694" s="11"/>
    </row>
    <row r="695">
      <c r="A695" s="2" t="str">
        <f>IFERROR(__xludf.DUMMYFUNCTION("""COMPUTED_VALUE"""),"regressio")</f>
        <v>regressio</v>
      </c>
      <c r="B695" s="2" t="str">
        <f>IFERROR(__xludf.DUMMYFUNCTION("""COMPUTED_VALUE"""),"regression")</f>
        <v>regression</v>
      </c>
      <c r="C695" s="2" t="str">
        <f>IFERROR(__xludf.DUMMYFUNCTION("""COMPUTED_VALUE"""),"regression")</f>
        <v>regression</v>
      </c>
      <c r="D695" s="5"/>
      <c r="E695" s="5"/>
      <c r="F695" s="11"/>
      <c r="G695" s="11"/>
    </row>
    <row r="696">
      <c r="A696" s="2" t="str">
        <f>IFERROR(__xludf.DUMMYFUNCTION("""COMPUTED_VALUE"""),"rekursiivinen")</f>
        <v>rekursiivinen</v>
      </c>
      <c r="B696" s="2" t="str">
        <f>IFERROR(__xludf.DUMMYFUNCTION("""COMPUTED_VALUE"""),"recursive")</f>
        <v>recursive</v>
      </c>
      <c r="C696" s="2" t="str">
        <f>IFERROR(__xludf.DUMMYFUNCTION("""COMPUTED_VALUE"""),"rekursiv")</f>
        <v>rekursiv</v>
      </c>
      <c r="D696" s="5"/>
      <c r="E696" s="5"/>
      <c r="F696" s="11"/>
      <c r="G696" s="11"/>
    </row>
    <row r="697">
      <c r="A697" s="2" t="str">
        <f>IFERROR(__xludf.DUMMYFUNCTION("""COMPUTED_VALUE"""),"rengas")</f>
        <v>rengas</v>
      </c>
      <c r="B697" s="2" t="str">
        <f>IFERROR(__xludf.DUMMYFUNCTION("""COMPUTED_VALUE"""),"annulus")</f>
        <v>annulus</v>
      </c>
      <c r="C697" s="2" t="str">
        <f>IFERROR(__xludf.DUMMYFUNCTION("""COMPUTED_VALUE"""),"ring")</f>
        <v>ring</v>
      </c>
      <c r="D697" s="5"/>
      <c r="E697" s="5"/>
      <c r="F697" s="11"/>
      <c r="G697" s="11"/>
    </row>
    <row r="698">
      <c r="A698" s="2" t="str">
        <f>IFERROR(__xludf.DUMMYFUNCTION("""COMPUTED_VALUE"""),"rengas")</f>
        <v>rengas</v>
      </c>
      <c r="B698" s="2" t="str">
        <f>IFERROR(__xludf.DUMMYFUNCTION("""COMPUTED_VALUE"""),"ring")</f>
        <v>ring</v>
      </c>
      <c r="C698" s="2" t="str">
        <f>IFERROR(__xludf.DUMMYFUNCTION("""COMPUTED_VALUE"""),"ring")</f>
        <v>ring</v>
      </c>
      <c r="D698" s="5"/>
      <c r="E698" s="5"/>
      <c r="F698" s="11"/>
      <c r="G698" s="11"/>
    </row>
    <row r="699">
      <c r="A699" s="2" t="str">
        <f>IFERROR(__xludf.DUMMYFUNCTION("""COMPUTED_VALUE"""),"repulsori")</f>
        <v>repulsori</v>
      </c>
      <c r="B699" s="2" t="str">
        <f>IFERROR(__xludf.DUMMYFUNCTION("""COMPUTED_VALUE"""),"repulsor")</f>
        <v>repulsor</v>
      </c>
      <c r="C699" s="2" t="str">
        <f>IFERROR(__xludf.DUMMYFUNCTION("""COMPUTED_VALUE"""),"repulsor")</f>
        <v>repulsor</v>
      </c>
      <c r="D699" s="5"/>
      <c r="E699" s="5"/>
      <c r="F699" s="11"/>
      <c r="G699" s="11"/>
    </row>
    <row r="700">
      <c r="A700" s="2" t="str">
        <f>IFERROR(__xludf.DUMMYFUNCTION("""COMPUTED_VALUE"""),"residuaali, jäännös")</f>
        <v>residuaali, jäännös</v>
      </c>
      <c r="B700" s="2" t="str">
        <f>IFERROR(__xludf.DUMMYFUNCTION("""COMPUTED_VALUE"""),"residual")</f>
        <v>residual</v>
      </c>
      <c r="C700" s="2" t="str">
        <f>IFERROR(__xludf.DUMMYFUNCTION("""COMPUTED_VALUE"""),"residual")</f>
        <v>residual</v>
      </c>
      <c r="D700" s="5"/>
      <c r="E700" s="5"/>
      <c r="F700" s="11"/>
      <c r="G700" s="11"/>
    </row>
    <row r="701">
      <c r="A701" s="2" t="str">
        <f>IFERROR(__xludf.DUMMYFUNCTION("""COMPUTED_VALUE"""),"residy")</f>
        <v>residy</v>
      </c>
      <c r="B701" s="2" t="str">
        <f>IFERROR(__xludf.DUMMYFUNCTION("""COMPUTED_VALUE"""),"residue")</f>
        <v>residue</v>
      </c>
      <c r="C701" s="2" t="str">
        <f>IFERROR(__xludf.DUMMYFUNCTION("""COMPUTED_VALUE"""),"residy")</f>
        <v>residy</v>
      </c>
      <c r="D701" s="5"/>
      <c r="E701" s="5"/>
      <c r="F701" s="11"/>
      <c r="G701" s="11"/>
    </row>
    <row r="702">
      <c r="A702" s="2" t="str">
        <f>IFERROR(__xludf.DUMMYFUNCTION("""COMPUTED_VALUE"""),"resolventti")</f>
        <v>resolventti</v>
      </c>
      <c r="B702" s="2" t="str">
        <f>IFERROR(__xludf.DUMMYFUNCTION("""COMPUTED_VALUE"""),"resolvent")</f>
        <v>resolvent</v>
      </c>
      <c r="C702" s="2" t="str">
        <f>IFERROR(__xludf.DUMMYFUNCTION("""COMPUTED_VALUE"""),"resolvent")</f>
        <v>resolvent</v>
      </c>
      <c r="D702" s="5"/>
      <c r="E702" s="5"/>
      <c r="F702" s="11"/>
      <c r="G702" s="11"/>
    </row>
    <row r="703">
      <c r="A703" s="2" t="str">
        <f>IFERROR(__xludf.DUMMYFUNCTION("""COMPUTED_VALUE"""),"retrakti")</f>
        <v>retrakti</v>
      </c>
      <c r="B703" s="2" t="str">
        <f>IFERROR(__xludf.DUMMYFUNCTION("""COMPUTED_VALUE"""),"retract")</f>
        <v>retract</v>
      </c>
      <c r="C703" s="2" t="str">
        <f>IFERROR(__xludf.DUMMYFUNCTION("""COMPUTED_VALUE"""),"-")</f>
        <v>-</v>
      </c>
      <c r="D703" s="5"/>
      <c r="E703" s="5"/>
      <c r="F703" s="11"/>
      <c r="G703" s="11"/>
    </row>
    <row r="704">
      <c r="A704" s="2" t="str">
        <f>IFERROR(__xludf.DUMMYFUNCTION("""COMPUTED_VALUE"""),"retraktio")</f>
        <v>retraktio</v>
      </c>
      <c r="B704" s="2" t="str">
        <f>IFERROR(__xludf.DUMMYFUNCTION("""COMPUTED_VALUE"""),"retraction")</f>
        <v>retraction</v>
      </c>
      <c r="C704" s="2" t="str">
        <f>IFERROR(__xludf.DUMMYFUNCTION("""COMPUTED_VALUE"""),"-")</f>
        <v>-</v>
      </c>
      <c r="D704" s="5"/>
      <c r="E704" s="5"/>
      <c r="F704" s="11"/>
      <c r="G704" s="11"/>
    </row>
    <row r="705">
      <c r="A705" s="2" t="str">
        <f>IFERROR(__xludf.DUMMYFUNCTION("""COMPUTED_VALUE"""),"reuna")</f>
        <v>reuna</v>
      </c>
      <c r="B705" s="2" t="str">
        <f>IFERROR(__xludf.DUMMYFUNCTION("""COMPUTED_VALUE"""),"boundary, frontier")</f>
        <v>boundary, frontier</v>
      </c>
      <c r="C705" s="2" t="str">
        <f>IFERROR(__xludf.DUMMYFUNCTION("""COMPUTED_VALUE"""),"rand")</f>
        <v>rand</v>
      </c>
      <c r="D705" s="5"/>
      <c r="E705" s="5"/>
      <c r="F705" s="11"/>
      <c r="G705" s="11"/>
    </row>
    <row r="706">
      <c r="A706" s="2" t="str">
        <f>IFERROR(__xludf.DUMMYFUNCTION("""COMPUTED_VALUE"""),"reuna")</f>
        <v>reuna</v>
      </c>
      <c r="B706" s="2" t="str">
        <f>IFERROR(__xludf.DUMMYFUNCTION("""COMPUTED_VALUE"""),"frontier, boundary")</f>
        <v>frontier, boundary</v>
      </c>
      <c r="C706" s="2" t="str">
        <f>IFERROR(__xludf.DUMMYFUNCTION("""COMPUTED_VALUE"""),"rand")</f>
        <v>rand</v>
      </c>
      <c r="D706" s="5"/>
      <c r="E706" s="5"/>
      <c r="F706" s="11"/>
      <c r="G706" s="11"/>
    </row>
    <row r="707">
      <c r="A707" s="2" t="str">
        <f>IFERROR(__xludf.DUMMYFUNCTION("""COMPUTED_VALUE"""),"reunaehdot")</f>
        <v>reunaehdot</v>
      </c>
      <c r="B707" s="2" t="str">
        <f>IFERROR(__xludf.DUMMYFUNCTION("""COMPUTED_VALUE"""),"boundary conditions")</f>
        <v>boundary conditions</v>
      </c>
      <c r="C707" s="2" t="str">
        <f>IFERROR(__xludf.DUMMYFUNCTION("""COMPUTED_VALUE"""),"randvillkor")</f>
        <v>randvillkor</v>
      </c>
      <c r="D707" s="5"/>
      <c r="E707" s="5"/>
      <c r="F707" s="11"/>
      <c r="G707" s="11"/>
    </row>
    <row r="708">
      <c r="A708" s="2" t="str">
        <f>IFERROR(__xludf.DUMMYFUNCTION("""COMPUTED_VALUE"""),"reunallinen monisto")</f>
        <v>reunallinen monisto</v>
      </c>
      <c r="B708" s="2" t="str">
        <f>IFERROR(__xludf.DUMMYFUNCTION("""COMPUTED_VALUE"""),"manifold with boundary")</f>
        <v>manifold with boundary</v>
      </c>
      <c r="C708" s="2" t="str">
        <f>IFERROR(__xludf.DUMMYFUNCTION("""COMPUTED_VALUE"""),"-")</f>
        <v>-</v>
      </c>
      <c r="D708" s="5"/>
      <c r="E708" s="5"/>
      <c r="F708" s="11"/>
      <c r="G708" s="11"/>
    </row>
    <row r="709">
      <c r="A709" s="2" t="str">
        <f>IFERROR(__xludf.DUMMYFUNCTION("""COMPUTED_VALUE"""),"Riemannin - Stieltjesin integraali")</f>
        <v>Riemannin - Stieltjesin integraali</v>
      </c>
      <c r="B709" s="2" t="str">
        <f>IFERROR(__xludf.DUMMYFUNCTION("""COMPUTED_VALUE"""),"Riemann - Stieltjes integral")</f>
        <v>Riemann - Stieltjes integral</v>
      </c>
      <c r="C709" s="2" t="str">
        <f>IFERROR(__xludf.DUMMYFUNCTION("""COMPUTED_VALUE"""),"Riemann - Stieltjes integral")</f>
        <v>Riemann - Stieltjes integral</v>
      </c>
      <c r="D709" s="5"/>
      <c r="E709" s="5"/>
      <c r="F709" s="11"/>
      <c r="G709" s="11"/>
    </row>
    <row r="710">
      <c r="A710" s="2" t="str">
        <f>IFERROR(__xludf.DUMMYFUNCTION("""COMPUTED_VALUE"""),"Riemannin integraali (""Riimannin"")")</f>
        <v>Riemannin integraali ("Riimannin")</v>
      </c>
      <c r="B710" s="2" t="str">
        <f>IFERROR(__xludf.DUMMYFUNCTION("""COMPUTED_VALUE"""),"Riemann integral")</f>
        <v>Riemann integral</v>
      </c>
      <c r="C710" s="2" t="str">
        <f>IFERROR(__xludf.DUMMYFUNCTION("""COMPUTED_VALUE"""),"Riemann - integral")</f>
        <v>Riemann - integral</v>
      </c>
      <c r="D710" s="5"/>
      <c r="E710" s="5"/>
      <c r="F710" s="11"/>
      <c r="G710" s="11"/>
    </row>
    <row r="711">
      <c r="A711" s="2" t="str">
        <f>IFERROR(__xludf.DUMMYFUNCTION("""COMPUTED_VALUE"""),"riippumaton")</f>
        <v>riippumaton</v>
      </c>
      <c r="B711" s="2" t="str">
        <f>IFERROR(__xludf.DUMMYFUNCTION("""COMPUTED_VALUE"""),"independent")</f>
        <v>independent</v>
      </c>
      <c r="C711" s="2" t="str">
        <f>IFERROR(__xludf.DUMMYFUNCTION("""COMPUTED_VALUE"""),"oberoende")</f>
        <v>oberoende</v>
      </c>
      <c r="D711" s="5"/>
      <c r="E711" s="5"/>
      <c r="F711" s="11"/>
      <c r="G711" s="11"/>
    </row>
    <row r="712">
      <c r="A712" s="2" t="str">
        <f>IFERROR(__xludf.DUMMYFUNCTION("""COMPUTED_VALUE"""),"riippumattomuus")</f>
        <v>riippumattomuus</v>
      </c>
      <c r="B712" s="2" t="str">
        <f>IFERROR(__xludf.DUMMYFUNCTION("""COMPUTED_VALUE"""),"independence")</f>
        <v>independence</v>
      </c>
      <c r="C712" s="2" t="str">
        <f>IFERROR(__xludf.DUMMYFUNCTION("""COMPUTED_VALUE"""),"oberoende")</f>
        <v>oberoende</v>
      </c>
      <c r="D712" s="5"/>
      <c r="E712" s="5"/>
      <c r="F712" s="11"/>
      <c r="G712" s="11"/>
    </row>
    <row r="713">
      <c r="A713" s="2" t="str">
        <f>IFERROR(__xludf.DUMMYFUNCTION("""COMPUTED_VALUE"""),"riippuva")</f>
        <v>riippuva</v>
      </c>
      <c r="B713" s="2" t="str">
        <f>IFERROR(__xludf.DUMMYFUNCTION("""COMPUTED_VALUE"""),"dependent")</f>
        <v>dependent</v>
      </c>
      <c r="C713" s="2" t="str">
        <f>IFERROR(__xludf.DUMMYFUNCTION("""COMPUTED_VALUE"""),"beroende")</f>
        <v>beroende</v>
      </c>
      <c r="D713" s="5"/>
      <c r="E713" s="5"/>
      <c r="F713" s="11"/>
      <c r="G713" s="11"/>
    </row>
    <row r="714">
      <c r="A714" s="2" t="str">
        <f>IFERROR(__xludf.DUMMYFUNCTION("""COMPUTED_VALUE"""),"riittävä; tyhjentävä")</f>
        <v>riittävä; tyhjentävä</v>
      </c>
      <c r="B714" s="2" t="str">
        <f>IFERROR(__xludf.DUMMYFUNCTION("""COMPUTED_VALUE"""),"sufficient")</f>
        <v>sufficient</v>
      </c>
      <c r="C714" s="2" t="str">
        <f>IFERROR(__xludf.DUMMYFUNCTION("""COMPUTED_VALUE"""),"tillräcklig")</f>
        <v>tillräcklig</v>
      </c>
      <c r="D714" s="5"/>
      <c r="E714" s="5"/>
      <c r="F714" s="11"/>
      <c r="G714" s="11"/>
    </row>
    <row r="715">
      <c r="A715" s="2" t="str">
        <f>IFERROR(__xludf.DUMMYFUNCTION("""COMPUTED_VALUE"""),"riski")</f>
        <v>riski</v>
      </c>
      <c r="B715" s="2" t="str">
        <f>IFERROR(__xludf.DUMMYFUNCTION("""COMPUTED_VALUE"""),"risk")</f>
        <v>risk</v>
      </c>
      <c r="C715" s="2" t="str">
        <f>IFERROR(__xludf.DUMMYFUNCTION("""COMPUTED_VALUE"""),"risk")</f>
        <v>risk</v>
      </c>
      <c r="D715" s="5"/>
      <c r="E715" s="5"/>
      <c r="F715" s="11"/>
      <c r="G715" s="11"/>
    </row>
    <row r="716">
      <c r="A716" s="2" t="str">
        <f>IFERROR(__xludf.DUMMYFUNCTION("""COMPUTED_VALUE"""),"ristitulo, vektoritulo")</f>
        <v>ristitulo, vektoritulo</v>
      </c>
      <c r="B716" s="2" t="str">
        <f>IFERROR(__xludf.DUMMYFUNCTION("""COMPUTED_VALUE"""),"cross product")</f>
        <v>cross product</v>
      </c>
      <c r="C716" s="2" t="str">
        <f>IFERROR(__xludf.DUMMYFUNCTION("""COMPUTED_VALUE"""),"kryssprodukt, vektorprodukt")</f>
        <v>kryssprodukt, vektorprodukt</v>
      </c>
      <c r="D716" s="5"/>
      <c r="E716" s="5"/>
      <c r="F716" s="11"/>
      <c r="G716" s="11"/>
    </row>
    <row r="717">
      <c r="A717" s="2" t="str">
        <f>IFERROR(__xludf.DUMMYFUNCTION("""COMPUTED_VALUE"""),"rivi, vaakarivi")</f>
        <v>rivi, vaakarivi</v>
      </c>
      <c r="B717" s="2" t="str">
        <f>IFERROR(__xludf.DUMMYFUNCTION("""COMPUTED_VALUE"""),"row")</f>
        <v>row</v>
      </c>
      <c r="C717" s="2" t="str">
        <f>IFERROR(__xludf.DUMMYFUNCTION("""COMPUTED_VALUE"""),"rad")</f>
        <v>rad</v>
      </c>
      <c r="D717" s="5"/>
      <c r="E717" s="5"/>
      <c r="F717" s="11"/>
      <c r="G717" s="11"/>
    </row>
    <row r="718">
      <c r="A718" s="2" t="str">
        <f>IFERROR(__xludf.DUMMYFUNCTION("""COMPUTED_VALUE"""),"riviavaruus")</f>
        <v>riviavaruus</v>
      </c>
      <c r="B718" s="2" t="str">
        <f>IFERROR(__xludf.DUMMYFUNCTION("""COMPUTED_VALUE"""),"row space")</f>
        <v>row space</v>
      </c>
      <c r="C718" s="2" t="str">
        <f>IFERROR(__xludf.DUMMYFUNCTION("""COMPUTED_VALUE"""),"-")</f>
        <v>-</v>
      </c>
      <c r="D718" s="5"/>
      <c r="E718" s="5"/>
      <c r="F718" s="11"/>
      <c r="G718" s="11"/>
    </row>
    <row r="719">
      <c r="A719" s="2" t="str">
        <f>IFERROR(__xludf.DUMMYFUNCTION("""COMPUTED_VALUE"""),"roottori (rot f, nabla x f)")</f>
        <v>roottori (rot f, nabla x f)</v>
      </c>
      <c r="B719" s="2" t="str">
        <f>IFERROR(__xludf.DUMMYFUNCTION("""COMPUTED_VALUE"""),"curl")</f>
        <v>curl</v>
      </c>
      <c r="C719" s="2" t="str">
        <f>IFERROR(__xludf.DUMMYFUNCTION("""COMPUTED_VALUE"""),"rotation")</f>
        <v>rotation</v>
      </c>
      <c r="D719" s="5"/>
      <c r="E719" s="5"/>
      <c r="F719" s="11"/>
      <c r="G719" s="11"/>
    </row>
    <row r="720">
      <c r="A720" s="2" t="str">
        <f>IFERROR(__xludf.DUMMYFUNCTION("""COMPUTED_VALUE"""),"rotaatio, kierto")</f>
        <v>rotaatio, kierto</v>
      </c>
      <c r="B720" s="2" t="str">
        <f>IFERROR(__xludf.DUMMYFUNCTION("""COMPUTED_VALUE"""),"rotation")</f>
        <v>rotation</v>
      </c>
      <c r="C720" s="2" t="str">
        <f>IFERROR(__xludf.DUMMYFUNCTION("""COMPUTED_VALUE"""),"rotation")</f>
        <v>rotation</v>
      </c>
      <c r="D720" s="5"/>
      <c r="E720" s="5"/>
      <c r="F720" s="11"/>
      <c r="G720" s="11"/>
    </row>
    <row r="721">
      <c r="A721" s="2" t="str">
        <f>IFERROR(__xludf.DUMMYFUNCTION("""COMPUTED_VALUE"""),"runko")</f>
        <v>runko</v>
      </c>
      <c r="B721" s="2" t="str">
        <f>IFERROR(__xludf.DUMMYFUNCTION("""COMPUTED_VALUE"""),"skeleton")</f>
        <v>skeleton</v>
      </c>
      <c r="C721" s="2" t="str">
        <f>IFERROR(__xludf.DUMMYFUNCTION("""COMPUTED_VALUE"""),"-")</f>
        <v>-</v>
      </c>
      <c r="D721" s="5"/>
      <c r="E721" s="5"/>
      <c r="F721" s="11"/>
      <c r="G721" s="11"/>
    </row>
    <row r="722">
      <c r="A722" s="2" t="str">
        <f>IFERROR(__xludf.DUMMYFUNCTION("""COMPUTED_VALUE"""),"ruuvikierre, ruuviviiva")</f>
        <v>ruuvikierre, ruuviviiva</v>
      </c>
      <c r="B722" s="2" t="str">
        <f>IFERROR(__xludf.DUMMYFUNCTION("""COMPUTED_VALUE"""),"helix")</f>
        <v>helix</v>
      </c>
      <c r="C722" s="2" t="str">
        <f>IFERROR(__xludf.DUMMYFUNCTION("""COMPUTED_VALUE"""),"skruvlinje, spiral")</f>
        <v>skruvlinje, spiral</v>
      </c>
      <c r="D722" s="5"/>
      <c r="E722" s="5"/>
      <c r="F722" s="11"/>
      <c r="G722" s="11"/>
    </row>
    <row r="723">
      <c r="A723" s="2" t="str">
        <f>IFERROR(__xludf.DUMMYFUNCTION("""COMPUTED_VALUE"""),"ryhmä")</f>
        <v>ryhmä</v>
      </c>
      <c r="B723" s="2" t="str">
        <f>IFERROR(__xludf.DUMMYFUNCTION("""COMPUTED_VALUE"""),"group")</f>
        <v>group</v>
      </c>
      <c r="C723" s="2" t="str">
        <f>IFERROR(__xludf.DUMMYFUNCTION("""COMPUTED_VALUE"""),"grupp")</f>
        <v>grupp</v>
      </c>
      <c r="D723" s="5"/>
      <c r="E723" s="5"/>
      <c r="F723" s="11"/>
      <c r="G723" s="11"/>
    </row>
    <row r="724">
      <c r="A724" s="2" t="str">
        <f>IFERROR(__xludf.DUMMYFUNCTION("""COMPUTED_VALUE"""),"samassa tasossa olevat pisteet")</f>
        <v>samassa tasossa olevat pisteet</v>
      </c>
      <c r="B724" s="2" t="str">
        <f>IFERROR(__xludf.DUMMYFUNCTION("""COMPUTED_VALUE"""),"coplanar points")</f>
        <v>coplanar points</v>
      </c>
      <c r="C724" s="2" t="str">
        <f>IFERROR(__xludf.DUMMYFUNCTION("""COMPUTED_VALUE"""),"punkter i samma plan")</f>
        <v>punkter i samma plan</v>
      </c>
      <c r="D724" s="5"/>
      <c r="E724" s="5"/>
      <c r="F724" s="11"/>
      <c r="G724" s="11"/>
    </row>
    <row r="725">
      <c r="A725" s="2" t="str">
        <f>IFERROR(__xludf.DUMMYFUNCTION("""COMPUTED_VALUE"""),"samastus")</f>
        <v>samastus</v>
      </c>
      <c r="B725" s="2" t="str">
        <f>IFERROR(__xludf.DUMMYFUNCTION("""COMPUTED_VALUE"""),"identification")</f>
        <v>identification</v>
      </c>
      <c r="C725" s="2" t="str">
        <f>IFERROR(__xludf.DUMMYFUNCTION("""COMPUTED_VALUE"""),"identifiering")</f>
        <v>identifiering</v>
      </c>
      <c r="D725" s="5"/>
      <c r="E725" s="5"/>
      <c r="F725" s="11"/>
      <c r="G725" s="11"/>
    </row>
    <row r="726">
      <c r="A726" s="2" t="str">
        <f>IFERROR(__xludf.DUMMYFUNCTION("""COMPUTED_VALUE"""),"sarake, pystyrivi")</f>
        <v>sarake, pystyrivi</v>
      </c>
      <c r="B726" s="2" t="str">
        <f>IFERROR(__xludf.DUMMYFUNCTION("""COMPUTED_VALUE"""),"column")</f>
        <v>column</v>
      </c>
      <c r="C726" s="2" t="str">
        <f>IFERROR(__xludf.DUMMYFUNCTION("""COMPUTED_VALUE"""),"vågrät vektor")</f>
        <v>vågrät vektor</v>
      </c>
      <c r="D726" s="5"/>
      <c r="E726" s="5"/>
      <c r="F726" s="11"/>
      <c r="G726" s="11"/>
    </row>
    <row r="727">
      <c r="A727" s="2" t="str">
        <f>IFERROR(__xludf.DUMMYFUNCTION("""COMPUTED_VALUE"""),"sarakeavaruus, kuva-avaruus")</f>
        <v>sarakeavaruus, kuva-avaruus</v>
      </c>
      <c r="B727" s="2" t="str">
        <f>IFERROR(__xludf.DUMMYFUNCTION("""COMPUTED_VALUE"""),"column space")</f>
        <v>column space</v>
      </c>
      <c r="C727" s="2" t="str">
        <f>IFERROR(__xludf.DUMMYFUNCTION("""COMPUTED_VALUE"""),"kolonnrum")</f>
        <v>kolonnrum</v>
      </c>
      <c r="D727" s="5"/>
      <c r="E727" s="5"/>
      <c r="F727" s="11"/>
      <c r="G727" s="11"/>
    </row>
    <row r="728">
      <c r="A728" s="2" t="str">
        <f>IFERROR(__xludf.DUMMYFUNCTION("""COMPUTED_VALUE"""),"sarja")</f>
        <v>sarja</v>
      </c>
      <c r="B728" s="2" t="str">
        <f>IFERROR(__xludf.DUMMYFUNCTION("""COMPUTED_VALUE"""),"series")</f>
        <v>series</v>
      </c>
      <c r="C728" s="2" t="str">
        <f>IFERROR(__xludf.DUMMYFUNCTION("""COMPUTED_VALUE"""),"serie")</f>
        <v>serie</v>
      </c>
      <c r="D728" s="5"/>
      <c r="E728" s="5"/>
      <c r="F728" s="11"/>
      <c r="G728" s="11"/>
    </row>
    <row r="729">
      <c r="A729" s="2" t="str">
        <f>IFERROR(__xludf.DUMMYFUNCTION("""COMPUTED_VALUE"""),"satulapiste")</f>
        <v>satulapiste</v>
      </c>
      <c r="B729" s="2" t="str">
        <f>IFERROR(__xludf.DUMMYFUNCTION("""COMPUTED_VALUE"""),"saddle point")</f>
        <v>saddle point</v>
      </c>
      <c r="C729" s="2" t="str">
        <f>IFERROR(__xludf.DUMMYFUNCTION("""COMPUTED_VALUE"""),"sadelpunkt")</f>
        <v>sadelpunkt</v>
      </c>
      <c r="D729" s="5"/>
      <c r="E729" s="5"/>
      <c r="F729" s="11"/>
      <c r="G729" s="11"/>
    </row>
    <row r="730">
      <c r="A730" s="2" t="str">
        <f>IFERROR(__xludf.DUMMYFUNCTION("""COMPUTED_VALUE"""),"satunnainen, satunnais-")</f>
        <v>satunnainen, satunnais-</v>
      </c>
      <c r="B730" s="2" t="str">
        <f>IFERROR(__xludf.DUMMYFUNCTION("""COMPUTED_VALUE"""),"random")</f>
        <v>random</v>
      </c>
      <c r="C730" s="2" t="str">
        <f>IFERROR(__xludf.DUMMYFUNCTION("""COMPUTED_VALUE"""),"slumpmässig")</f>
        <v>slumpmässig</v>
      </c>
      <c r="D730" s="5"/>
      <c r="E730" s="5"/>
      <c r="F730" s="11"/>
      <c r="G730" s="11"/>
    </row>
    <row r="731">
      <c r="A731" s="2" t="str">
        <f>IFERROR(__xludf.DUMMYFUNCTION("""COMPUTED_VALUE"""),"satunnaiskulku")</f>
        <v>satunnaiskulku</v>
      </c>
      <c r="B731" s="2" t="str">
        <f>IFERROR(__xludf.DUMMYFUNCTION("""COMPUTED_VALUE"""),"random walk")</f>
        <v>random walk</v>
      </c>
      <c r="C731" s="2" t="str">
        <f>IFERROR(__xludf.DUMMYFUNCTION("""COMPUTED_VALUE"""),"slumpvandring")</f>
        <v>slumpvandring</v>
      </c>
      <c r="D731" s="5"/>
      <c r="E731" s="5"/>
      <c r="F731" s="11"/>
      <c r="G731" s="11"/>
    </row>
    <row r="732">
      <c r="A732" s="2" t="str">
        <f>IFERROR(__xludf.DUMMYFUNCTION("""COMPUTED_VALUE"""),"sech")</f>
        <v>sech</v>
      </c>
      <c r="B732" s="2" t="str">
        <f>IFERROR(__xludf.DUMMYFUNCTION("""COMPUTED_VALUE"""),"sech")</f>
        <v>sech</v>
      </c>
      <c r="C732" s="2" t="str">
        <f>IFERROR(__xludf.DUMMYFUNCTION("""COMPUTED_VALUE"""),"secans hyperbolicus")</f>
        <v>secans hyperbolicus</v>
      </c>
      <c r="D732" s="5"/>
      <c r="E732" s="5"/>
      <c r="F732" s="11"/>
      <c r="G732" s="11"/>
    </row>
    <row r="733">
      <c r="A733" s="2" t="str">
        <f>IFERROR(__xludf.DUMMYFUNCTION("""COMPUTED_VALUE"""),"sekaderivaatta")</f>
        <v>sekaderivaatta</v>
      </c>
      <c r="B733" s="2" t="str">
        <f>IFERROR(__xludf.DUMMYFUNCTION("""COMPUTED_VALUE"""),"mixed partial derivative")</f>
        <v>mixed partial derivative</v>
      </c>
      <c r="C733" s="2" t="str">
        <f>IFERROR(__xludf.DUMMYFUNCTION("""COMPUTED_VALUE"""),"blandad partiell derivata")</f>
        <v>blandad partiell derivata</v>
      </c>
      <c r="D733" s="5"/>
      <c r="E733" s="5"/>
      <c r="F733" s="11"/>
      <c r="G733" s="11"/>
    </row>
    <row r="734">
      <c r="A734" s="2" t="str">
        <f>IFERROR(__xludf.DUMMYFUNCTION("""COMPUTED_VALUE"""),"sekantti, jänne")</f>
        <v>sekantti, jänne</v>
      </c>
      <c r="B734" s="2" t="str">
        <f>IFERROR(__xludf.DUMMYFUNCTION("""COMPUTED_VALUE"""),"chord line, secant line")</f>
        <v>chord line, secant line</v>
      </c>
      <c r="C734" s="2" t="str">
        <f>IFERROR(__xludf.DUMMYFUNCTION("""COMPUTED_VALUE"""),"korda")</f>
        <v>korda</v>
      </c>
      <c r="D734" s="5"/>
      <c r="E734" s="5"/>
      <c r="F734" s="11"/>
      <c r="G734" s="11"/>
    </row>
    <row r="735">
      <c r="A735" s="2" t="str">
        <f>IFERROR(__xludf.DUMMYFUNCTION("""COMPUTED_VALUE"""),"sekantti, jänne")</f>
        <v>sekantti, jänne</v>
      </c>
      <c r="B735" s="2" t="str">
        <f>IFERROR(__xludf.DUMMYFUNCTION("""COMPUTED_VALUE"""),"secant line, chord line")</f>
        <v>secant line, chord line</v>
      </c>
      <c r="C735" s="2" t="str">
        <f>IFERROR(__xludf.DUMMYFUNCTION("""COMPUTED_VALUE"""),"sekant")</f>
        <v>sekant</v>
      </c>
      <c r="D735" s="5"/>
      <c r="E735" s="5"/>
      <c r="F735" s="11"/>
      <c r="G735" s="11"/>
    </row>
    <row r="736">
      <c r="A736" s="2" t="str">
        <f>IFERROR(__xludf.DUMMYFUNCTION("""COMPUTED_VALUE"""),"sekantti, sec")</f>
        <v>sekantti, sec</v>
      </c>
      <c r="B736" s="2" t="str">
        <f>IFERROR(__xludf.DUMMYFUNCTION("""COMPUTED_VALUE"""),"secant, sec")</f>
        <v>secant, sec</v>
      </c>
      <c r="C736" s="2" t="str">
        <f>IFERROR(__xludf.DUMMYFUNCTION("""COMPUTED_VALUE"""),"sekant")</f>
        <v>sekant</v>
      </c>
      <c r="D736" s="5"/>
      <c r="E736" s="5"/>
      <c r="F736" s="11"/>
      <c r="G736" s="11"/>
    </row>
    <row r="737">
      <c r="A737" s="2" t="str">
        <f>IFERROR(__xludf.DUMMYFUNCTION("""COMPUTED_VALUE"""),"semidefiniitti")</f>
        <v>semidefiniitti</v>
      </c>
      <c r="B737" s="2" t="str">
        <f>IFERROR(__xludf.DUMMYFUNCTION("""COMPUTED_VALUE"""),"semidefinite")</f>
        <v>semidefinite</v>
      </c>
      <c r="C737" s="2" t="str">
        <f>IFERROR(__xludf.DUMMYFUNCTION("""COMPUTED_VALUE"""),"semidefinit")</f>
        <v>semidefinit</v>
      </c>
      <c r="D737" s="5"/>
      <c r="E737" s="5"/>
      <c r="F737" s="11"/>
      <c r="G737" s="11"/>
    </row>
    <row r="738">
      <c r="A738" s="2" t="str">
        <f>IFERROR(__xludf.DUMMYFUNCTION("""COMPUTED_VALUE"""),"seminormi")</f>
        <v>seminormi</v>
      </c>
      <c r="B738" s="2" t="str">
        <f>IFERROR(__xludf.DUMMYFUNCTION("""COMPUTED_VALUE"""),"seminorm")</f>
        <v>seminorm</v>
      </c>
      <c r="C738" s="2" t="str">
        <f>IFERROR(__xludf.DUMMYFUNCTION("""COMPUTED_VALUE"""),"seminorm")</f>
        <v>seminorm</v>
      </c>
      <c r="D738" s="5"/>
      <c r="E738" s="5"/>
      <c r="F738" s="11"/>
      <c r="G738" s="11"/>
    </row>
    <row r="739">
      <c r="A739" s="2" t="str">
        <f>IFERROR(__xludf.DUMMYFUNCTION("""COMPUTED_VALUE"""),"separaatio")</f>
        <v>separaatio</v>
      </c>
      <c r="B739" s="2" t="str">
        <f>IFERROR(__xludf.DUMMYFUNCTION("""COMPUTED_VALUE"""),"separation")</f>
        <v>separation</v>
      </c>
      <c r="C739" s="2" t="str">
        <f>IFERROR(__xludf.DUMMYFUNCTION("""COMPUTED_VALUE"""),"separation")</f>
        <v>separation</v>
      </c>
      <c r="D739" s="5"/>
      <c r="E739" s="5"/>
      <c r="F739" s="11"/>
      <c r="G739" s="11"/>
    </row>
    <row r="740">
      <c r="A740" s="2" t="str">
        <f>IFERROR(__xludf.DUMMYFUNCTION("""COMPUTED_VALUE"""),"separoidut joukot")</f>
        <v>separoidut joukot</v>
      </c>
      <c r="B740" s="2" t="str">
        <f>IFERROR(__xludf.DUMMYFUNCTION("""COMPUTED_VALUE"""),"separated sets")</f>
        <v>separated sets</v>
      </c>
      <c r="C740" s="2" t="str">
        <f>IFERROR(__xludf.DUMMYFUNCTION("""COMPUTED_VALUE"""),"-")</f>
        <v>-</v>
      </c>
      <c r="D740" s="5"/>
      <c r="E740" s="5"/>
      <c r="F740" s="11"/>
      <c r="G740" s="11"/>
    </row>
    <row r="741">
      <c r="A741" s="2" t="str">
        <f>IFERROR(__xludf.DUMMYFUNCTION("""COMPUTED_VALUE"""),"separoituva")</f>
        <v>separoituva</v>
      </c>
      <c r="B741" s="2" t="str">
        <f>IFERROR(__xludf.DUMMYFUNCTION("""COMPUTED_VALUE"""),"separable")</f>
        <v>separable</v>
      </c>
      <c r="C741" s="2" t="str">
        <f>IFERROR(__xludf.DUMMYFUNCTION("""COMPUTED_VALUE"""),"separerbar")</f>
        <v>separerbar</v>
      </c>
      <c r="D741" s="5"/>
      <c r="E741" s="5"/>
      <c r="F741" s="11"/>
      <c r="G741" s="11"/>
    </row>
    <row r="742">
      <c r="A742" s="2" t="str">
        <f>IFERROR(__xludf.DUMMYFUNCTION("""COMPUTED_VALUE"""),"seskilineaarinen (1. arg: lin., 2. arg: klin.)")</f>
        <v>seskilineaarinen (1. arg: lin., 2. arg: klin.)</v>
      </c>
      <c r="B742" s="2" t="str">
        <f>IFERROR(__xludf.DUMMYFUNCTION("""COMPUTED_VALUE"""),"sesquilinear")</f>
        <v>sesquilinear</v>
      </c>
      <c r="C742" s="2" t="str">
        <f>IFERROR(__xludf.DUMMYFUNCTION("""COMPUTED_VALUE"""),"sesilinjär")</f>
        <v>sesilinjär</v>
      </c>
      <c r="D742" s="5"/>
      <c r="E742" s="5"/>
      <c r="F742" s="11"/>
      <c r="G742" s="11"/>
    </row>
    <row r="743">
      <c r="A743" s="2" t="str">
        <f>IFERROR(__xludf.DUMMYFUNCTION("""COMPUTED_VALUE"""),"sgn (etumerkkifunktio, signum)")</f>
        <v>sgn (etumerkkifunktio, signum)</v>
      </c>
      <c r="B743" s="2" t="str">
        <f>IFERROR(__xludf.DUMMYFUNCTION("""COMPUTED_VALUE"""),"sgn")</f>
        <v>sgn</v>
      </c>
      <c r="C743" s="2" t="str">
        <f>IFERROR(__xludf.DUMMYFUNCTION("""COMPUTED_VALUE"""),"sgn (signum)")</f>
        <v>sgn (signum)</v>
      </c>
      <c r="D743" s="5"/>
      <c r="E743" s="5"/>
      <c r="F743" s="11"/>
      <c r="G743" s="11"/>
    </row>
    <row r="744">
      <c r="A744" s="2" t="str">
        <f>IFERROR(__xludf.DUMMYFUNCTION("""COMPUTED_VALUE"""),"sidottu muuttuja")</f>
        <v>sidottu muuttuja</v>
      </c>
      <c r="B744" s="2" t="str">
        <f>IFERROR(__xludf.DUMMYFUNCTION("""COMPUTED_VALUE"""),"bounded variable, pivot variable")</f>
        <v>bounded variable, pivot variable</v>
      </c>
      <c r="C744" s="2" t="str">
        <f>IFERROR(__xludf.DUMMYFUNCTION("""COMPUTED_VALUE"""),"bunden variabel")</f>
        <v>bunden variabel</v>
      </c>
      <c r="D744" s="5"/>
      <c r="E744" s="5"/>
      <c r="F744" s="11"/>
      <c r="G744" s="11"/>
    </row>
    <row r="745">
      <c r="A745" s="2" t="str">
        <f>IFERROR(__xludf.DUMMYFUNCTION("""COMPUTED_VALUE"""),"sidottu muuttuja")</f>
        <v>sidottu muuttuja</v>
      </c>
      <c r="B745" s="2" t="str">
        <f>IFERROR(__xludf.DUMMYFUNCTION("""COMPUTED_VALUE"""),"pivot variable, bounded variable")</f>
        <v>pivot variable, bounded variable</v>
      </c>
      <c r="C745" s="2" t="str">
        <f>IFERROR(__xludf.DUMMYFUNCTION("""COMPUTED_VALUE"""),"bunden variabel")</f>
        <v>bunden variabel</v>
      </c>
      <c r="D745" s="5"/>
      <c r="E745" s="5"/>
      <c r="F745" s="11"/>
      <c r="G745" s="11"/>
    </row>
    <row r="746">
      <c r="A746" s="2" t="str">
        <f>IFERROR(__xludf.DUMMYFUNCTION("""COMPUTED_VALUE"""),"sidottu ääriarvo")</f>
        <v>sidottu ääriarvo</v>
      </c>
      <c r="B746" s="2" t="str">
        <f>IFERROR(__xludf.DUMMYFUNCTION("""COMPUTED_VALUE"""),"constrained extreme value")</f>
        <v>constrained extreme value</v>
      </c>
      <c r="C746" s="2" t="str">
        <f>IFERROR(__xludf.DUMMYFUNCTION("""COMPUTED_VALUE"""),"bundet extremvärde")</f>
        <v>bundet extremvärde</v>
      </c>
      <c r="D746" s="5"/>
      <c r="E746" s="5"/>
      <c r="F746" s="11"/>
      <c r="G746" s="11"/>
    </row>
    <row r="747">
      <c r="A747" s="2" t="str">
        <f>IFERROR(__xludf.DUMMYFUNCTION("""COMPUTED_VALUE"""),"sievennetty porrasmatriisi")</f>
        <v>sievennetty porrasmatriisi</v>
      </c>
      <c r="B747" s="2" t="str">
        <f>IFERROR(__xludf.DUMMYFUNCTION("""COMPUTED_VALUE"""),"reduced echelon matrix")</f>
        <v>reduced echelon matrix</v>
      </c>
      <c r="C747" s="2" t="str">
        <f>IFERROR(__xludf.DUMMYFUNCTION("""COMPUTED_VALUE"""),"reducerad trappstegsmatris")</f>
        <v>reducerad trappstegsmatris</v>
      </c>
      <c r="D747" s="5"/>
      <c r="E747" s="5"/>
      <c r="F747" s="11"/>
      <c r="G747" s="11"/>
    </row>
    <row r="748">
      <c r="A748" s="2" t="str">
        <f>IFERROR(__xludf.DUMMYFUNCTION("""COMPUTED_VALUE"""),"sieventää")</f>
        <v>sieventää</v>
      </c>
      <c r="B748" s="2" t="str">
        <f>IFERROR(__xludf.DUMMYFUNCTION("""COMPUTED_VALUE"""),"simplify")</f>
        <v>simplify</v>
      </c>
      <c r="C748" s="2" t="str">
        <f>IFERROR(__xludf.DUMMYFUNCTION("""COMPUTED_VALUE"""),"förenkla")</f>
        <v>förenkla</v>
      </c>
      <c r="D748" s="5"/>
      <c r="E748" s="5"/>
      <c r="F748" s="11"/>
      <c r="G748" s="11"/>
    </row>
    <row r="749">
      <c r="A749" s="2" t="str">
        <f>IFERROR(__xludf.DUMMYFUNCTION("""COMPUTED_VALUE"""),"sigma-algebra")</f>
        <v>sigma-algebra</v>
      </c>
      <c r="B749" s="2" t="str">
        <f>IFERROR(__xludf.DUMMYFUNCTION("""COMPUTED_VALUE"""),"sigma-algebra")</f>
        <v>sigma-algebra</v>
      </c>
      <c r="C749" s="2" t="str">
        <f>IFERROR(__xludf.DUMMYFUNCTION("""COMPUTED_VALUE"""),"sigma-algebra")</f>
        <v>sigma-algebra</v>
      </c>
      <c r="D749" s="5"/>
      <c r="E749" s="5"/>
      <c r="F749" s="11"/>
      <c r="G749" s="11"/>
    </row>
    <row r="750">
      <c r="A750" s="2" t="str">
        <f>IFERROR(__xludf.DUMMYFUNCTION("""COMPUTED_VALUE"""),"sigma-kompakti")</f>
        <v>sigma-kompakti</v>
      </c>
      <c r="B750" s="2" t="str">
        <f>IFERROR(__xludf.DUMMYFUNCTION("""COMPUTED_VALUE"""),"sigma-compact")</f>
        <v>sigma-compact</v>
      </c>
      <c r="C750" s="2" t="str">
        <f>IFERROR(__xludf.DUMMYFUNCTION("""COMPUTED_VALUE"""),"sigma-kompakt")</f>
        <v>sigma-kompakt</v>
      </c>
      <c r="D750" s="5"/>
      <c r="E750" s="5"/>
      <c r="F750" s="11"/>
      <c r="G750" s="11"/>
    </row>
    <row r="751">
      <c r="A751" s="2" t="str">
        <f>IFERROR(__xludf.DUMMYFUNCTION("""COMPUTED_VALUE"""),"sigma-äärellinen")</f>
        <v>sigma-äärellinen</v>
      </c>
      <c r="B751" s="2" t="str">
        <f>IFERROR(__xludf.DUMMYFUNCTION("""COMPUTED_VALUE"""),"sigma-finite")</f>
        <v>sigma-finite</v>
      </c>
      <c r="C751" s="2"/>
      <c r="D751" s="5"/>
      <c r="E751" s="5"/>
      <c r="F751" s="11"/>
      <c r="G751" s="11"/>
    </row>
    <row r="752">
      <c r="A752" s="2" t="str">
        <f>IFERROR(__xludf.DUMMYFUNCTION("""COMPUTED_VALUE"""),"siirto")</f>
        <v>siirto</v>
      </c>
      <c r="B752" s="2" t="str">
        <f>IFERROR(__xludf.DUMMYFUNCTION("""COMPUTED_VALUE"""),"shift")</f>
        <v>shift</v>
      </c>
      <c r="C752" s="2" t="str">
        <f>IFERROR(__xludf.DUMMYFUNCTION("""COMPUTED_VALUE"""),"förskjutning")</f>
        <v>förskjutning</v>
      </c>
      <c r="D752" s="5"/>
      <c r="E752" s="5"/>
      <c r="F752" s="11"/>
      <c r="G752" s="11"/>
    </row>
    <row r="753">
      <c r="A753" s="2" t="str">
        <f>IFERROR(__xludf.DUMMYFUNCTION("""COMPUTED_VALUE"""),"sijoitus")</f>
        <v>sijoitus</v>
      </c>
      <c r="B753" s="2" t="str">
        <f>IFERROR(__xludf.DUMMYFUNCTION("""COMPUTED_VALUE"""),"substitution")</f>
        <v>substitution</v>
      </c>
      <c r="C753" s="2" t="str">
        <f>IFERROR(__xludf.DUMMYFUNCTION("""COMPUTED_VALUE"""),"insättning, substitution")</f>
        <v>insättning, substitution</v>
      </c>
      <c r="D753" s="5"/>
      <c r="E753" s="5"/>
      <c r="F753" s="11"/>
      <c r="G753" s="11"/>
    </row>
    <row r="754">
      <c r="A754" s="2" t="str">
        <f>IFERROR(__xludf.DUMMYFUNCTION("""COMPUTED_VALUE"""),"sileä (C1 tai Cinfinity tms.)")</f>
        <v>sileä (C1 tai Cinfinity tms.)</v>
      </c>
      <c r="B754" s="2" t="str">
        <f>IFERROR(__xludf.DUMMYFUNCTION("""COMPUTED_VALUE"""),"smooth")</f>
        <v>smooth</v>
      </c>
      <c r="C754" s="2" t="str">
        <f>IFERROR(__xludf.DUMMYFUNCTION("""COMPUTED_VALUE"""),"slät, glatt")</f>
        <v>slät, glatt</v>
      </c>
      <c r="D754" s="5"/>
      <c r="E754" s="5"/>
      <c r="F754" s="11"/>
      <c r="G754" s="11"/>
    </row>
    <row r="755">
      <c r="A755" s="2" t="str">
        <f>IFERROR(__xludf.DUMMYFUNCTION("""COMPUTED_VALUE"""),"silmukka")</f>
        <v>silmukka</v>
      </c>
      <c r="B755" s="2" t="str">
        <f>IFERROR(__xludf.DUMMYFUNCTION("""COMPUTED_VALUE"""),"loop")</f>
        <v>loop</v>
      </c>
      <c r="C755" s="2" t="str">
        <f>IFERROR(__xludf.DUMMYFUNCTION("""COMPUTED_VALUE"""),"ögla")</f>
        <v>ögla</v>
      </c>
      <c r="D755" s="5"/>
      <c r="E755" s="5"/>
      <c r="F755" s="11"/>
      <c r="G755" s="11"/>
    </row>
    <row r="756">
      <c r="A756" s="2" t="str">
        <f>IFERROR(__xludf.DUMMYFUNCTION("""COMPUTED_VALUE"""),"silottaja (ei vak.)")</f>
        <v>silottaja (ei vak.)</v>
      </c>
      <c r="B756" s="2" t="str">
        <f>IFERROR(__xludf.DUMMYFUNCTION("""COMPUTED_VALUE"""),"mollifier")</f>
        <v>mollifier</v>
      </c>
      <c r="C756" s="2" t="str">
        <f>IFERROR(__xludf.DUMMYFUNCTION("""COMPUTED_VALUE"""),"-")</f>
        <v>-</v>
      </c>
      <c r="D756" s="5"/>
      <c r="E756" s="5"/>
      <c r="F756" s="11"/>
      <c r="G756" s="11"/>
    </row>
    <row r="757">
      <c r="A757" s="2" t="str">
        <f>IFERROR(__xludf.DUMMYFUNCTION("""COMPUTED_VALUE"""),"silotus, tasoitus")</f>
        <v>silotus, tasoitus</v>
      </c>
      <c r="B757" s="2" t="str">
        <f>IFERROR(__xludf.DUMMYFUNCTION("""COMPUTED_VALUE"""),"smoothing")</f>
        <v>smoothing</v>
      </c>
      <c r="C757" s="2" t="str">
        <f>IFERROR(__xludf.DUMMYFUNCTION("""COMPUTED_VALUE"""),"utjämning")</f>
        <v>utjämning</v>
      </c>
      <c r="D757" s="5"/>
      <c r="E757" s="5"/>
      <c r="F757" s="11"/>
      <c r="G757" s="11"/>
    </row>
    <row r="758">
      <c r="A758" s="2" t="str">
        <f>IFERROR(__xludf.DUMMYFUNCTION("""COMPUTED_VALUE"""),"similaarinen")</f>
        <v>similaarinen</v>
      </c>
      <c r="B758" s="2" t="str">
        <f>IFERROR(__xludf.DUMMYFUNCTION("""COMPUTED_VALUE"""),"similar")</f>
        <v>similar</v>
      </c>
      <c r="C758" s="2" t="str">
        <f>IFERROR(__xludf.DUMMYFUNCTION("""COMPUTED_VALUE"""),"similar")</f>
        <v>similar</v>
      </c>
      <c r="D758" s="5"/>
      <c r="E758" s="5"/>
      <c r="F758" s="11"/>
      <c r="G758" s="11"/>
    </row>
    <row r="759">
      <c r="A759" s="2" t="str">
        <f>IFERROR(__xludf.DUMMYFUNCTION("""COMPUTED_VALUE"""),"similariteettimuunnos")</f>
        <v>similariteettimuunnos</v>
      </c>
      <c r="B759" s="2" t="str">
        <f>IFERROR(__xludf.DUMMYFUNCTION("""COMPUTED_VALUE"""),"similarity transformation")</f>
        <v>similarity transformation</v>
      </c>
      <c r="C759" s="2" t="str">
        <f>IFERROR(__xludf.DUMMYFUNCTION("""COMPUTED_VALUE"""),"similaritetstransformation")</f>
        <v>similaritetstransformation</v>
      </c>
      <c r="D759" s="5"/>
      <c r="E759" s="5"/>
      <c r="F759" s="11"/>
      <c r="G759" s="11"/>
    </row>
    <row r="760">
      <c r="A760" s="2" t="str">
        <f>IFERROR(__xludf.DUMMYFUNCTION("""COMPUTED_VALUE"""),"simpleksi")</f>
        <v>simpleksi</v>
      </c>
      <c r="B760" s="2" t="str">
        <f>IFERROR(__xludf.DUMMYFUNCTION("""COMPUTED_VALUE"""),"simplex")</f>
        <v>simplex</v>
      </c>
      <c r="C760" s="2" t="str">
        <f>IFERROR(__xludf.DUMMYFUNCTION("""COMPUTED_VALUE"""),"simplex")</f>
        <v>simplex</v>
      </c>
      <c r="D760" s="5"/>
      <c r="E760" s="5"/>
      <c r="F760" s="11"/>
      <c r="G760" s="11"/>
    </row>
    <row r="761">
      <c r="A761" s="2" t="str">
        <f>IFERROR(__xludf.DUMMYFUNCTION("""COMPUTED_VALUE"""),"simpleksinen")</f>
        <v>simpleksinen</v>
      </c>
      <c r="B761" s="2" t="str">
        <f>IFERROR(__xludf.DUMMYFUNCTION("""COMPUTED_VALUE"""),"simplicial")</f>
        <v>simplicial</v>
      </c>
      <c r="C761" s="2" t="str">
        <f>IFERROR(__xludf.DUMMYFUNCTION("""COMPUTED_VALUE"""),"-")</f>
        <v>-</v>
      </c>
      <c r="D761" s="5"/>
      <c r="E761" s="5"/>
      <c r="F761" s="11"/>
      <c r="G761" s="11"/>
    </row>
    <row r="762">
      <c r="A762" s="2" t="str">
        <f>IFERROR(__xludf.DUMMYFUNCTION("""COMPUTED_VALUE"""),"simplex-menetelmä")</f>
        <v>simplex-menetelmä</v>
      </c>
      <c r="B762" s="2" t="str">
        <f>IFERROR(__xludf.DUMMYFUNCTION("""COMPUTED_VALUE"""),"simplex method")</f>
        <v>simplex method</v>
      </c>
      <c r="C762" s="2" t="str">
        <f>IFERROR(__xludf.DUMMYFUNCTION("""COMPUTED_VALUE"""),"simplexmetoden")</f>
        <v>simplexmetoden</v>
      </c>
      <c r="D762" s="5"/>
      <c r="E762" s="5"/>
      <c r="F762" s="11"/>
      <c r="G762" s="11"/>
    </row>
    <row r="763">
      <c r="A763" s="2" t="str">
        <f>IFERROR(__xludf.DUMMYFUNCTION("""COMPUTED_VALUE"""),"Simpsonin kaava, Simpsonin sääntö")</f>
        <v>Simpsonin kaava, Simpsonin sääntö</v>
      </c>
      <c r="B763" s="2" t="str">
        <f>IFERROR(__xludf.DUMMYFUNCTION("""COMPUTED_VALUE"""),"Simpson's Rule")</f>
        <v>Simpson's Rule</v>
      </c>
      <c r="C763" s="2" t="str">
        <f>IFERROR(__xludf.DUMMYFUNCTION("""COMPUTED_VALUE"""),"Simpsons regel")</f>
        <v>Simpsons regel</v>
      </c>
      <c r="D763" s="5"/>
      <c r="E763" s="5"/>
      <c r="F763" s="11"/>
      <c r="G763" s="11"/>
    </row>
    <row r="764">
      <c r="A764" s="2" t="str">
        <f>IFERROR(__xludf.DUMMYFUNCTION("""COMPUTED_VALUE"""),"singulaariarvo")</f>
        <v>singulaariarvo</v>
      </c>
      <c r="B764" s="2" t="str">
        <f>IFERROR(__xludf.DUMMYFUNCTION("""COMPUTED_VALUE"""),"singular value")</f>
        <v>singular value</v>
      </c>
      <c r="C764" s="2" t="str">
        <f>IFERROR(__xludf.DUMMYFUNCTION("""COMPUTED_VALUE"""),"singulärt värde")</f>
        <v>singulärt värde</v>
      </c>
      <c r="D764" s="5"/>
      <c r="E764" s="5"/>
      <c r="F764" s="11"/>
      <c r="G764" s="11"/>
    </row>
    <row r="765">
      <c r="A765" s="2" t="str">
        <f>IFERROR(__xludf.DUMMYFUNCTION("""COMPUTED_VALUE"""),"singulaarinen, epäsäännöllinen")</f>
        <v>singulaarinen, epäsäännöllinen</v>
      </c>
      <c r="B765" s="2" t="str">
        <f>IFERROR(__xludf.DUMMYFUNCTION("""COMPUTED_VALUE"""),"singular")</f>
        <v>singular</v>
      </c>
      <c r="C765" s="2" t="str">
        <f>IFERROR(__xludf.DUMMYFUNCTION("""COMPUTED_VALUE"""),"singulär")</f>
        <v>singulär</v>
      </c>
      <c r="D765" s="5"/>
      <c r="E765" s="5"/>
      <c r="F765" s="11"/>
      <c r="G765" s="11"/>
    </row>
    <row r="766">
      <c r="A766" s="2" t="str">
        <f>IFERROR(__xludf.DUMMYFUNCTION("""COMPUTED_VALUE"""),"sisus")</f>
        <v>sisus</v>
      </c>
      <c r="B766" s="2" t="str">
        <f>IFERROR(__xludf.DUMMYFUNCTION("""COMPUTED_VALUE"""),"interior")</f>
        <v>interior</v>
      </c>
      <c r="C766" s="2" t="str">
        <f>IFERROR(__xludf.DUMMYFUNCTION("""COMPUTED_VALUE"""),"interiör")</f>
        <v>interiör</v>
      </c>
      <c r="D766" s="5"/>
      <c r="E766" s="5"/>
      <c r="F766" s="11"/>
      <c r="G766" s="11"/>
    </row>
    <row r="767">
      <c r="A767" s="2" t="str">
        <f>IFERROR(__xludf.DUMMYFUNCTION("""COMPUTED_VALUE"""),"sisältää (olla ylijoukko)")</f>
        <v>sisältää (olla ylijoukko)</v>
      </c>
      <c r="B767" s="2" t="str">
        <f>IFERROR(__xludf.DUMMYFUNCTION("""COMPUTED_VALUE"""),"contain")</f>
        <v>contain</v>
      </c>
      <c r="C767" s="2" t="str">
        <f>IFERROR(__xludf.DUMMYFUNCTION("""COMPUTED_VALUE"""),"innehålla")</f>
        <v>innehålla</v>
      </c>
      <c r="D767" s="5"/>
      <c r="E767" s="5"/>
      <c r="F767" s="11"/>
      <c r="G767" s="11"/>
    </row>
    <row r="768">
      <c r="A768" s="2" t="str">
        <f>IFERROR(__xludf.DUMMYFUNCTION("""COMPUTED_VALUE"""),"sisäpiste")</f>
        <v>sisäpiste</v>
      </c>
      <c r="B768" s="2" t="str">
        <f>IFERROR(__xludf.DUMMYFUNCTION("""COMPUTED_VALUE"""),"interior point")</f>
        <v>interior point</v>
      </c>
      <c r="C768" s="2" t="str">
        <f>IFERROR(__xludf.DUMMYFUNCTION("""COMPUTED_VALUE"""),"inre punkt")</f>
        <v>inre punkt</v>
      </c>
      <c r="D768" s="5"/>
      <c r="E768" s="5"/>
      <c r="F768" s="11"/>
      <c r="G768" s="11"/>
    </row>
    <row r="769">
      <c r="A769" s="2" t="str">
        <f>IFERROR(__xludf.DUMMYFUNCTION("""COMPUTED_VALUE"""),"sisäsäännöllinen (mitta)")</f>
        <v>sisäsäännöllinen (mitta)</v>
      </c>
      <c r="B769" s="2" t="str">
        <f>IFERROR(__xludf.DUMMYFUNCTION("""COMPUTED_VALUE"""),"inner regular")</f>
        <v>inner regular</v>
      </c>
      <c r="C769" s="2" t="str">
        <f>IFERROR(__xludf.DUMMYFUNCTION("""COMPUTED_VALUE"""),"-")</f>
        <v>-</v>
      </c>
      <c r="D769" s="5"/>
      <c r="E769" s="5"/>
      <c r="F769" s="11"/>
      <c r="G769" s="11"/>
    </row>
    <row r="770">
      <c r="A770" s="2" t="str">
        <f>IFERROR(__xludf.DUMMYFUNCTION("""COMPUTED_VALUE"""),"sisätulo, pistetulo, skalaaritulo")</f>
        <v>sisätulo, pistetulo, skalaaritulo</v>
      </c>
      <c r="B770" s="2" t="str">
        <f>IFERROR(__xludf.DUMMYFUNCTION("""COMPUTED_VALUE"""),"inner product")</f>
        <v>inner product</v>
      </c>
      <c r="C770" s="2" t="str">
        <f>IFERROR(__xludf.DUMMYFUNCTION("""COMPUTED_VALUE"""),"inreprodukt")</f>
        <v>inreprodukt</v>
      </c>
      <c r="D770" s="5"/>
      <c r="E770" s="5"/>
      <c r="F770" s="11"/>
      <c r="G770" s="11"/>
    </row>
    <row r="771">
      <c r="A771" s="2" t="str">
        <f>IFERROR(__xludf.DUMMYFUNCTION("""COMPUTED_VALUE"""),"sisätuloavaruus")</f>
        <v>sisätuloavaruus</v>
      </c>
      <c r="B771" s="2" t="str">
        <f>IFERROR(__xludf.DUMMYFUNCTION("""COMPUTED_VALUE"""),"inner product space, pre-Hilbert space")</f>
        <v>inner product space, pre-Hilbert space</v>
      </c>
      <c r="C771" s="2" t="str">
        <f>IFERROR(__xludf.DUMMYFUNCTION("""COMPUTED_VALUE"""),"inreproduktrum")</f>
        <v>inreproduktrum</v>
      </c>
      <c r="D771" s="5"/>
      <c r="E771" s="5"/>
      <c r="F771" s="11"/>
      <c r="G771" s="11"/>
    </row>
    <row r="772">
      <c r="A772" s="2" t="str">
        <f>IFERROR(__xludf.DUMMYFUNCTION("""COMPUTED_VALUE"""),"sisätuloavaruus")</f>
        <v>sisätuloavaruus</v>
      </c>
      <c r="B772" s="2" t="str">
        <f>IFERROR(__xludf.DUMMYFUNCTION("""COMPUTED_VALUE"""),"pre-Hilbert space, inner product space")</f>
        <v>pre-Hilbert space, inner product space</v>
      </c>
      <c r="C772" s="2" t="str">
        <f>IFERROR(__xludf.DUMMYFUNCTION("""COMPUTED_VALUE"""),"inreproduktrum")</f>
        <v>inreproduktrum</v>
      </c>
      <c r="D772" s="5"/>
      <c r="E772" s="5"/>
      <c r="F772" s="11"/>
      <c r="G772" s="11"/>
    </row>
    <row r="773">
      <c r="A773" s="2" t="str">
        <f>IFERROR(__xludf.DUMMYFUNCTION("""COMPUTED_VALUE"""),"sisään piirretty ympyrä")</f>
        <v>sisään piirretty ympyrä</v>
      </c>
      <c r="B773" s="2" t="str">
        <f>IFERROR(__xludf.DUMMYFUNCTION("""COMPUTED_VALUE"""),"inscribed circle")</f>
        <v>inscribed circle</v>
      </c>
      <c r="C773" s="2" t="str">
        <f>IFERROR(__xludf.DUMMYFUNCTION("""COMPUTED_VALUE"""),"inskriven cirkel")</f>
        <v>inskriven cirkel</v>
      </c>
      <c r="D773" s="5"/>
      <c r="E773" s="5"/>
      <c r="F773" s="11"/>
      <c r="G773" s="11"/>
    </row>
    <row r="774">
      <c r="A774" s="2" t="str">
        <f>IFERROR(__xludf.DUMMYFUNCTION("""COMPUTED_VALUE"""),"sivuluokka")</f>
        <v>sivuluokka</v>
      </c>
      <c r="B774" s="2" t="str">
        <f>IFERROR(__xludf.DUMMYFUNCTION("""COMPUTED_VALUE"""),"coset")</f>
        <v>coset</v>
      </c>
      <c r="C774" s="2" t="str">
        <f>IFERROR(__xludf.DUMMYFUNCTION("""COMPUTED_VALUE"""),"sidoklass")</f>
        <v>sidoklass</v>
      </c>
      <c r="D774" s="5"/>
      <c r="E774" s="5"/>
      <c r="F774" s="11"/>
      <c r="G774" s="11"/>
    </row>
    <row r="775">
      <c r="A775" s="2" t="str">
        <f>IFERROR(__xludf.DUMMYFUNCTION("""COMPUTED_VALUE"""),"sivunormaali")</f>
        <v>sivunormaali</v>
      </c>
      <c r="B775" s="2" t="str">
        <f>IFERROR(__xludf.DUMMYFUNCTION("""COMPUTED_VALUE"""),"binormal vector, binormal")</f>
        <v>binormal vector, binormal</v>
      </c>
      <c r="C775" s="2" t="str">
        <f>IFERROR(__xludf.DUMMYFUNCTION("""COMPUTED_VALUE"""),"binormal")</f>
        <v>binormal</v>
      </c>
      <c r="D775" s="5"/>
      <c r="E775" s="5"/>
      <c r="F775" s="11"/>
      <c r="G775" s="11"/>
    </row>
    <row r="776">
      <c r="A776" s="2" t="str">
        <f>IFERROR(__xludf.DUMMYFUNCTION("""COMPUTED_VALUE"""),"skaalaus")</f>
        <v>skaalaus</v>
      </c>
      <c r="B776" s="2" t="str">
        <f>IFERROR(__xludf.DUMMYFUNCTION("""COMPUTED_VALUE"""),"scaling")</f>
        <v>scaling</v>
      </c>
      <c r="C776" s="2" t="str">
        <f>IFERROR(__xludf.DUMMYFUNCTION("""COMPUTED_VALUE"""),"skalning")</f>
        <v>skalning</v>
      </c>
      <c r="D776" s="5"/>
      <c r="E776" s="5"/>
      <c r="F776" s="11"/>
      <c r="G776" s="11"/>
    </row>
    <row r="777">
      <c r="A777" s="2" t="str">
        <f>IFERROR(__xludf.DUMMYFUNCTION("""COMPUTED_VALUE"""),"skalaari, luku")</f>
        <v>skalaari, luku</v>
      </c>
      <c r="B777" s="2" t="str">
        <f>IFERROR(__xludf.DUMMYFUNCTION("""COMPUTED_VALUE"""),"scalar")</f>
        <v>scalar</v>
      </c>
      <c r="C777" s="2" t="str">
        <f>IFERROR(__xludf.DUMMYFUNCTION("""COMPUTED_VALUE"""),"skalär")</f>
        <v>skalär</v>
      </c>
      <c r="D777" s="5"/>
      <c r="E777" s="5"/>
      <c r="F777" s="11"/>
      <c r="G777" s="11"/>
    </row>
    <row r="778">
      <c r="A778" s="2" t="str">
        <f>IFERROR(__xludf.DUMMYFUNCTION("""COMPUTED_VALUE"""),"skalaariarvoinen, lukuarvoinen")</f>
        <v>skalaariarvoinen, lukuarvoinen</v>
      </c>
      <c r="B778" s="2" t="str">
        <f>IFERROR(__xludf.DUMMYFUNCTION("""COMPUTED_VALUE"""),"scalar-valued")</f>
        <v>scalar-valued</v>
      </c>
      <c r="C778" s="2" t="str">
        <f>IFERROR(__xludf.DUMMYFUNCTION("""COMPUTED_VALUE"""),"skalärvärd")</f>
        <v>skalärvärd</v>
      </c>
      <c r="D778" s="5"/>
      <c r="E778" s="5"/>
      <c r="F778" s="11"/>
      <c r="G778" s="11"/>
    </row>
    <row r="779">
      <c r="A779" s="2" t="str">
        <f>IFERROR(__xludf.DUMMYFUNCTION("""COMPUTED_VALUE"""),"skalaarikolmitulo")</f>
        <v>skalaarikolmitulo</v>
      </c>
      <c r="B779" s="2" t="str">
        <f>IFERROR(__xludf.DUMMYFUNCTION("""COMPUTED_VALUE"""),"scalar triple product")</f>
        <v>scalar triple product</v>
      </c>
      <c r="C779" s="2" t="str">
        <f>IFERROR(__xludf.DUMMYFUNCTION("""COMPUTED_VALUE"""),"skalärtrippelprodukt")</f>
        <v>skalärtrippelprodukt</v>
      </c>
      <c r="D779" s="5"/>
      <c r="E779" s="5"/>
      <c r="F779" s="11"/>
      <c r="G779" s="11"/>
    </row>
    <row r="780">
      <c r="A780" s="2" t="str">
        <f>IFERROR(__xludf.DUMMYFUNCTION("""COMPUTED_VALUE"""),"skalaarikolmitulo")</f>
        <v>skalaarikolmitulo</v>
      </c>
      <c r="B780" s="2" t="str">
        <f>IFERROR(__xludf.DUMMYFUNCTION("""COMPUTED_VALUE"""),"triple product")</f>
        <v>triple product</v>
      </c>
      <c r="C780" s="2" t="str">
        <f>IFERROR(__xludf.DUMMYFUNCTION("""COMPUTED_VALUE"""),"skalär trippelprodukt")</f>
        <v>skalär trippelprodukt</v>
      </c>
      <c r="D780" s="5"/>
      <c r="E780" s="5"/>
      <c r="F780" s="11"/>
      <c r="G780" s="11"/>
    </row>
    <row r="781">
      <c r="A781" s="2" t="str">
        <f>IFERROR(__xludf.DUMMYFUNCTION("""COMPUTED_VALUE"""),"skalaarikunta, kerroinkunta")</f>
        <v>skalaarikunta, kerroinkunta</v>
      </c>
      <c r="B781" s="2" t="str">
        <f>IFERROR(__xludf.DUMMYFUNCTION("""COMPUTED_VALUE"""),"scalar field")</f>
        <v>scalar field</v>
      </c>
      <c r="C781" s="2" t="str">
        <f>IFERROR(__xludf.DUMMYFUNCTION("""COMPUTED_VALUE"""),"-")</f>
        <v>-</v>
      </c>
      <c r="D781" s="5"/>
      <c r="E781" s="5"/>
      <c r="F781" s="11"/>
      <c r="G781" s="11"/>
    </row>
    <row r="782">
      <c r="A782" s="2" t="str">
        <f>IFERROR(__xludf.DUMMYFUNCTION("""COMPUTED_VALUE"""),"skalaariprojektio")</f>
        <v>skalaariprojektio</v>
      </c>
      <c r="B782" s="2" t="str">
        <f>IFERROR(__xludf.DUMMYFUNCTION("""COMPUTED_VALUE"""),"scalar projection")</f>
        <v>scalar projection</v>
      </c>
      <c r="C782" s="2" t="str">
        <f>IFERROR(__xludf.DUMMYFUNCTION("""COMPUTED_VALUE"""),"-")</f>
        <v>-</v>
      </c>
      <c r="D782" s="5"/>
      <c r="E782" s="5"/>
      <c r="F782" s="11"/>
      <c r="G782" s="11"/>
    </row>
    <row r="783">
      <c r="A783" s="2" t="str">
        <f>IFERROR(__xludf.DUMMYFUNCTION("""COMPUTED_VALUE"""),"skalaaritulo, sisätulo")</f>
        <v>skalaaritulo, sisätulo</v>
      </c>
      <c r="B783" s="2" t="str">
        <f>IFERROR(__xludf.DUMMYFUNCTION("""COMPUTED_VALUE"""),"scalar product")</f>
        <v>scalar product</v>
      </c>
      <c r="C783" s="2" t="str">
        <f>IFERROR(__xludf.DUMMYFUNCTION("""COMPUTED_VALUE"""),"skalärprodukt")</f>
        <v>skalärprodukt</v>
      </c>
      <c r="D783" s="5"/>
      <c r="E783" s="5"/>
      <c r="F783" s="11"/>
      <c r="G783" s="11"/>
    </row>
    <row r="784">
      <c r="A784" s="2" t="str">
        <f>IFERROR(__xludf.DUMMYFUNCTION("""COMPUTED_VALUE"""),"solmu")</f>
        <v>solmu</v>
      </c>
      <c r="B784" s="2" t="str">
        <f>IFERROR(__xludf.DUMMYFUNCTION("""COMPUTED_VALUE"""),"knot")</f>
        <v>knot</v>
      </c>
      <c r="C784" s="2" t="str">
        <f>IFERROR(__xludf.DUMMYFUNCTION("""COMPUTED_VALUE"""),"knop")</f>
        <v>knop</v>
      </c>
      <c r="D784" s="5"/>
      <c r="E784" s="5"/>
      <c r="F784" s="11"/>
      <c r="G784" s="11"/>
    </row>
    <row r="785">
      <c r="A785" s="2" t="str">
        <f>IFERROR(__xludf.DUMMYFUNCTION("""COMPUTED_VALUE"""),"solu")</f>
        <v>solu</v>
      </c>
      <c r="B785" s="2" t="str">
        <f>IFERROR(__xludf.DUMMYFUNCTION("""COMPUTED_VALUE"""),"cell")</f>
        <v>cell</v>
      </c>
      <c r="C785" s="2" t="str">
        <f>IFERROR(__xludf.DUMMYFUNCTION("""COMPUTED_VALUE"""),"cell")</f>
        <v>cell</v>
      </c>
      <c r="D785" s="5"/>
      <c r="E785" s="5"/>
      <c r="F785" s="11"/>
      <c r="G785" s="11"/>
    </row>
    <row r="786">
      <c r="A786" s="2" t="str">
        <f>IFERROR(__xludf.DUMMYFUNCTION("""COMPUTED_VALUE"""),"sovellus")</f>
        <v>sovellus</v>
      </c>
      <c r="B786" s="2" t="str">
        <f>IFERROR(__xludf.DUMMYFUNCTION("""COMPUTED_VALUE"""),"application")</f>
        <v>application</v>
      </c>
      <c r="C786" s="2" t="str">
        <f>IFERROR(__xludf.DUMMYFUNCTION("""COMPUTED_VALUE"""),"tillämpning")</f>
        <v>tillämpning</v>
      </c>
      <c r="D786" s="5"/>
      <c r="E786" s="5"/>
      <c r="F786" s="11"/>
      <c r="G786" s="11"/>
    </row>
    <row r="787">
      <c r="A787" s="2" t="str">
        <f>IFERROR(__xludf.DUMMYFUNCTION("""COMPUTED_VALUE"""),"sovitus")</f>
        <v>sovitus</v>
      </c>
      <c r="B787" s="2" t="str">
        <f>IFERROR(__xludf.DUMMYFUNCTION("""COMPUTED_VALUE"""),"fitting")</f>
        <v>fitting</v>
      </c>
      <c r="C787" s="2" t="str">
        <f>IFERROR(__xludf.DUMMYFUNCTION("""COMPUTED_VALUE"""),"anpassning")</f>
        <v>anpassning</v>
      </c>
      <c r="D787" s="5"/>
      <c r="E787" s="5"/>
      <c r="F787" s="11"/>
      <c r="G787" s="11"/>
    </row>
    <row r="788">
      <c r="A788" s="2" t="str">
        <f>IFERROR(__xludf.DUMMYFUNCTION("""COMPUTED_VALUE"""),"spektraalisäde")</f>
        <v>spektraalisäde</v>
      </c>
      <c r="B788" s="2" t="str">
        <f>IFERROR(__xludf.DUMMYFUNCTION("""COMPUTED_VALUE"""),"spectral radius")</f>
        <v>spectral radius</v>
      </c>
      <c r="C788" s="2" t="str">
        <f>IFERROR(__xludf.DUMMYFUNCTION("""COMPUTED_VALUE"""),"-")</f>
        <v>-</v>
      </c>
      <c r="D788" s="5"/>
      <c r="E788" s="5"/>
      <c r="F788" s="11"/>
      <c r="G788" s="11"/>
    </row>
    <row r="789">
      <c r="A789" s="2" t="str">
        <f>IFERROR(__xludf.DUMMYFUNCTION("""COMPUTED_VALUE"""),"spektri")</f>
        <v>spektri</v>
      </c>
      <c r="B789" s="2" t="str">
        <f>IFERROR(__xludf.DUMMYFUNCTION("""COMPUTED_VALUE"""),"spectrum")</f>
        <v>spectrum</v>
      </c>
      <c r="C789" s="2" t="str">
        <f>IFERROR(__xludf.DUMMYFUNCTION("""COMPUTED_VALUE"""),"spektrum")</f>
        <v>spektrum</v>
      </c>
      <c r="D789" s="5"/>
      <c r="E789" s="5"/>
      <c r="F789" s="11"/>
      <c r="G789" s="11"/>
    </row>
    <row r="790">
      <c r="A790" s="2" t="str">
        <f>IFERROR(__xludf.DUMMYFUNCTION("""COMPUTED_VALUE"""),"splini")</f>
        <v>splini</v>
      </c>
      <c r="B790" s="2" t="str">
        <f>IFERROR(__xludf.DUMMYFUNCTION("""COMPUTED_VALUE"""),"spline function")</f>
        <v>spline function</v>
      </c>
      <c r="C790" s="2" t="str">
        <f>IFERROR(__xludf.DUMMYFUNCTION("""COMPUTED_VALUE"""),"splin")</f>
        <v>splin</v>
      </c>
      <c r="D790" s="5"/>
      <c r="E790" s="5"/>
      <c r="F790" s="11"/>
      <c r="G790" s="11"/>
    </row>
    <row r="791">
      <c r="A791" s="2" t="str">
        <f>IFERROR(__xludf.DUMMYFUNCTION("""COMPUTED_VALUE"""),"stabiili")</f>
        <v>stabiili</v>
      </c>
      <c r="B791" s="2" t="str">
        <f>IFERROR(__xludf.DUMMYFUNCTION("""COMPUTED_VALUE"""),"stable")</f>
        <v>stable</v>
      </c>
      <c r="C791" s="2" t="str">
        <f>IFERROR(__xludf.DUMMYFUNCTION("""COMPUTED_VALUE"""),"stabil")</f>
        <v>stabil</v>
      </c>
      <c r="D791" s="5"/>
      <c r="E791" s="5"/>
      <c r="F791" s="11"/>
      <c r="G791" s="11"/>
    </row>
    <row r="792">
      <c r="A792" s="2" t="str">
        <f>IFERROR(__xludf.DUMMYFUNCTION("""COMPUTED_VALUE"""),"stabiilisuus")</f>
        <v>stabiilisuus</v>
      </c>
      <c r="B792" s="2" t="str">
        <f>IFERROR(__xludf.DUMMYFUNCTION("""COMPUTED_VALUE"""),"stability")</f>
        <v>stability</v>
      </c>
      <c r="C792" s="2" t="str">
        <f>IFERROR(__xludf.DUMMYFUNCTION("""COMPUTED_VALUE"""),"stabilitet")</f>
        <v>stabilitet</v>
      </c>
      <c r="D792" s="5"/>
      <c r="E792" s="5"/>
      <c r="F792" s="11"/>
      <c r="G792" s="11"/>
    </row>
    <row r="793">
      <c r="A793" s="2" t="str">
        <f>IFERROR(__xludf.DUMMYFUNCTION("""COMPUTED_VALUE"""),"stationaarinen, vakaa")</f>
        <v>stationaarinen, vakaa</v>
      </c>
      <c r="B793" s="2" t="str">
        <f>IFERROR(__xludf.DUMMYFUNCTION("""COMPUTED_VALUE"""),"stationary")</f>
        <v>stationary</v>
      </c>
      <c r="C793" s="2" t="str">
        <f>IFERROR(__xludf.DUMMYFUNCTION("""COMPUTED_VALUE"""),"stationär")</f>
        <v>stationär</v>
      </c>
      <c r="D793" s="5"/>
      <c r="E793" s="5"/>
      <c r="F793" s="11"/>
      <c r="G793" s="11"/>
    </row>
    <row r="794">
      <c r="A794" s="2" t="str">
        <f>IFERROR(__xludf.DUMMYFUNCTION("""COMPUTED_VALUE"""),"stokastinen, satunnais-")</f>
        <v>stokastinen, satunnais-</v>
      </c>
      <c r="B794" s="2" t="str">
        <f>IFERROR(__xludf.DUMMYFUNCTION("""COMPUTED_VALUE"""),"stochastic")</f>
        <v>stochastic</v>
      </c>
      <c r="C794" s="2" t="str">
        <f>IFERROR(__xludf.DUMMYFUNCTION("""COMPUTED_VALUE"""),"stokastisk, slump-")</f>
        <v>stokastisk, slump-</v>
      </c>
      <c r="D794" s="5"/>
      <c r="E794" s="5"/>
      <c r="F794" s="11"/>
      <c r="G794" s="11"/>
    </row>
    <row r="795">
      <c r="A795" s="2" t="str">
        <f>IFERROR(__xludf.DUMMYFUNCTION("""COMPUTED_VALUE"""),"suhdetesti")</f>
        <v>suhdetesti</v>
      </c>
      <c r="B795" s="2" t="str">
        <f>IFERROR(__xludf.DUMMYFUNCTION("""COMPUTED_VALUE"""),"ratio test")</f>
        <v>ratio test</v>
      </c>
      <c r="C795" s="2" t="str">
        <f>IFERROR(__xludf.DUMMYFUNCTION("""COMPUTED_VALUE"""),"kvotkriterium")</f>
        <v>kvotkriterium</v>
      </c>
      <c r="D795" s="5"/>
      <c r="E795" s="5"/>
      <c r="F795" s="11"/>
      <c r="G795" s="11"/>
    </row>
    <row r="796">
      <c r="A796" s="2" t="str">
        <f>IFERROR(__xludf.DUMMYFUNCTION("""COMPUTED_VALUE"""),"suhteellinen virhe")</f>
        <v>suhteellinen virhe</v>
      </c>
      <c r="B796" s="2" t="str">
        <f>IFERROR(__xludf.DUMMYFUNCTION("""COMPUTED_VALUE"""),"relative error")</f>
        <v>relative error</v>
      </c>
      <c r="C796" s="2" t="str">
        <f>IFERROR(__xludf.DUMMYFUNCTION("""COMPUTED_VALUE"""),"relativt fel")</f>
        <v>relativt fel</v>
      </c>
      <c r="D796" s="5"/>
      <c r="E796" s="5"/>
      <c r="F796" s="11"/>
      <c r="G796" s="11"/>
    </row>
    <row r="797">
      <c r="A797" s="2" t="str">
        <f>IFERROR(__xludf.DUMMYFUNCTION("""COMPUTED_VALUE"""),"suhteellisesti kompakti (sulkeuma kompakti)")</f>
        <v>suhteellisesti kompakti (sulkeuma kompakti)</v>
      </c>
      <c r="B797" s="2" t="str">
        <f>IFERROR(__xludf.DUMMYFUNCTION("""COMPUTED_VALUE"""),"relatively compact")</f>
        <v>relatively compact</v>
      </c>
      <c r="C797" s="2" t="str">
        <f>IFERROR(__xludf.DUMMYFUNCTION("""COMPUTED_VALUE"""),"-")</f>
        <v>-</v>
      </c>
      <c r="D797" s="5"/>
      <c r="E797" s="5"/>
      <c r="F797" s="11"/>
      <c r="G797" s="11"/>
    </row>
    <row r="798">
      <c r="A798" s="2" t="str">
        <f>IFERROR(__xludf.DUMMYFUNCTION("""COMPUTED_VALUE"""),"suhteelliset alkuluvut, keskenään jaottomat")</f>
        <v>suhteelliset alkuluvut, keskenään jaottomat</v>
      </c>
      <c r="B798" s="2" t="str">
        <f>IFERROR(__xludf.DUMMYFUNCTION("""COMPUTED_VALUE"""),"relatively prime")</f>
        <v>relatively prime</v>
      </c>
      <c r="C798" s="2" t="str">
        <f>IFERROR(__xludf.DUMMYFUNCTION("""COMPUTED_VALUE"""),"relativt prime")</f>
        <v>relativt prime</v>
      </c>
      <c r="D798" s="5"/>
      <c r="E798" s="5"/>
      <c r="F798" s="11"/>
      <c r="G798" s="11"/>
    </row>
    <row r="799">
      <c r="A799" s="2" t="str">
        <f>IFERROR(__xludf.DUMMYFUNCTION("""COMPUTED_VALUE"""),"suljettu (joukko, käyrä, pinta, kuvaus, ...)")</f>
        <v>suljettu (joukko, käyrä, pinta, kuvaus, ...)</v>
      </c>
      <c r="B799" s="2" t="str">
        <f>IFERROR(__xludf.DUMMYFUNCTION("""COMPUTED_VALUE"""),"closed")</f>
        <v>closed</v>
      </c>
      <c r="C799" s="2" t="str">
        <f>IFERROR(__xludf.DUMMYFUNCTION("""COMPUTED_VALUE"""),"sluten")</f>
        <v>sluten</v>
      </c>
      <c r="D799" s="5"/>
      <c r="E799" s="5"/>
      <c r="F799" s="11"/>
      <c r="G799" s="11"/>
    </row>
    <row r="800">
      <c r="A800" s="2" t="str">
        <f>IFERROR(__xludf.DUMMYFUNCTION("""COMPUTED_VALUE"""),"suljettu joukko")</f>
        <v>suljettu joukko</v>
      </c>
      <c r="B800" s="2" t="str">
        <f>IFERROR(__xludf.DUMMYFUNCTION("""COMPUTED_VALUE"""),"closed set")</f>
        <v>closed set</v>
      </c>
      <c r="C800" s="2" t="str">
        <f>IFERROR(__xludf.DUMMYFUNCTION("""COMPUTED_VALUE"""),"sluten mängd")</f>
        <v>sluten mängd</v>
      </c>
      <c r="D800" s="5"/>
      <c r="E800" s="5"/>
      <c r="F800" s="11"/>
      <c r="G800" s="11"/>
    </row>
    <row r="801">
      <c r="A801" s="2" t="str">
        <f>IFERROR(__xludf.DUMMYFUNCTION("""COMPUTED_VALUE"""),"sulkeuma (joukon, ...)")</f>
        <v>sulkeuma (joukon, ...)</v>
      </c>
      <c r="B801" s="2" t="str">
        <f>IFERROR(__xludf.DUMMYFUNCTION("""COMPUTED_VALUE"""),"closure")</f>
        <v>closure</v>
      </c>
      <c r="C801" s="2" t="str">
        <f>IFERROR(__xludf.DUMMYFUNCTION("""COMPUTED_VALUE"""),"förslutning")</f>
        <v>förslutning</v>
      </c>
      <c r="D801" s="5"/>
      <c r="E801" s="5"/>
      <c r="F801" s="11"/>
      <c r="G801" s="11"/>
    </row>
    <row r="802">
      <c r="A802" s="2" t="str">
        <f>IFERROR(__xludf.DUMMYFUNCTION("""COMPUTED_VALUE"""),"sulkeutuva (operaattori)")</f>
        <v>sulkeutuva (operaattori)</v>
      </c>
      <c r="B802" s="2" t="str">
        <f>IFERROR(__xludf.DUMMYFUNCTION("""COMPUTED_VALUE"""),"closable")</f>
        <v>closable</v>
      </c>
      <c r="C802" s="2" t="str">
        <f>IFERROR(__xludf.DUMMYFUNCTION("""COMPUTED_VALUE"""),"slutbar")</f>
        <v>slutbar</v>
      </c>
      <c r="D802" s="5"/>
      <c r="E802" s="5"/>
      <c r="F802" s="11"/>
      <c r="G802" s="11"/>
    </row>
    <row r="803">
      <c r="A803" s="2" t="str">
        <f>IFERROR(__xludf.DUMMYFUNCTION("""COMPUTED_VALUE"""),"suora")</f>
        <v>suora</v>
      </c>
      <c r="B803" s="2" t="str">
        <f>IFERROR(__xludf.DUMMYFUNCTION("""COMPUTED_VALUE"""),"line, straight line")</f>
        <v>line, straight line</v>
      </c>
      <c r="C803" s="2" t="str">
        <f>IFERROR(__xludf.DUMMYFUNCTION("""COMPUTED_VALUE"""),"linje")</f>
        <v>linje</v>
      </c>
      <c r="D803" s="5"/>
      <c r="E803" s="5"/>
      <c r="F803" s="11"/>
      <c r="G803" s="11"/>
    </row>
    <row r="804">
      <c r="A804" s="2" t="str">
        <f>IFERROR(__xludf.DUMMYFUNCTION("""COMPUTED_VALUE"""),"suora kulma")</f>
        <v>suora kulma</v>
      </c>
      <c r="B804" s="2" t="str">
        <f>IFERROR(__xludf.DUMMYFUNCTION("""COMPUTED_VALUE"""),"right angle")</f>
        <v>right angle</v>
      </c>
      <c r="C804" s="2" t="str">
        <f>IFERROR(__xludf.DUMMYFUNCTION("""COMPUTED_VALUE"""),"rät vinkel")</f>
        <v>rät vinkel</v>
      </c>
      <c r="D804" s="5"/>
      <c r="E804" s="5"/>
      <c r="F804" s="11"/>
      <c r="G804" s="11"/>
    </row>
    <row r="805">
      <c r="A805" s="2" t="str">
        <f>IFERROR(__xludf.DUMMYFUNCTION("""COMPUTED_VALUE"""),"suora raja-arvo, suora raja")</f>
        <v>suora raja-arvo, suora raja</v>
      </c>
      <c r="B805" s="2" t="str">
        <f>IFERROR(__xludf.DUMMYFUNCTION("""COMPUTED_VALUE"""),"direct limit")</f>
        <v>direct limit</v>
      </c>
      <c r="C805" s="2" t="str">
        <f>IFERROR(__xludf.DUMMYFUNCTION("""COMPUTED_VALUE"""),"direkt gränsvärde")</f>
        <v>direkt gränsvärde</v>
      </c>
      <c r="D805" s="5"/>
      <c r="E805" s="5"/>
      <c r="F805" s="11"/>
      <c r="G805" s="11"/>
    </row>
    <row r="806">
      <c r="A806" s="2" t="str">
        <f>IFERROR(__xludf.DUMMYFUNCTION("""COMPUTED_VALUE"""),"suora summa")</f>
        <v>suora summa</v>
      </c>
      <c r="B806" s="2" t="str">
        <f>IFERROR(__xludf.DUMMYFUNCTION("""COMPUTED_VALUE"""),"direct sum")</f>
        <v>direct sum</v>
      </c>
      <c r="C806" s="2" t="str">
        <f>IFERROR(__xludf.DUMMYFUNCTION("""COMPUTED_VALUE"""),"rak summa")</f>
        <v>rak summa</v>
      </c>
      <c r="D806" s="5"/>
      <c r="E806" s="5"/>
      <c r="F806" s="11"/>
      <c r="G806" s="11"/>
    </row>
    <row r="807">
      <c r="A807" s="2" t="str">
        <f>IFERROR(__xludf.DUMMYFUNCTION("""COMPUTED_VALUE"""),"suora ympyräkartio")</f>
        <v>suora ympyräkartio</v>
      </c>
      <c r="B807" s="2" t="str">
        <f>IFERROR(__xludf.DUMMYFUNCTION("""COMPUTED_VALUE"""),"right circular cone")</f>
        <v>right circular cone</v>
      </c>
      <c r="C807" s="2" t="str">
        <f>IFERROR(__xludf.DUMMYFUNCTION("""COMPUTED_VALUE"""),"rak cirkulär kon")</f>
        <v>rak cirkulär kon</v>
      </c>
      <c r="D807" s="5"/>
      <c r="E807" s="5"/>
      <c r="F807" s="11"/>
      <c r="G807" s="11"/>
    </row>
    <row r="808">
      <c r="A808" s="2" t="str">
        <f>IFERROR(__xludf.DUMMYFUNCTION("""COMPUTED_VALUE"""),"suorakulmainen")</f>
        <v>suorakulmainen</v>
      </c>
      <c r="B808" s="2" t="str">
        <f>IFERROR(__xludf.DUMMYFUNCTION("""COMPUTED_VALUE"""),"rectangular")</f>
        <v>rectangular</v>
      </c>
      <c r="C808" s="2" t="str">
        <f>IFERROR(__xludf.DUMMYFUNCTION("""COMPUTED_VALUE"""),"rektangulär")</f>
        <v>rektangulär</v>
      </c>
      <c r="D808" s="5"/>
      <c r="E808" s="5"/>
      <c r="F808" s="11"/>
      <c r="G808" s="11"/>
    </row>
    <row r="809">
      <c r="A809" s="2" t="str">
        <f>IFERROR(__xludf.DUMMYFUNCTION("""COMPUTED_VALUE"""),"suorakulmainen")</f>
        <v>suorakulmainen</v>
      </c>
      <c r="B809" s="2" t="str">
        <f>IFERROR(__xludf.DUMMYFUNCTION("""COMPUTED_VALUE"""),"right-angled, right")</f>
        <v>right-angled, right</v>
      </c>
      <c r="C809" s="2" t="str">
        <f>IFERROR(__xludf.DUMMYFUNCTION("""COMPUTED_VALUE"""),"rätvinklig")</f>
        <v>rätvinklig</v>
      </c>
      <c r="D809" s="5"/>
      <c r="E809" s="5"/>
      <c r="F809" s="11"/>
      <c r="G809" s="11"/>
    </row>
    <row r="810">
      <c r="A810" s="2" t="str">
        <f>IFERROR(__xludf.DUMMYFUNCTION("""COMPUTED_VALUE"""),"suorakulmio")</f>
        <v>suorakulmio</v>
      </c>
      <c r="B810" s="2" t="str">
        <f>IFERROR(__xludf.DUMMYFUNCTION("""COMPUTED_VALUE"""),"rectangle")</f>
        <v>rectangle</v>
      </c>
      <c r="C810" s="2" t="str">
        <f>IFERROR(__xludf.DUMMYFUNCTION("""COMPUTED_VALUE"""),"rektangel")</f>
        <v>rektangel</v>
      </c>
      <c r="D810" s="5"/>
      <c r="E810" s="5"/>
      <c r="F810" s="11"/>
      <c r="G810" s="11"/>
    </row>
    <row r="811">
      <c r="A811" s="2" t="str">
        <f>IFERROR(__xludf.DUMMYFUNCTION("""COMPUTED_VALUE"""),"suoristuva")</f>
        <v>suoristuva</v>
      </c>
      <c r="B811" s="2" t="str">
        <f>IFERROR(__xludf.DUMMYFUNCTION("""COMPUTED_VALUE"""),"rectifiable")</f>
        <v>rectifiable</v>
      </c>
      <c r="C811" s="2" t="str">
        <f>IFERROR(__xludf.DUMMYFUNCTION("""COMPUTED_VALUE"""),"uträtbar")</f>
        <v>uträtbar</v>
      </c>
      <c r="D811" s="5"/>
      <c r="E811" s="5"/>
      <c r="F811" s="11"/>
      <c r="G811" s="11"/>
    </row>
    <row r="812">
      <c r="A812" s="2" t="str">
        <f>IFERROR(__xludf.DUMMYFUNCTION("""COMPUTED_VALUE"""),"suotuisa alkeistapaus")</f>
        <v>suotuisa alkeistapaus</v>
      </c>
      <c r="B812" s="2" t="str">
        <f>IFERROR(__xludf.DUMMYFUNCTION("""COMPUTED_VALUE"""),"favourable elementary event")</f>
        <v>favourable elementary event</v>
      </c>
      <c r="C812" s="2" t="str">
        <f>IFERROR(__xludf.DUMMYFUNCTION("""COMPUTED_VALUE"""),"gynnsam elementärhändelse")</f>
        <v>gynnsam elementärhändelse</v>
      </c>
      <c r="D812" s="5"/>
      <c r="E812" s="5"/>
      <c r="F812" s="11"/>
      <c r="G812" s="11"/>
    </row>
    <row r="813">
      <c r="A813" s="2" t="str">
        <f>IFERROR(__xludf.DUMMYFUNCTION("""COMPUTED_VALUE"""),"supeta")</f>
        <v>supeta</v>
      </c>
      <c r="B813" s="2" t="str">
        <f>IFERROR(__xludf.DUMMYFUNCTION("""COMPUTED_VALUE"""),"converge")</f>
        <v>converge</v>
      </c>
      <c r="C813" s="2" t="str">
        <f>IFERROR(__xludf.DUMMYFUNCTION("""COMPUTED_VALUE"""),"konvergera")</f>
        <v>konvergera</v>
      </c>
      <c r="D813" s="5"/>
      <c r="E813" s="5"/>
      <c r="F813" s="11"/>
      <c r="G813" s="11"/>
    </row>
    <row r="814">
      <c r="A814" s="2" t="str">
        <f>IFERROR(__xludf.DUMMYFUNCTION("""COMPUTED_VALUE"""),"supistaa")</f>
        <v>supistaa</v>
      </c>
      <c r="B814" s="2" t="str">
        <f>IFERROR(__xludf.DUMMYFUNCTION("""COMPUTED_VALUE"""),"cancel")</f>
        <v>cancel</v>
      </c>
      <c r="C814" s="2" t="str">
        <f>IFERROR(__xludf.DUMMYFUNCTION("""COMPUTED_VALUE"""),"förkorta")</f>
        <v>förkorta</v>
      </c>
      <c r="D814" s="5"/>
      <c r="E814" s="5"/>
      <c r="F814" s="11"/>
      <c r="G814" s="11"/>
    </row>
    <row r="815">
      <c r="A815" s="2" t="str">
        <f>IFERROR(__xludf.DUMMYFUNCTION("""COMPUTED_VALUE"""),"suplementtikulma")</f>
        <v>suplementtikulma</v>
      </c>
      <c r="B815" s="2" t="str">
        <f>IFERROR(__xludf.DUMMYFUNCTION("""COMPUTED_VALUE"""),"supplemental angle")</f>
        <v>supplemental angle</v>
      </c>
      <c r="C815" s="2" t="str">
        <f>IFERROR(__xludf.DUMMYFUNCTION("""COMPUTED_VALUE"""),"supplementvinkel")</f>
        <v>supplementvinkel</v>
      </c>
      <c r="D815" s="5"/>
      <c r="E815" s="5"/>
      <c r="F815" s="11"/>
      <c r="G815" s="11"/>
    </row>
    <row r="816">
      <c r="A816" s="2" t="str">
        <f>IFERROR(__xludf.DUMMYFUNCTION("""COMPUTED_VALUE"""),"suppeneminen")</f>
        <v>suppeneminen</v>
      </c>
      <c r="B816" s="2" t="str">
        <f>IFERROR(__xludf.DUMMYFUNCTION("""COMPUTED_VALUE"""),"convergence")</f>
        <v>convergence</v>
      </c>
      <c r="C816" s="2" t="str">
        <f>IFERROR(__xludf.DUMMYFUNCTION("""COMPUTED_VALUE"""),"konvergens")</f>
        <v>konvergens</v>
      </c>
      <c r="D816" s="5"/>
      <c r="E816" s="5"/>
      <c r="F816" s="11"/>
      <c r="G816" s="11"/>
    </row>
    <row r="817">
      <c r="A817" s="2" t="str">
        <f>IFERROR(__xludf.DUMMYFUNCTION("""COMPUTED_VALUE"""),"suppenemissäde")</f>
        <v>suppenemissäde</v>
      </c>
      <c r="B817" s="2" t="str">
        <f>IFERROR(__xludf.DUMMYFUNCTION("""COMPUTED_VALUE"""),"radius of convergence")</f>
        <v>radius of convergence</v>
      </c>
      <c r="C817" s="2" t="str">
        <f>IFERROR(__xludf.DUMMYFUNCTION("""COMPUTED_VALUE"""),"konvergensradie")</f>
        <v>konvergensradie</v>
      </c>
      <c r="D817" s="5"/>
      <c r="E817" s="5"/>
      <c r="F817" s="11"/>
      <c r="G817" s="11"/>
    </row>
    <row r="818">
      <c r="A818" s="2" t="str">
        <f>IFERROR(__xludf.DUMMYFUNCTION("""COMPUTED_VALUE"""),"supremum (""supreemum""), pienin yläraja (sup)")</f>
        <v>supremum ("supreemum"), pienin yläraja (sup)</v>
      </c>
      <c r="B818" s="2" t="str">
        <f>IFERROR(__xludf.DUMMYFUNCTION("""COMPUTED_VALUE"""),"supremum")</f>
        <v>supremum</v>
      </c>
      <c r="C818" s="2" t="str">
        <f>IFERROR(__xludf.DUMMYFUNCTION("""COMPUTED_VALUE"""),"suppremum")</f>
        <v>suppremum</v>
      </c>
      <c r="D818" s="5"/>
      <c r="E818" s="5"/>
      <c r="F818" s="11"/>
      <c r="G818" s="11"/>
    </row>
    <row r="819">
      <c r="A819" s="2" t="str">
        <f>IFERROR(__xludf.DUMMYFUNCTION("""COMPUTED_VALUE"""),"surjektiivinen")</f>
        <v>surjektiivinen</v>
      </c>
      <c r="B819" s="2" t="str">
        <f>IFERROR(__xludf.DUMMYFUNCTION("""COMPUTED_VALUE"""),"onto, surjective")</f>
        <v>onto, surjective</v>
      </c>
      <c r="C819" s="2" t="str">
        <f>IFERROR(__xludf.DUMMYFUNCTION("""COMPUTED_VALUE"""),"surjektiv")</f>
        <v>surjektiv</v>
      </c>
      <c r="D819" s="5"/>
      <c r="E819" s="5"/>
      <c r="F819" s="11"/>
      <c r="G819" s="11"/>
    </row>
    <row r="820">
      <c r="A820" s="2" t="str">
        <f>IFERROR(__xludf.DUMMYFUNCTION("""COMPUTED_VALUE"""),"surjektiivinen")</f>
        <v>surjektiivinen</v>
      </c>
      <c r="B820" s="2" t="str">
        <f>IFERROR(__xludf.DUMMYFUNCTION("""COMPUTED_VALUE"""),"surjective, onto")</f>
        <v>surjective, onto</v>
      </c>
      <c r="C820" s="2" t="str">
        <f>IFERROR(__xludf.DUMMYFUNCTION("""COMPUTED_VALUE"""),"surjektiv")</f>
        <v>surjektiv</v>
      </c>
      <c r="D820" s="5"/>
      <c r="E820" s="5"/>
      <c r="F820" s="11"/>
      <c r="G820" s="11"/>
    </row>
    <row r="821">
      <c r="A821" s="2" t="str">
        <f>IFERROR(__xludf.DUMMYFUNCTION("""COMPUTED_VALUE"""),"surjektio")</f>
        <v>surjektio</v>
      </c>
      <c r="B821" s="2" t="str">
        <f>IFERROR(__xludf.DUMMYFUNCTION("""COMPUTED_VALUE"""),"surjection")</f>
        <v>surjection</v>
      </c>
      <c r="C821" s="2" t="str">
        <f>IFERROR(__xludf.DUMMYFUNCTION("""COMPUTED_VALUE"""),"surjektion")</f>
        <v>surjektion</v>
      </c>
      <c r="D821" s="5"/>
      <c r="E821" s="5"/>
      <c r="F821" s="11"/>
      <c r="G821" s="11"/>
    </row>
    <row r="822">
      <c r="A822" s="2" t="str">
        <f>IFERROR(__xludf.DUMMYFUNCTION("""COMPUTED_VALUE"""),"suunnankääntävä")</f>
        <v>suunnankääntävä</v>
      </c>
      <c r="B822" s="2" t="str">
        <f>IFERROR(__xludf.DUMMYFUNCTION("""COMPUTED_VALUE"""),"orientation reversing")</f>
        <v>orientation reversing</v>
      </c>
      <c r="C822" s="2" t="str">
        <f>IFERROR(__xludf.DUMMYFUNCTION("""COMPUTED_VALUE"""),"orienteringsbytande")</f>
        <v>orienteringsbytande</v>
      </c>
      <c r="D822" s="5"/>
      <c r="E822" s="5"/>
      <c r="F822" s="11"/>
      <c r="G822" s="11"/>
    </row>
    <row r="823">
      <c r="A823" s="2" t="str">
        <f>IFERROR(__xludf.DUMMYFUNCTION("""COMPUTED_VALUE"""),"suunnankääntävä")</f>
        <v>suunnankääntävä</v>
      </c>
      <c r="B823" s="2" t="str">
        <f>IFERROR(__xludf.DUMMYFUNCTION("""COMPUTED_VALUE"""),"sense reversing")</f>
        <v>sense reversing</v>
      </c>
      <c r="C823" s="2" t="str">
        <f>IFERROR(__xludf.DUMMYFUNCTION("""COMPUTED_VALUE"""),"riktningsbytande")</f>
        <v>riktningsbytande</v>
      </c>
      <c r="D823" s="5"/>
      <c r="E823" s="5"/>
      <c r="F823" s="11"/>
      <c r="G823" s="11"/>
    </row>
    <row r="824">
      <c r="A824" s="2" t="str">
        <f>IFERROR(__xludf.DUMMYFUNCTION("""COMPUTED_VALUE"""),"suunnansäilyttävä")</f>
        <v>suunnansäilyttävä</v>
      </c>
      <c r="B824" s="2" t="str">
        <f>IFERROR(__xludf.DUMMYFUNCTION("""COMPUTED_VALUE"""),"orientation preserving")</f>
        <v>orientation preserving</v>
      </c>
      <c r="C824" s="2" t="str">
        <f>IFERROR(__xludf.DUMMYFUNCTION("""COMPUTED_VALUE"""),"orienteringskonserverande")</f>
        <v>orienteringskonserverande</v>
      </c>
      <c r="D824" s="5"/>
      <c r="E824" s="5"/>
      <c r="F824" s="11"/>
      <c r="G824" s="11"/>
    </row>
    <row r="825">
      <c r="A825" s="2" t="str">
        <f>IFERROR(__xludf.DUMMYFUNCTION("""COMPUTED_VALUE"""),"suunnansäilyttävä")</f>
        <v>suunnansäilyttävä</v>
      </c>
      <c r="B825" s="2" t="str">
        <f>IFERROR(__xludf.DUMMYFUNCTION("""COMPUTED_VALUE"""),"sense preserving")</f>
        <v>sense preserving</v>
      </c>
      <c r="C825" s="2" t="str">
        <f>IFERROR(__xludf.DUMMYFUNCTION("""COMPUTED_VALUE"""),"riktningsbevarande")</f>
        <v>riktningsbevarande</v>
      </c>
      <c r="D825" s="5"/>
      <c r="E825" s="5"/>
      <c r="F825" s="11"/>
      <c r="G825" s="11"/>
    </row>
    <row r="826">
      <c r="A826" s="2" t="str">
        <f>IFERROR(__xludf.DUMMYFUNCTION("""COMPUTED_VALUE"""),"suunnattu joukko")</f>
        <v>suunnattu joukko</v>
      </c>
      <c r="B826" s="2" t="str">
        <f>IFERROR(__xludf.DUMMYFUNCTION("""COMPUTED_VALUE"""),"directed set")</f>
        <v>directed set</v>
      </c>
      <c r="C826" s="2" t="str">
        <f>IFERROR(__xludf.DUMMYFUNCTION("""COMPUTED_VALUE"""),"riktad summa")</f>
        <v>riktad summa</v>
      </c>
      <c r="D826" s="5"/>
      <c r="E826" s="5"/>
      <c r="F826" s="11"/>
      <c r="G826" s="11"/>
    </row>
    <row r="827">
      <c r="A827" s="2" t="str">
        <f>IFERROR(__xludf.DUMMYFUNCTION("""COMPUTED_VALUE"""),"suunnikas")</f>
        <v>suunnikas</v>
      </c>
      <c r="B827" s="2" t="str">
        <f>IFERROR(__xludf.DUMMYFUNCTION("""COMPUTED_VALUE"""),"parallelogram")</f>
        <v>parallelogram</v>
      </c>
      <c r="C827" s="2" t="str">
        <f>IFERROR(__xludf.DUMMYFUNCTION("""COMPUTED_VALUE"""),"parallellogram")</f>
        <v>parallellogram</v>
      </c>
      <c r="D827" s="5"/>
      <c r="E827" s="5"/>
      <c r="F827" s="11"/>
      <c r="G827" s="11"/>
    </row>
    <row r="828">
      <c r="A828" s="2" t="str">
        <f>IFERROR(__xludf.DUMMYFUNCTION("""COMPUTED_VALUE"""),"suunnistettu (pinta); suunnattu")</f>
        <v>suunnistettu (pinta); suunnattu</v>
      </c>
      <c r="B828" s="2" t="str">
        <f>IFERROR(__xludf.DUMMYFUNCTION("""COMPUTED_VALUE"""),"oriented")</f>
        <v>oriented</v>
      </c>
      <c r="C828" s="2" t="str">
        <f>IFERROR(__xludf.DUMMYFUNCTION("""COMPUTED_VALUE"""),"orienterad")</f>
        <v>orienterad</v>
      </c>
      <c r="D828" s="5"/>
      <c r="E828" s="5"/>
      <c r="F828" s="11"/>
      <c r="G828" s="11"/>
    </row>
    <row r="829">
      <c r="A829" s="2" t="str">
        <f>IFERROR(__xludf.DUMMYFUNCTION("""COMPUTED_VALUE"""),"suunnistus")</f>
        <v>suunnistus</v>
      </c>
      <c r="B829" s="2" t="str">
        <f>IFERROR(__xludf.DUMMYFUNCTION("""COMPUTED_VALUE"""),"orientation")</f>
        <v>orientation</v>
      </c>
      <c r="C829" s="2" t="str">
        <f>IFERROR(__xludf.DUMMYFUNCTION("""COMPUTED_VALUE"""),"orientering")</f>
        <v>orientering</v>
      </c>
      <c r="D829" s="5"/>
      <c r="E829" s="5"/>
      <c r="F829" s="11"/>
      <c r="G829" s="11"/>
    </row>
    <row r="830">
      <c r="A830" s="2" t="str">
        <f>IFERROR(__xludf.DUMMYFUNCTION("""COMPUTED_VALUE"""),"suunnistuva (pinta)")</f>
        <v>suunnistuva (pinta)</v>
      </c>
      <c r="B830" s="2" t="str">
        <f>IFERROR(__xludf.DUMMYFUNCTION("""COMPUTED_VALUE"""),"orientable")</f>
        <v>orientable</v>
      </c>
      <c r="C830" s="2" t="str">
        <f>IFERROR(__xludf.DUMMYFUNCTION("""COMPUTED_VALUE"""),"orienterbar")</f>
        <v>orienterbar</v>
      </c>
      <c r="D830" s="5"/>
      <c r="E830" s="5"/>
      <c r="F830" s="11"/>
      <c r="G830" s="11"/>
    </row>
    <row r="831">
      <c r="A831" s="2" t="str">
        <f>IFERROR(__xludf.DUMMYFUNCTION("""COMPUTED_VALUE"""),"suuntaderivaatta")</f>
        <v>suuntaderivaatta</v>
      </c>
      <c r="B831" s="2" t="str">
        <f>IFERROR(__xludf.DUMMYFUNCTION("""COMPUTED_VALUE"""),"directional derivative")</f>
        <v>directional derivative</v>
      </c>
      <c r="C831" s="2" t="str">
        <f>IFERROR(__xludf.DUMMYFUNCTION("""COMPUTED_VALUE"""),"riktad derivata")</f>
        <v>riktad derivata</v>
      </c>
      <c r="D831" s="5"/>
      <c r="E831" s="5"/>
      <c r="F831" s="11"/>
      <c r="G831" s="11"/>
    </row>
    <row r="832">
      <c r="A832" s="2" t="str">
        <f>IFERROR(__xludf.DUMMYFUNCTION("""COMPUTED_VALUE"""),"suuntaissärmiö")</f>
        <v>suuntaissärmiö</v>
      </c>
      <c r="B832" s="2" t="str">
        <f>IFERROR(__xludf.DUMMYFUNCTION("""COMPUTED_VALUE"""),"parallelepiped")</f>
        <v>parallelepiped</v>
      </c>
      <c r="C832" s="2" t="str">
        <f>IFERROR(__xludf.DUMMYFUNCTION("""COMPUTED_VALUE"""),"parallelepiped")</f>
        <v>parallelepiped</v>
      </c>
      <c r="D832" s="5"/>
      <c r="E832" s="5"/>
      <c r="F832" s="11"/>
      <c r="G832" s="11"/>
    </row>
    <row r="833">
      <c r="A833" s="2" t="str">
        <f>IFERROR(__xludf.DUMMYFUNCTION("""COMPUTED_VALUE"""),"suuntakenttä")</f>
        <v>suuntakenttä</v>
      </c>
      <c r="B833" s="2" t="str">
        <f>IFERROR(__xludf.DUMMYFUNCTION("""COMPUTED_VALUE"""),"direction field")</f>
        <v>direction field</v>
      </c>
      <c r="C833" s="2" t="str">
        <f>IFERROR(__xludf.DUMMYFUNCTION("""COMPUTED_VALUE"""),"riktningsfält")</f>
        <v>riktningsfält</v>
      </c>
      <c r="D833" s="5"/>
      <c r="E833" s="5"/>
      <c r="F833" s="11"/>
      <c r="G833" s="11"/>
    </row>
    <row r="834">
      <c r="A834" s="2" t="str">
        <f>IFERROR(__xludf.DUMMYFUNCTION("""COMPUTED_VALUE"""),"suurin yhteinen tekija")</f>
        <v>suurin yhteinen tekija</v>
      </c>
      <c r="B834" s="2" t="str">
        <f>IFERROR(__xludf.DUMMYFUNCTION("""COMPUTED_VALUE"""),"greatest common divisor")</f>
        <v>greatest common divisor</v>
      </c>
      <c r="C834" s="2" t="str">
        <f>IFERROR(__xludf.DUMMYFUNCTION("""COMPUTED_VALUE"""),"största gemensamma faktor")</f>
        <v>största gemensamma faktor</v>
      </c>
      <c r="D834" s="5"/>
      <c r="E834" s="5"/>
      <c r="F834" s="11"/>
      <c r="G834" s="11"/>
    </row>
    <row r="835">
      <c r="A835" s="2" t="str">
        <f>IFERROR(__xludf.DUMMYFUNCTION("""COMPUTED_VALUE"""),"sykli")</f>
        <v>sykli</v>
      </c>
      <c r="B835" s="2" t="str">
        <f>IFERROR(__xludf.DUMMYFUNCTION("""COMPUTED_VALUE"""),"cycle")</f>
        <v>cycle</v>
      </c>
      <c r="C835" s="2" t="str">
        <f>IFERROR(__xludf.DUMMYFUNCTION("""COMPUTED_VALUE"""),"cykel")</f>
        <v>cykel</v>
      </c>
      <c r="D835" s="5"/>
      <c r="E835" s="5"/>
      <c r="F835" s="11"/>
      <c r="G835" s="11"/>
    </row>
    <row r="836">
      <c r="A836" s="2" t="str">
        <f>IFERROR(__xludf.DUMMYFUNCTION("""COMPUTED_VALUE"""),"sylinterikoordinaatit, lieriökoordinaatit")</f>
        <v>sylinterikoordinaatit, lieriökoordinaatit</v>
      </c>
      <c r="B836" s="2" t="str">
        <f>IFERROR(__xludf.DUMMYFUNCTION("""COMPUTED_VALUE"""),"cylindrical coordinates")</f>
        <v>cylindrical coordinates</v>
      </c>
      <c r="C836" s="2" t="str">
        <f>IFERROR(__xludf.DUMMYFUNCTION("""COMPUTED_VALUE"""),"cylinderkoordinater")</f>
        <v>cylinderkoordinater</v>
      </c>
      <c r="D836" s="5"/>
      <c r="E836" s="5"/>
      <c r="F836" s="11"/>
      <c r="G836" s="11"/>
    </row>
    <row r="837">
      <c r="A837" s="2" t="str">
        <f>IFERROR(__xludf.DUMMYFUNCTION("""COMPUTED_VALUE"""),"symmetrinen")</f>
        <v>symmetrinen</v>
      </c>
      <c r="B837" s="2" t="str">
        <f>IFERROR(__xludf.DUMMYFUNCTION("""COMPUTED_VALUE"""),"symmetric")</f>
        <v>symmetric</v>
      </c>
      <c r="C837" s="2" t="str">
        <f>IFERROR(__xludf.DUMMYFUNCTION("""COMPUTED_VALUE"""),"symmetrisk")</f>
        <v>symmetrisk</v>
      </c>
      <c r="D837" s="5"/>
      <c r="E837" s="5"/>
      <c r="F837" s="11"/>
      <c r="G837" s="11"/>
    </row>
    <row r="838">
      <c r="A838" s="2" t="str">
        <f>IFERROR(__xludf.DUMMYFUNCTION("""COMPUTED_VALUE"""),"systemaattinen")</f>
        <v>systemaattinen</v>
      </c>
      <c r="B838" s="2" t="str">
        <f>IFERROR(__xludf.DUMMYFUNCTION("""COMPUTED_VALUE"""),"systematic")</f>
        <v>systematic</v>
      </c>
      <c r="C838" s="2" t="str">
        <f>IFERROR(__xludf.DUMMYFUNCTION("""COMPUTED_VALUE"""),"systematisk")</f>
        <v>systematisk</v>
      </c>
      <c r="D838" s="5"/>
      <c r="E838" s="5"/>
      <c r="F838" s="11"/>
      <c r="G838" s="11"/>
    </row>
    <row r="839">
      <c r="A839" s="2" t="str">
        <f>IFERROR(__xludf.DUMMYFUNCTION("""COMPUTED_VALUE"""),"säde")</f>
        <v>säde</v>
      </c>
      <c r="B839" s="2" t="str">
        <f>IFERROR(__xludf.DUMMYFUNCTION("""COMPUTED_VALUE"""),"radius")</f>
        <v>radius</v>
      </c>
      <c r="C839" s="2" t="str">
        <f>IFERROR(__xludf.DUMMYFUNCTION("""COMPUTED_VALUE"""),"radie")</f>
        <v>radie</v>
      </c>
      <c r="D839" s="5"/>
      <c r="E839" s="5"/>
      <c r="F839" s="11"/>
      <c r="G839" s="11"/>
    </row>
    <row r="840">
      <c r="A840" s="2" t="str">
        <f>IFERROR(__xludf.DUMMYFUNCTION("""COMPUTED_VALUE"""),"säie")</f>
        <v>säie</v>
      </c>
      <c r="B840" s="2" t="str">
        <f>IFERROR(__xludf.DUMMYFUNCTION("""COMPUTED_VALUE"""),"fiber")</f>
        <v>fiber</v>
      </c>
      <c r="C840" s="2" t="str">
        <f>IFERROR(__xludf.DUMMYFUNCTION("""COMPUTED_VALUE"""),"fiber")</f>
        <v>fiber</v>
      </c>
      <c r="D840" s="5"/>
      <c r="E840" s="5"/>
      <c r="F840" s="11"/>
      <c r="G840" s="11"/>
    </row>
    <row r="841">
      <c r="A841" s="2" t="str">
        <f>IFERROR(__xludf.DUMMYFUNCTION("""COMPUTED_VALUE"""),"särmä")</f>
        <v>särmä</v>
      </c>
      <c r="B841" s="2" t="str">
        <f>IFERROR(__xludf.DUMMYFUNCTION("""COMPUTED_VALUE"""),"edge")</f>
        <v>edge</v>
      </c>
      <c r="C841" s="2" t="str">
        <f>IFERROR(__xludf.DUMMYFUNCTION("""COMPUTED_VALUE"""),"kant")</f>
        <v>kant</v>
      </c>
      <c r="D841" s="5"/>
      <c r="E841" s="5"/>
      <c r="F841" s="11"/>
      <c r="G841" s="11"/>
    </row>
    <row r="842">
      <c r="A842" s="2" t="str">
        <f>IFERROR(__xludf.DUMMYFUNCTION("""COMPUTED_VALUE"""),"säännöllinen (mitta)")</f>
        <v>säännöllinen (mitta)</v>
      </c>
      <c r="B842" s="2" t="str">
        <f>IFERROR(__xludf.DUMMYFUNCTION("""COMPUTED_VALUE"""),"regular")</f>
        <v>regular</v>
      </c>
      <c r="C842" s="2" t="str">
        <f>IFERROR(__xludf.DUMMYFUNCTION("""COMPUTED_VALUE"""),"regelbunden")</f>
        <v>regelbunden</v>
      </c>
      <c r="D842" s="5"/>
      <c r="E842" s="5"/>
      <c r="F842" s="11"/>
      <c r="G842" s="11"/>
    </row>
    <row r="843">
      <c r="A843" s="2" t="str">
        <f>IFERROR(__xludf.DUMMYFUNCTION("""COMPUTED_VALUE"""),"säännöllinen avaruus")</f>
        <v>säännöllinen avaruus</v>
      </c>
      <c r="B843" s="2" t="str">
        <f>IFERROR(__xludf.DUMMYFUNCTION("""COMPUTED_VALUE"""),"regular space")</f>
        <v>regular space</v>
      </c>
      <c r="C843" s="2" t="str">
        <f>IFERROR(__xludf.DUMMYFUNCTION("""COMPUTED_VALUE"""),"regelbundet rum")</f>
        <v>regelbundet rum</v>
      </c>
      <c r="D843" s="5"/>
      <c r="E843" s="5"/>
      <c r="F843" s="11"/>
      <c r="G843" s="11"/>
    </row>
    <row r="844">
      <c r="A844" s="2" t="str">
        <f>IFERROR(__xludf.DUMMYFUNCTION("""COMPUTED_VALUE"""),"säännöllinen, ei-singulaarinen, kääntyvä")</f>
        <v>säännöllinen, ei-singulaarinen, kääntyvä</v>
      </c>
      <c r="B844" s="2" t="str">
        <f>IFERROR(__xludf.DUMMYFUNCTION("""COMPUTED_VALUE"""),"nonsingular")</f>
        <v>nonsingular</v>
      </c>
      <c r="C844" s="2" t="str">
        <f>IFERROR(__xludf.DUMMYFUNCTION("""COMPUTED_VALUE"""),"regelbunden, icke-singulär")</f>
        <v>regelbunden, icke-singulär</v>
      </c>
      <c r="D844" s="5"/>
      <c r="E844" s="5"/>
      <c r="F844" s="11"/>
      <c r="G844" s="11"/>
    </row>
    <row r="845">
      <c r="A845" s="2" t="str">
        <f>IFERROR(__xludf.DUMMYFUNCTION("""COMPUTED_VALUE"""),"säännöllisyysaste (matriisin)")</f>
        <v>säännöllisyysaste (matriisin)</v>
      </c>
      <c r="B845" s="2" t="str">
        <f>IFERROR(__xludf.DUMMYFUNCTION("""COMPUTED_VALUE"""),"rank")</f>
        <v>rank</v>
      </c>
      <c r="C845" s="2" t="str">
        <f>IFERROR(__xludf.DUMMYFUNCTION("""COMPUTED_VALUE"""),"rang")</f>
        <v>rang</v>
      </c>
      <c r="D845" s="5"/>
      <c r="E845" s="5"/>
      <c r="F845" s="11"/>
      <c r="G845" s="11"/>
    </row>
    <row r="846">
      <c r="A846" s="2" t="str">
        <f>IFERROR(__xludf.DUMMYFUNCTION("""COMPUTED_VALUE"""),"taajuus; frekvenssi")</f>
        <v>taajuus; frekvenssi</v>
      </c>
      <c r="B846" s="2" t="str">
        <f>IFERROR(__xludf.DUMMYFUNCTION("""COMPUTED_VALUE"""),"frequency")</f>
        <v>frequency</v>
      </c>
      <c r="C846" s="2" t="str">
        <f>IFERROR(__xludf.DUMMYFUNCTION("""COMPUTED_VALUE"""),"frekvens")</f>
        <v>frekvens</v>
      </c>
      <c r="D846" s="5"/>
      <c r="E846" s="5"/>
      <c r="F846" s="11"/>
      <c r="G846" s="11"/>
    </row>
    <row r="847">
      <c r="A847" s="2" t="str">
        <f>IFERROR(__xludf.DUMMYFUNCTION("""COMPUTED_VALUE"""),"TaDY")</f>
        <v>TaDY</v>
      </c>
      <c r="B847" s="2" t="str">
        <f>IFERROR(__xludf.DUMMYFUNCTION("""COMPUTED_VALUE"""),"ODE")</f>
        <v>ODE</v>
      </c>
      <c r="C847" s="2" t="str">
        <f>IFERROR(__xludf.DUMMYFUNCTION("""COMPUTED_VALUE"""),"vanlig differentialekvation")</f>
        <v>vanlig differentialekvation</v>
      </c>
      <c r="D847" s="5"/>
      <c r="E847" s="5"/>
      <c r="F847" s="11"/>
      <c r="G847" s="11"/>
    </row>
    <row r="848">
      <c r="A848" s="2" t="str">
        <f>IFERROR(__xludf.DUMMYFUNCTION("""COMPUTED_VALUE"""),"tahko; lärvi (ei vak.)")</f>
        <v>tahko; lärvi (ei vak.)</v>
      </c>
      <c r="B848" s="2" t="str">
        <f>IFERROR(__xludf.DUMMYFUNCTION("""COMPUTED_VALUE"""),"face")</f>
        <v>face</v>
      </c>
      <c r="C848" s="2" t="str">
        <f>IFERROR(__xludf.DUMMYFUNCTION("""COMPUTED_VALUE"""),"facett")</f>
        <v>facett</v>
      </c>
      <c r="D848" s="5"/>
      <c r="E848" s="5"/>
      <c r="F848" s="11"/>
      <c r="G848" s="11"/>
    </row>
    <row r="849">
      <c r="A849" s="2" t="str">
        <f>IFERROR(__xludf.DUMMYFUNCTION("""COMPUTED_VALUE"""),"tangentiaalinen kiihtyvyys")</f>
        <v>tangentiaalinen kiihtyvyys</v>
      </c>
      <c r="B849" s="2" t="str">
        <f>IFERROR(__xludf.DUMMYFUNCTION("""COMPUTED_VALUE"""),"tangential acceleration")</f>
        <v>tangential acceleration</v>
      </c>
      <c r="C849" s="2" t="str">
        <f>IFERROR(__xludf.DUMMYFUNCTION("""COMPUTED_VALUE"""),"tangentiell acceleration")</f>
        <v>tangentiell acceleration</v>
      </c>
      <c r="D849" s="5"/>
      <c r="E849" s="5"/>
      <c r="F849" s="11"/>
      <c r="G849" s="11"/>
    </row>
    <row r="850">
      <c r="A850" s="2" t="str">
        <f>IFERROR(__xludf.DUMMYFUNCTION("""COMPUTED_VALUE"""),"tangentin kulmakerroin")</f>
        <v>tangentin kulmakerroin</v>
      </c>
      <c r="B850" s="2" t="str">
        <f>IFERROR(__xludf.DUMMYFUNCTION("""COMPUTED_VALUE"""),"slope")</f>
        <v>slope</v>
      </c>
      <c r="C850" s="2" t="str">
        <f>IFERROR(__xludf.DUMMYFUNCTION("""COMPUTED_VALUE"""),"tangentens vinkelkoefficient")</f>
        <v>tangentens vinkelkoefficient</v>
      </c>
      <c r="D850" s="5"/>
      <c r="E850" s="5"/>
      <c r="F850" s="11"/>
      <c r="G850" s="11"/>
    </row>
    <row r="851">
      <c r="A851" s="2" t="str">
        <f>IFERROR(__xludf.DUMMYFUNCTION("""COMPUTED_VALUE"""),"tangentti")</f>
        <v>tangentti</v>
      </c>
      <c r="B851" s="2" t="str">
        <f>IFERROR(__xludf.DUMMYFUNCTION("""COMPUTED_VALUE"""),"tangent, tangent line")</f>
        <v>tangent, tangent line</v>
      </c>
      <c r="C851" s="2" t="str">
        <f>IFERROR(__xludf.DUMMYFUNCTION("""COMPUTED_VALUE"""),"tangent")</f>
        <v>tangent</v>
      </c>
      <c r="D851" s="5"/>
      <c r="E851" s="5"/>
      <c r="F851" s="11"/>
      <c r="G851" s="11"/>
    </row>
    <row r="852">
      <c r="A852" s="2" t="str">
        <f>IFERROR(__xludf.DUMMYFUNCTION("""COMPUTED_VALUE"""),"tangentti, tan")</f>
        <v>tangentti, tan</v>
      </c>
      <c r="B852" s="2" t="str">
        <f>IFERROR(__xludf.DUMMYFUNCTION("""COMPUTED_VALUE"""),"tangent, tan")</f>
        <v>tangent, tan</v>
      </c>
      <c r="C852" s="2" t="str">
        <f>IFERROR(__xludf.DUMMYFUNCTION("""COMPUTED_VALUE"""),"tangent")</f>
        <v>tangent</v>
      </c>
      <c r="D852" s="5"/>
      <c r="E852" s="5"/>
      <c r="F852" s="11"/>
      <c r="G852" s="11"/>
    </row>
    <row r="853">
      <c r="A853" s="2" t="str">
        <f>IFERROR(__xludf.DUMMYFUNCTION("""COMPUTED_VALUE"""),"tangenttitaso")</f>
        <v>tangenttitaso</v>
      </c>
      <c r="B853" s="2" t="str">
        <f>IFERROR(__xludf.DUMMYFUNCTION("""COMPUTED_VALUE"""),"tangent plane")</f>
        <v>tangent plane</v>
      </c>
      <c r="C853" s="2" t="str">
        <f>IFERROR(__xludf.DUMMYFUNCTION("""COMPUTED_VALUE"""),"tangentialplan")</f>
        <v>tangentialplan</v>
      </c>
      <c r="D853" s="5"/>
      <c r="E853" s="5"/>
      <c r="F853" s="11"/>
      <c r="G853" s="11"/>
    </row>
    <row r="854">
      <c r="A854" s="2" t="str">
        <f>IFERROR(__xludf.DUMMYFUNCTION("""COMPUTED_VALUE"""),"tarkkuus, täsmällisyys")</f>
        <v>tarkkuus, täsmällisyys</v>
      </c>
      <c r="B854" s="2" t="str">
        <f>IFERROR(__xludf.DUMMYFUNCTION("""COMPUTED_VALUE"""),"precision")</f>
        <v>precision</v>
      </c>
      <c r="C854" s="2" t="str">
        <f>IFERROR(__xludf.DUMMYFUNCTION("""COMPUTED_VALUE"""),"precision")</f>
        <v>precision</v>
      </c>
      <c r="D854" s="5"/>
      <c r="E854" s="5"/>
      <c r="F854" s="11"/>
      <c r="G854" s="11"/>
    </row>
    <row r="855">
      <c r="A855" s="2" t="str">
        <f>IFERROR(__xludf.DUMMYFUNCTION("""COMPUTED_VALUE"""),"tasa-arvokäyrä")</f>
        <v>tasa-arvokäyrä</v>
      </c>
      <c r="B855" s="2" t="str">
        <f>IFERROR(__xludf.DUMMYFUNCTION("""COMPUTED_VALUE"""),"contour, level curve")</f>
        <v>contour, level curve</v>
      </c>
      <c r="C855" s="2" t="str">
        <f>IFERROR(__xludf.DUMMYFUNCTION("""COMPUTED_VALUE"""),"kontur, höjdkurva")</f>
        <v>kontur, höjdkurva</v>
      </c>
      <c r="D855" s="5"/>
      <c r="E855" s="5"/>
      <c r="F855" s="11"/>
      <c r="G855" s="11"/>
    </row>
    <row r="856">
      <c r="A856" s="2" t="str">
        <f>IFERROR(__xludf.DUMMYFUNCTION("""COMPUTED_VALUE"""),"tasa-arvokäyrä")</f>
        <v>tasa-arvokäyrä</v>
      </c>
      <c r="B856" s="2" t="str">
        <f>IFERROR(__xludf.DUMMYFUNCTION("""COMPUTED_VALUE"""),"level curve, contour")</f>
        <v>level curve, contour</v>
      </c>
      <c r="C856" s="2" t="str">
        <f>IFERROR(__xludf.DUMMYFUNCTION("""COMPUTED_VALUE"""),"höjdkurva, kontur")</f>
        <v>höjdkurva, kontur</v>
      </c>
      <c r="D856" s="5"/>
      <c r="E856" s="5"/>
      <c r="F856" s="11"/>
      <c r="G856" s="11"/>
    </row>
    <row r="857">
      <c r="A857" s="2" t="str">
        <f>IFERROR(__xludf.DUMMYFUNCTION("""COMPUTED_VALUE"""),"tasa-arvopinta")</f>
        <v>tasa-arvopinta</v>
      </c>
      <c r="B857" s="2" t="str">
        <f>IFERROR(__xludf.DUMMYFUNCTION("""COMPUTED_VALUE"""),"level surface")</f>
        <v>level surface</v>
      </c>
      <c r="C857" s="2" t="str">
        <f>IFERROR(__xludf.DUMMYFUNCTION("""COMPUTED_VALUE"""),"höjdyta")</f>
        <v>höjdyta</v>
      </c>
      <c r="D857" s="5"/>
      <c r="E857" s="5"/>
      <c r="F857" s="11"/>
      <c r="G857" s="11"/>
    </row>
    <row r="858">
      <c r="A858" s="2" t="str">
        <f>IFERROR(__xludf.DUMMYFUNCTION("""COMPUTED_VALUE"""),"tasainen suppeneminen")</f>
        <v>tasainen suppeneminen</v>
      </c>
      <c r="B858" s="2" t="str">
        <f>IFERROR(__xludf.DUMMYFUNCTION("""COMPUTED_VALUE"""),"uniform convergence")</f>
        <v>uniform convergence</v>
      </c>
      <c r="C858" s="2" t="str">
        <f>IFERROR(__xludf.DUMMYFUNCTION("""COMPUTED_VALUE"""),"likformig konvergens")</f>
        <v>likformig konvergens</v>
      </c>
      <c r="D858" s="5"/>
      <c r="E858" s="5"/>
      <c r="F858" s="11"/>
      <c r="G858" s="11"/>
    </row>
    <row r="859">
      <c r="A859" s="2" t="str">
        <f>IFERROR(__xludf.DUMMYFUNCTION("""COMPUTED_VALUE"""),"tasaisesti")</f>
        <v>tasaisesti</v>
      </c>
      <c r="B859" s="2" t="str">
        <f>IFERROR(__xludf.DUMMYFUNCTION("""COMPUTED_VALUE"""),"uniformly")</f>
        <v>uniformly</v>
      </c>
      <c r="C859" s="2" t="str">
        <f>IFERROR(__xludf.DUMMYFUNCTION("""COMPUTED_VALUE"""),"enhetligt")</f>
        <v>enhetligt</v>
      </c>
      <c r="D859" s="5"/>
      <c r="E859" s="5"/>
      <c r="F859" s="11"/>
      <c r="G859" s="11"/>
    </row>
    <row r="860">
      <c r="A860" s="2" t="str">
        <f>IFERROR(__xludf.DUMMYFUNCTION("""COMPUTED_VALUE"""),"tasaisesti konveksi")</f>
        <v>tasaisesti konveksi</v>
      </c>
      <c r="B860" s="2" t="str">
        <f>IFERROR(__xludf.DUMMYFUNCTION("""COMPUTED_VALUE"""),"uniformly convex")</f>
        <v>uniformly convex</v>
      </c>
      <c r="C860" s="2" t="str">
        <f>IFERROR(__xludf.DUMMYFUNCTION("""COMPUTED_VALUE"""),"likformigt konvex")</f>
        <v>likformigt konvex</v>
      </c>
      <c r="D860" s="5"/>
      <c r="E860" s="5"/>
      <c r="F860" s="11"/>
      <c r="G860" s="11"/>
    </row>
    <row r="861">
      <c r="A861" s="2" t="str">
        <f>IFERROR(__xludf.DUMMYFUNCTION("""COMPUTED_VALUE"""),"tasajakauma")</f>
        <v>tasajakauma</v>
      </c>
      <c r="B861" s="2" t="str">
        <f>IFERROR(__xludf.DUMMYFUNCTION("""COMPUTED_VALUE"""),"rectangular distribution, uniform distribution")</f>
        <v>rectangular distribution, uniform distribution</v>
      </c>
      <c r="C861" s="2" t="str">
        <f>IFERROR(__xludf.DUMMYFUNCTION("""COMPUTED_VALUE"""),"rektangulärfördelning, likformig fördelning")</f>
        <v>rektangulärfördelning, likformig fördelning</v>
      </c>
      <c r="D861" s="5"/>
      <c r="E861" s="5"/>
      <c r="F861" s="11"/>
      <c r="G861" s="11"/>
    </row>
    <row r="862">
      <c r="A862" s="2" t="str">
        <f>IFERROR(__xludf.DUMMYFUNCTION("""COMPUTED_VALUE"""),"tasajakauma")</f>
        <v>tasajakauma</v>
      </c>
      <c r="B862" s="2" t="str">
        <f>IFERROR(__xludf.DUMMYFUNCTION("""COMPUTED_VALUE"""),"uniform distribution")</f>
        <v>uniform distribution</v>
      </c>
      <c r="C862" s="2" t="str">
        <f>IFERROR(__xludf.DUMMYFUNCTION("""COMPUTED_VALUE"""),"likformig fördelning")</f>
        <v>likformig fördelning</v>
      </c>
      <c r="D862" s="5"/>
      <c r="E862" s="5"/>
      <c r="F862" s="11"/>
      <c r="G862" s="11"/>
    </row>
    <row r="863">
      <c r="A863" s="2" t="str">
        <f>IFERROR(__xludf.DUMMYFUNCTION("""COMPUTED_VALUE"""),"taso")</f>
        <v>taso</v>
      </c>
      <c r="B863" s="2" t="str">
        <f>IFERROR(__xludf.DUMMYFUNCTION("""COMPUTED_VALUE"""),"plane")</f>
        <v>plane</v>
      </c>
      <c r="C863" s="2" t="str">
        <f>IFERROR(__xludf.DUMMYFUNCTION("""COMPUTED_VALUE"""),"plan, yta")</f>
        <v>plan, yta</v>
      </c>
      <c r="D863" s="5"/>
      <c r="E863" s="5"/>
      <c r="F863" s="11"/>
      <c r="G863" s="11"/>
    </row>
    <row r="864">
      <c r="A864" s="2" t="str">
        <f>IFERROR(__xludf.DUMMYFUNCTION("""COMPUTED_VALUE"""),"tasoalue")</f>
        <v>tasoalue</v>
      </c>
      <c r="B864" s="2" t="str">
        <f>IFERROR(__xludf.DUMMYFUNCTION("""COMPUTED_VALUE"""),"plane region")</f>
        <v>plane region</v>
      </c>
      <c r="C864" s="2" t="str">
        <f>IFERROR(__xludf.DUMMYFUNCTION("""COMPUTED_VALUE"""),"planyta")</f>
        <v>planyta</v>
      </c>
      <c r="D864" s="5"/>
      <c r="E864" s="5"/>
      <c r="F864" s="11"/>
      <c r="G864" s="11"/>
    </row>
    <row r="865">
      <c r="A865" s="2" t="str">
        <f>IFERROR(__xludf.DUMMYFUNCTION("""COMPUTED_VALUE"""),"Taylorin polynomi (""Theilorin"")")</f>
        <v>Taylorin polynomi ("Theilorin")</v>
      </c>
      <c r="B865" s="2" t="str">
        <f>IFERROR(__xludf.DUMMYFUNCTION("""COMPUTED_VALUE"""),"Taylor polynomial")</f>
        <v>Taylor polynomial</v>
      </c>
      <c r="C865" s="2" t="str">
        <f>IFERROR(__xludf.DUMMYFUNCTION("""COMPUTED_VALUE"""),"Taylors polynom")</f>
        <v>Taylors polynom</v>
      </c>
      <c r="D865" s="5"/>
      <c r="E865" s="5"/>
      <c r="F865" s="11"/>
      <c r="G865" s="11"/>
    </row>
    <row r="866">
      <c r="A866" s="2" t="str">
        <f>IFERROR(__xludf.DUMMYFUNCTION("""COMPUTED_VALUE"""),"Taylorin sarja")</f>
        <v>Taylorin sarja</v>
      </c>
      <c r="B866" s="2" t="str">
        <f>IFERROR(__xludf.DUMMYFUNCTION("""COMPUTED_VALUE"""),"Taylor series+A979")</f>
        <v>Taylor series+A979</v>
      </c>
      <c r="C866" s="2" t="str">
        <f>IFERROR(__xludf.DUMMYFUNCTION("""COMPUTED_VALUE"""),"Taylorserie")</f>
        <v>Taylorserie</v>
      </c>
      <c r="D866" s="5"/>
      <c r="E866" s="5"/>
      <c r="F866" s="11"/>
      <c r="G866" s="11"/>
    </row>
    <row r="867">
      <c r="A867" s="2" t="str">
        <f>IFERROR(__xludf.DUMMYFUNCTION("""COMPUTED_VALUE"""),"tehtävä")</f>
        <v>tehtävä</v>
      </c>
      <c r="B867" s="2" t="str">
        <f>IFERROR(__xludf.DUMMYFUNCTION("""COMPUTED_VALUE"""),"exercise")</f>
        <v>exercise</v>
      </c>
      <c r="C867" s="2" t="str">
        <f>IFERROR(__xludf.DUMMYFUNCTION("""COMPUTED_VALUE"""),"uppgift")</f>
        <v>uppgift</v>
      </c>
      <c r="D867" s="5"/>
      <c r="E867" s="5"/>
      <c r="F867" s="11"/>
      <c r="G867" s="11"/>
    </row>
    <row r="868">
      <c r="A868" s="2" t="str">
        <f>IFERROR(__xludf.DUMMYFUNCTION("""COMPUTED_VALUE"""),"tekijä")</f>
        <v>tekijä</v>
      </c>
      <c r="B868" s="2" t="str">
        <f>IFERROR(__xludf.DUMMYFUNCTION("""COMPUTED_VALUE"""),"factor(subst.)")</f>
        <v>factor(subst.)</v>
      </c>
      <c r="C868" s="2" t="str">
        <f>IFERROR(__xludf.DUMMYFUNCTION("""COMPUTED_VALUE"""),"faktor")</f>
        <v>faktor</v>
      </c>
      <c r="D868" s="5"/>
      <c r="E868" s="5"/>
      <c r="F868" s="11"/>
      <c r="G868" s="11"/>
    </row>
    <row r="869">
      <c r="A869" s="2" t="str">
        <f>IFERROR(__xludf.DUMMYFUNCTION("""COMPUTED_VALUE"""),"tekijä; faktori")</f>
        <v>tekijä; faktori</v>
      </c>
      <c r="B869" s="2" t="str">
        <f>IFERROR(__xludf.DUMMYFUNCTION("""COMPUTED_VALUE"""),"factor")</f>
        <v>factor</v>
      </c>
      <c r="C869" s="2" t="str">
        <f>IFERROR(__xludf.DUMMYFUNCTION("""COMPUTED_VALUE"""),"faktor")</f>
        <v>faktor</v>
      </c>
      <c r="D869" s="5"/>
      <c r="E869" s="5"/>
      <c r="F869" s="11"/>
      <c r="G869" s="11"/>
    </row>
    <row r="870">
      <c r="A870" s="2" t="str">
        <f>IFERROR(__xludf.DUMMYFUNCTION("""COMPUTED_VALUE"""),"tekijäavaruus")</f>
        <v>tekijäavaruus</v>
      </c>
      <c r="B870" s="2" t="str">
        <f>IFERROR(__xludf.DUMMYFUNCTION("""COMPUTED_VALUE"""),"quotient space")</f>
        <v>quotient space</v>
      </c>
      <c r="C870" s="2"/>
      <c r="D870" s="5"/>
      <c r="E870" s="5"/>
      <c r="F870" s="11"/>
      <c r="G870" s="11"/>
    </row>
    <row r="871">
      <c r="A871" s="2" t="str">
        <f>IFERROR(__xludf.DUMMYFUNCTION("""COMPUTED_VALUE"""),"tekijäryhmä")</f>
        <v>tekijäryhmä</v>
      </c>
      <c r="B871" s="2" t="str">
        <f>IFERROR(__xludf.DUMMYFUNCTION("""COMPUTED_VALUE"""),"quotient group")</f>
        <v>quotient group</v>
      </c>
      <c r="C871" s="2" t="str">
        <f>IFERROR(__xludf.DUMMYFUNCTION("""COMPUTED_VALUE"""),"-")</f>
        <v>-</v>
      </c>
      <c r="D871" s="5"/>
      <c r="E871" s="5"/>
      <c r="F871" s="11"/>
      <c r="G871" s="11"/>
    </row>
    <row r="872">
      <c r="A872" s="2" t="str">
        <f>IFERROR(__xludf.DUMMYFUNCTION("""COMPUTED_VALUE"""),"tekijöihinjako; hajotelma")</f>
        <v>tekijöihinjako; hajotelma</v>
      </c>
      <c r="B872" s="2" t="str">
        <f>IFERROR(__xludf.DUMMYFUNCTION("""COMPUTED_VALUE"""),"factorization; decomposition")</f>
        <v>factorization; decomposition</v>
      </c>
      <c r="C872" s="2" t="str">
        <f>IFERROR(__xludf.DUMMYFUNCTION("""COMPUTED_VALUE"""),"faktorisering")</f>
        <v>faktorisering</v>
      </c>
      <c r="D872" s="5"/>
      <c r="E872" s="5"/>
      <c r="F872" s="11"/>
      <c r="G872" s="11"/>
    </row>
    <row r="873">
      <c r="A873" s="2" t="str">
        <f>IFERROR(__xludf.DUMMYFUNCTION("""COMPUTED_VALUE"""),"tekomuuttuja")</f>
        <v>tekomuuttuja</v>
      </c>
      <c r="B873" s="2" t="str">
        <f>IFERROR(__xludf.DUMMYFUNCTION("""COMPUTED_VALUE"""),"dummy variable")</f>
        <v>dummy variable</v>
      </c>
      <c r="C873" s="2"/>
      <c r="D873" s="5"/>
      <c r="E873" s="5"/>
      <c r="F873" s="11"/>
      <c r="G873" s="11"/>
    </row>
    <row r="874">
      <c r="A874" s="2" t="str">
        <f>IFERROR(__xludf.DUMMYFUNCTION("""COMPUTED_VALUE"""),"tensori")</f>
        <v>tensori</v>
      </c>
      <c r="B874" s="2" t="str">
        <f>IFERROR(__xludf.DUMMYFUNCTION("""COMPUTED_VALUE"""),"tensor")</f>
        <v>tensor</v>
      </c>
      <c r="C874" s="2" t="str">
        <f>IFERROR(__xludf.DUMMYFUNCTION("""COMPUTED_VALUE"""),"tensor")</f>
        <v>tensor</v>
      </c>
      <c r="D874" s="5"/>
      <c r="E874" s="5"/>
      <c r="F874" s="11"/>
      <c r="G874" s="11"/>
    </row>
    <row r="875">
      <c r="A875" s="2" t="str">
        <f>IFERROR(__xludf.DUMMYFUNCTION("""COMPUTED_VALUE"""),"teoria")</f>
        <v>teoria</v>
      </c>
      <c r="B875" s="2" t="str">
        <f>IFERROR(__xludf.DUMMYFUNCTION("""COMPUTED_VALUE"""),"theory")</f>
        <v>theory</v>
      </c>
      <c r="C875" s="2" t="str">
        <f>IFERROR(__xludf.DUMMYFUNCTION("""COMPUTED_VALUE"""),"teori")</f>
        <v>teori</v>
      </c>
      <c r="D875" s="5"/>
      <c r="E875" s="5"/>
      <c r="F875" s="11"/>
      <c r="G875" s="11"/>
    </row>
    <row r="876">
      <c r="A876" s="2" t="str">
        <f>IFERROR(__xludf.DUMMYFUNCTION("""COMPUTED_VALUE"""),"termi (jonon, polynomin, ...)")</f>
        <v>termi (jonon, polynomin, ...)</v>
      </c>
      <c r="B876" s="2" t="str">
        <f>IFERROR(__xludf.DUMMYFUNCTION("""COMPUTED_VALUE"""),"term")</f>
        <v>term</v>
      </c>
      <c r="C876" s="2" t="str">
        <f>IFERROR(__xludf.DUMMYFUNCTION("""COMPUTED_VALUE"""),"term")</f>
        <v>term</v>
      </c>
      <c r="D876" s="5"/>
      <c r="E876" s="5"/>
      <c r="F876" s="11"/>
      <c r="G876" s="11"/>
    </row>
    <row r="877">
      <c r="A877" s="2" t="str">
        <f>IFERROR(__xludf.DUMMYFUNCTION("""COMPUTED_VALUE"""),"tetraedri")</f>
        <v>tetraedri</v>
      </c>
      <c r="B877" s="2" t="str">
        <f>IFERROR(__xludf.DUMMYFUNCTION("""COMPUTED_VALUE"""),"tetrahedron")</f>
        <v>tetrahedron</v>
      </c>
      <c r="C877" s="2" t="str">
        <f>IFERROR(__xludf.DUMMYFUNCTION("""COMPUTED_VALUE"""),"tetraeder")</f>
        <v>tetraeder</v>
      </c>
      <c r="D877" s="5"/>
      <c r="E877" s="5"/>
      <c r="F877" s="11"/>
      <c r="G877" s="11"/>
    </row>
    <row r="878">
      <c r="A878" s="2" t="str">
        <f>IFERROR(__xludf.DUMMYFUNCTION("""COMPUTED_VALUE"""),"tihennys")</f>
        <v>tihennys</v>
      </c>
      <c r="B878" s="2" t="str">
        <f>IFERROR(__xludf.DUMMYFUNCTION("""COMPUTED_VALUE"""),"refinement")</f>
        <v>refinement</v>
      </c>
      <c r="C878" s="2" t="str">
        <f>IFERROR(__xludf.DUMMYFUNCTION("""COMPUTED_VALUE"""),"förtätning")</f>
        <v>förtätning</v>
      </c>
      <c r="D878" s="5"/>
      <c r="E878" s="5"/>
      <c r="F878" s="11"/>
      <c r="G878" s="11"/>
    </row>
    <row r="879">
      <c r="A879" s="2" t="str">
        <f>IFERROR(__xludf.DUMMYFUNCTION("""COMPUTED_VALUE"""),"tiheys")</f>
        <v>tiheys</v>
      </c>
      <c r="B879" s="2" t="str">
        <f>IFERROR(__xludf.DUMMYFUNCTION("""COMPUTED_VALUE"""),"density")</f>
        <v>density</v>
      </c>
      <c r="C879" s="2" t="str">
        <f>IFERROR(__xludf.DUMMYFUNCTION("""COMPUTED_VALUE"""),"täthet")</f>
        <v>täthet</v>
      </c>
      <c r="D879" s="5"/>
      <c r="E879" s="5"/>
      <c r="F879" s="11"/>
      <c r="G879" s="11"/>
    </row>
    <row r="880">
      <c r="A880" s="2" t="str">
        <f>IFERROR(__xludf.DUMMYFUNCTION("""COMPUTED_VALUE"""),"tiheysfunktio")</f>
        <v>tiheysfunktio</v>
      </c>
      <c r="B880" s="2" t="str">
        <f>IFERROR(__xludf.DUMMYFUNCTION("""COMPUTED_VALUE"""),"density function")</f>
        <v>density function</v>
      </c>
      <c r="C880" s="2" t="str">
        <f>IFERROR(__xludf.DUMMYFUNCTION("""COMPUTED_VALUE"""),"täthetsfunktion")</f>
        <v>täthetsfunktion</v>
      </c>
      <c r="D880" s="5"/>
      <c r="E880" s="5"/>
      <c r="F880" s="11"/>
      <c r="G880" s="11"/>
    </row>
    <row r="881">
      <c r="A881" s="2" t="str">
        <f>IFERROR(__xludf.DUMMYFUNCTION("""COMPUTED_VALUE"""),"tiheysfunktio")</f>
        <v>tiheysfunktio</v>
      </c>
      <c r="B881" s="2" t="str">
        <f>IFERROR(__xludf.DUMMYFUNCTION("""COMPUTED_VALUE"""),"probability density, density function")</f>
        <v>probability density, density function</v>
      </c>
      <c r="C881" s="2" t="str">
        <f>IFERROR(__xludf.DUMMYFUNCTION("""COMPUTED_VALUE"""),"täthetsfunktion")</f>
        <v>täthetsfunktion</v>
      </c>
      <c r="D881" s="5"/>
      <c r="E881" s="5"/>
      <c r="F881" s="11"/>
      <c r="G881" s="11"/>
    </row>
    <row r="882">
      <c r="A882" s="2" t="str">
        <f>IFERROR(__xludf.DUMMYFUNCTION("""COMPUTED_VALUE"""),"tiheyspiste")</f>
        <v>tiheyspiste</v>
      </c>
      <c r="B882" s="2" t="str">
        <f>IFERROR(__xludf.DUMMYFUNCTION("""COMPUTED_VALUE"""),"point of density")</f>
        <v>point of density</v>
      </c>
      <c r="C882" s="2" t="str">
        <f>IFERROR(__xludf.DUMMYFUNCTION("""COMPUTED_VALUE"""),"-")</f>
        <v>-</v>
      </c>
      <c r="D882" s="5"/>
      <c r="E882" s="5"/>
      <c r="F882" s="11"/>
      <c r="G882" s="11"/>
    </row>
    <row r="883">
      <c r="A883" s="2" t="str">
        <f>IFERROR(__xludf.DUMMYFUNCTION("""COMPUTED_VALUE"""),"tiheä")</f>
        <v>tiheä</v>
      </c>
      <c r="B883" s="2" t="str">
        <f>IFERROR(__xludf.DUMMYFUNCTION("""COMPUTED_VALUE"""),"dense")</f>
        <v>dense</v>
      </c>
      <c r="C883" s="2" t="str">
        <f>IFERROR(__xludf.DUMMYFUNCTION("""COMPUTED_VALUE"""),"tät")</f>
        <v>tät</v>
      </c>
      <c r="D883" s="5"/>
      <c r="E883" s="5"/>
      <c r="F883" s="11"/>
      <c r="G883" s="11"/>
    </row>
    <row r="884">
      <c r="A884" s="2" t="str">
        <f>IFERROR(__xludf.DUMMYFUNCTION("""COMPUTED_VALUE"""),"tilastotiede, tilastot")</f>
        <v>tilastotiede, tilastot</v>
      </c>
      <c r="B884" s="2" t="str">
        <f>IFERROR(__xludf.DUMMYFUNCTION("""COMPUTED_VALUE"""),"statistics")</f>
        <v>statistics</v>
      </c>
      <c r="C884" s="2" t="str">
        <f>IFERROR(__xludf.DUMMYFUNCTION("""COMPUTED_VALUE"""),"statistik")</f>
        <v>statistik</v>
      </c>
      <c r="D884" s="5"/>
      <c r="E884" s="5"/>
      <c r="F884" s="11"/>
      <c r="G884" s="11"/>
    </row>
    <row r="885">
      <c r="A885" s="2" t="str">
        <f>IFERROR(__xludf.DUMMYFUNCTION("""COMPUTED_VALUE"""),"tilavuus")</f>
        <v>tilavuus</v>
      </c>
      <c r="B885" s="2" t="str">
        <f>IFERROR(__xludf.DUMMYFUNCTION("""COMPUTED_VALUE"""),"volume")</f>
        <v>volume</v>
      </c>
      <c r="C885" s="2" t="str">
        <f>IFERROR(__xludf.DUMMYFUNCTION("""COMPUTED_VALUE"""),"volym")</f>
        <v>volym</v>
      </c>
      <c r="D885" s="5"/>
      <c r="E885" s="5"/>
      <c r="F885" s="11"/>
      <c r="G885" s="11"/>
    </row>
    <row r="886">
      <c r="A886" s="2" t="str">
        <f>IFERROR(__xludf.DUMMYFUNCTION("""COMPUTED_VALUE"""),"tilavuusalkio")</f>
        <v>tilavuusalkio</v>
      </c>
      <c r="B886" s="2" t="str">
        <f>IFERROR(__xludf.DUMMYFUNCTION("""COMPUTED_VALUE"""),"volume element")</f>
        <v>volume element</v>
      </c>
      <c r="C886" s="2" t="str">
        <f>IFERROR(__xludf.DUMMYFUNCTION("""COMPUTED_VALUE"""),"volymelement")</f>
        <v>volymelement</v>
      </c>
      <c r="D886" s="5"/>
      <c r="E886" s="5"/>
      <c r="F886" s="11"/>
      <c r="G886" s="11"/>
    </row>
    <row r="887">
      <c r="A887" s="2" t="str">
        <f>IFERROR(__xludf.DUMMYFUNCTION("""COMPUTED_VALUE"""),"tiukka")</f>
        <v>tiukka</v>
      </c>
      <c r="B887" s="2" t="str">
        <f>IFERROR(__xludf.DUMMYFUNCTION("""COMPUTED_VALUE"""),"taut")</f>
        <v>taut</v>
      </c>
      <c r="C887" s="2" t="str">
        <f>IFERROR(__xludf.DUMMYFUNCTION("""COMPUTED_VALUE"""),"-")</f>
        <v>-</v>
      </c>
      <c r="D887" s="5"/>
      <c r="E887" s="5"/>
      <c r="F887" s="11"/>
      <c r="G887" s="11"/>
    </row>
    <row r="888">
      <c r="A888" s="2" t="str">
        <f>IFERROR(__xludf.DUMMYFUNCTION("""COMPUTED_VALUE"""),"todennäköisyys")</f>
        <v>todennäköisyys</v>
      </c>
      <c r="B888" s="2" t="str">
        <f>IFERROR(__xludf.DUMMYFUNCTION("""COMPUTED_VALUE"""),"probability")</f>
        <v>probability</v>
      </c>
      <c r="C888" s="2" t="str">
        <f>IFERROR(__xludf.DUMMYFUNCTION("""COMPUTED_VALUE"""),"sannolikhet")</f>
        <v>sannolikhet</v>
      </c>
      <c r="D888" s="5"/>
      <c r="E888" s="5"/>
      <c r="F888" s="11"/>
      <c r="G888" s="11"/>
    </row>
    <row r="889">
      <c r="A889" s="2" t="str">
        <f>IFERROR(__xludf.DUMMYFUNCTION("""COMPUTED_VALUE"""),"todennäköisyyskenttä")</f>
        <v>todennäköisyyskenttä</v>
      </c>
      <c r="B889" s="2" t="str">
        <f>IFERROR(__xludf.DUMMYFUNCTION("""COMPUTED_VALUE"""),"probability space")</f>
        <v>probability space</v>
      </c>
      <c r="C889" s="2" t="str">
        <f>IFERROR(__xludf.DUMMYFUNCTION("""COMPUTED_VALUE"""),"sannolikhetsrum")</f>
        <v>sannolikhetsrum</v>
      </c>
      <c r="D889" s="5"/>
      <c r="E889" s="5"/>
      <c r="F889" s="11"/>
      <c r="G889" s="11"/>
    </row>
    <row r="890">
      <c r="A890" s="2" t="str">
        <f>IFERROR(__xludf.DUMMYFUNCTION("""COMPUTED_VALUE"""),"todistaa")</f>
        <v>todistaa</v>
      </c>
      <c r="B890" s="2" t="str">
        <f>IFERROR(__xludf.DUMMYFUNCTION("""COMPUTED_VALUE"""),"prove")</f>
        <v>prove</v>
      </c>
      <c r="C890" s="2" t="str">
        <f>IFERROR(__xludf.DUMMYFUNCTION("""COMPUTED_VALUE"""),"bevisa")</f>
        <v>bevisa</v>
      </c>
      <c r="D890" s="5"/>
      <c r="E890" s="5"/>
      <c r="F890" s="11"/>
      <c r="G890" s="11"/>
    </row>
    <row r="891">
      <c r="A891" s="2" t="str">
        <f>IFERROR(__xludf.DUMMYFUNCTION("""COMPUTED_VALUE"""),"todistus")</f>
        <v>todistus</v>
      </c>
      <c r="B891" s="2" t="str">
        <f>IFERROR(__xludf.DUMMYFUNCTION("""COMPUTED_VALUE"""),"proof")</f>
        <v>proof</v>
      </c>
      <c r="C891" s="2" t="str">
        <f>IFERROR(__xludf.DUMMYFUNCTION("""COMPUTED_VALUE"""),"bevis")</f>
        <v>bevis</v>
      </c>
      <c r="D891" s="5"/>
      <c r="E891" s="5"/>
      <c r="F891" s="11"/>
      <c r="G891" s="11"/>
    </row>
    <row r="892">
      <c r="A892" s="2" t="str">
        <f>IFERROR(__xludf.DUMMYFUNCTION("""COMPUTED_VALUE"""),"toisen asteen (Yht, ...); toisen kertaluvun (DYht)")</f>
        <v>toisen asteen (Yht, ...); toisen kertaluvun (DYht)</v>
      </c>
      <c r="B892" s="2" t="str">
        <f>IFERROR(__xludf.DUMMYFUNCTION("""COMPUTED_VALUE"""),"second order")</f>
        <v>second order</v>
      </c>
      <c r="C892" s="2" t="str">
        <f>IFERROR(__xludf.DUMMYFUNCTION("""COMPUTED_VALUE"""),"av andra graden")</f>
        <v>av andra graden</v>
      </c>
      <c r="D892" s="5"/>
      <c r="E892" s="5"/>
      <c r="F892" s="11"/>
      <c r="G892" s="11"/>
    </row>
    <row r="893">
      <c r="A893" s="2" t="str">
        <f>IFERROR(__xludf.DUMMYFUNCTION("""COMPUTED_VALUE"""),"toispuolinen derivaatta")</f>
        <v>toispuolinen derivaatta</v>
      </c>
      <c r="B893" s="2" t="str">
        <f>IFERROR(__xludf.DUMMYFUNCTION("""COMPUTED_VALUE"""),"one-sided derivative")</f>
        <v>one-sided derivative</v>
      </c>
      <c r="C893" s="2" t="str">
        <f>IFERROR(__xludf.DUMMYFUNCTION("""COMPUTED_VALUE"""),"ensidig derivata")</f>
        <v>ensidig derivata</v>
      </c>
      <c r="D893" s="5"/>
      <c r="E893" s="5"/>
      <c r="F893" s="11"/>
      <c r="G893" s="11"/>
    </row>
    <row r="894">
      <c r="A894" s="2" t="str">
        <f>IFERROR(__xludf.DUMMYFUNCTION("""COMPUTED_VALUE"""),"toispuolinen raja-arvo")</f>
        <v>toispuolinen raja-arvo</v>
      </c>
      <c r="B894" s="2" t="str">
        <f>IFERROR(__xludf.DUMMYFUNCTION("""COMPUTED_VALUE"""),"one-sided limit")</f>
        <v>one-sided limit</v>
      </c>
      <c r="C894" s="2" t="str">
        <f>IFERROR(__xludf.DUMMYFUNCTION("""COMPUTED_VALUE"""),"ensidigt gränsvärde")</f>
        <v>ensidigt gränsvärde</v>
      </c>
      <c r="D894" s="5"/>
      <c r="E894" s="5"/>
      <c r="F894" s="11"/>
      <c r="G894" s="11"/>
    </row>
    <row r="895">
      <c r="A895" s="2" t="str">
        <f>IFERROR(__xludf.DUMMYFUNCTION("""COMPUTED_VALUE"""),"toorus, ""donitsi""")</f>
        <v>toorus, "donitsi"</v>
      </c>
      <c r="B895" s="2" t="str">
        <f>IFERROR(__xludf.DUMMYFUNCTION("""COMPUTED_VALUE"""),"torus")</f>
        <v>torus</v>
      </c>
      <c r="C895" s="2" t="str">
        <f>IFERROR(__xludf.DUMMYFUNCTION("""COMPUTED_VALUE"""),"torus")</f>
        <v>torus</v>
      </c>
      <c r="D895" s="5"/>
      <c r="E895" s="5"/>
      <c r="F895" s="11"/>
      <c r="G895" s="11"/>
    </row>
    <row r="896">
      <c r="A896" s="2" t="str">
        <f>IFERROR(__xludf.DUMMYFUNCTION("""COMPUTED_VALUE"""),"topologia")</f>
        <v>topologia</v>
      </c>
      <c r="B896" s="2" t="str">
        <f>IFERROR(__xludf.DUMMYFUNCTION("""COMPUTED_VALUE"""),"topology")</f>
        <v>topology</v>
      </c>
      <c r="C896" s="2" t="str">
        <f>IFERROR(__xludf.DUMMYFUNCTION("""COMPUTED_VALUE"""),"topologi")</f>
        <v>topologi</v>
      </c>
      <c r="D896" s="5"/>
      <c r="E896" s="5"/>
      <c r="F896" s="11"/>
      <c r="G896" s="11"/>
    </row>
    <row r="897">
      <c r="A897" s="2" t="str">
        <f>IFERROR(__xludf.DUMMYFUNCTION("""COMPUTED_VALUE"""),"topologinen avaruus")</f>
        <v>topologinen avaruus</v>
      </c>
      <c r="B897" s="2" t="str">
        <f>IFERROR(__xludf.DUMMYFUNCTION("""COMPUTED_VALUE"""),"topological space")</f>
        <v>topological space</v>
      </c>
      <c r="C897" s="2" t="str">
        <f>IFERROR(__xludf.DUMMYFUNCTION("""COMPUTED_VALUE"""),"topologiskt rum")</f>
        <v>topologiskt rum</v>
      </c>
      <c r="D897" s="5"/>
      <c r="E897" s="5"/>
      <c r="F897" s="11"/>
      <c r="G897" s="11"/>
    </row>
    <row r="898">
      <c r="A898" s="2" t="str">
        <f>IFERROR(__xludf.DUMMYFUNCTION("""COMPUTED_VALUE"""),"totaalisti rajoitettu (äärelliset eps-peitteet)")</f>
        <v>totaalisti rajoitettu (äärelliset eps-peitteet)</v>
      </c>
      <c r="B898" s="2" t="str">
        <f>IFERROR(__xludf.DUMMYFUNCTION("""COMPUTED_VALUE"""),"totally bounded")</f>
        <v>totally bounded</v>
      </c>
      <c r="C898" s="2" t="str">
        <f>IFERROR(__xludf.DUMMYFUNCTION("""COMPUTED_VALUE"""),"totalt begränsad")</f>
        <v>totalt begränsad</v>
      </c>
      <c r="D898" s="5"/>
      <c r="E898" s="5"/>
      <c r="F898" s="11"/>
      <c r="G898" s="11"/>
    </row>
    <row r="899">
      <c r="A899" s="2" t="str">
        <f>IFERROR(__xludf.DUMMYFUNCTION("""COMPUTED_VALUE"""),"transkendenttifunktio (exp, sin, ...)")</f>
        <v>transkendenttifunktio (exp, sin, ...)</v>
      </c>
      <c r="B899" s="2" t="str">
        <f>IFERROR(__xludf.DUMMYFUNCTION("""COMPUTED_VALUE"""),"transcendental function")</f>
        <v>transcendental function</v>
      </c>
      <c r="C899" s="2" t="str">
        <f>IFERROR(__xludf.DUMMYFUNCTION("""COMPUTED_VALUE"""),"transcendent funktion")</f>
        <v>transcendent funktion</v>
      </c>
      <c r="D899" s="5"/>
      <c r="E899" s="5"/>
      <c r="F899" s="11"/>
      <c r="G899" s="11"/>
    </row>
    <row r="900">
      <c r="A900" s="2" t="str">
        <f>IFERROR(__xludf.DUMMYFUNCTION("""COMPUTED_VALUE"""),"translaatio")</f>
        <v>translaatio</v>
      </c>
      <c r="B900" s="2" t="str">
        <f>IFERROR(__xludf.DUMMYFUNCTION("""COMPUTED_VALUE"""),"translation")</f>
        <v>translation</v>
      </c>
      <c r="C900" s="2" t="str">
        <f>IFERROR(__xludf.DUMMYFUNCTION("""COMPUTED_VALUE"""),"translation")</f>
        <v>translation</v>
      </c>
      <c r="D900" s="5"/>
      <c r="E900" s="5"/>
      <c r="F900" s="11"/>
      <c r="G900" s="11"/>
    </row>
    <row r="901">
      <c r="A901" s="2" t="str">
        <f>IFERROR(__xludf.DUMMYFUNCTION("""COMPUTED_VALUE"""),"transpoosi")</f>
        <v>transpoosi</v>
      </c>
      <c r="B901" s="2" t="str">
        <f>IFERROR(__xludf.DUMMYFUNCTION("""COMPUTED_VALUE"""),"transpose")</f>
        <v>transpose</v>
      </c>
      <c r="C901" s="2" t="str">
        <f>IFERROR(__xludf.DUMMYFUNCTION("""COMPUTED_VALUE"""),"transponerad matris, transponat")</f>
        <v>transponerad matris, transponat</v>
      </c>
      <c r="D901" s="5"/>
      <c r="E901" s="5"/>
      <c r="F901" s="11"/>
      <c r="G901" s="11"/>
    </row>
    <row r="902">
      <c r="A902" s="2" t="str">
        <f>IFERROR(__xludf.DUMMYFUNCTION("""COMPUTED_VALUE"""),"transsendentti-(nen), transkendentti-(nen)")</f>
        <v>transsendentti-(nen), transkendentti-(nen)</v>
      </c>
      <c r="B902" s="2" t="str">
        <f>IFERROR(__xludf.DUMMYFUNCTION("""COMPUTED_VALUE"""),"transcendental")</f>
        <v>transcendental</v>
      </c>
      <c r="C902" s="2" t="str">
        <f>IFERROR(__xludf.DUMMYFUNCTION("""COMPUTED_VALUE"""),"transcendent")</f>
        <v>transcendent</v>
      </c>
      <c r="D902" s="5"/>
      <c r="E902" s="5"/>
      <c r="F902" s="11"/>
      <c r="G902" s="11"/>
    </row>
    <row r="903">
      <c r="A903" s="2" t="str">
        <f>IFERROR(__xludf.DUMMYFUNCTION("""COMPUTED_VALUE"""),"trigonometrinen")</f>
        <v>trigonometrinen</v>
      </c>
      <c r="B903" s="2" t="str">
        <f>IFERROR(__xludf.DUMMYFUNCTION("""COMPUTED_VALUE"""),"trigonometric")</f>
        <v>trigonometric</v>
      </c>
      <c r="C903" s="2" t="str">
        <f>IFERROR(__xludf.DUMMYFUNCTION("""COMPUTED_VALUE"""),"trigonometrisk")</f>
        <v>trigonometrisk</v>
      </c>
      <c r="D903" s="5"/>
      <c r="E903" s="5"/>
      <c r="F903" s="11"/>
      <c r="G903" s="11"/>
    </row>
    <row r="904">
      <c r="A904" s="2" t="str">
        <f>IFERROR(__xludf.DUMMYFUNCTION("""COMPUTED_VALUE"""),"triviaali")</f>
        <v>triviaali</v>
      </c>
      <c r="B904" s="2" t="str">
        <f>IFERROR(__xludf.DUMMYFUNCTION("""COMPUTED_VALUE"""),"trivial")</f>
        <v>trivial</v>
      </c>
      <c r="C904" s="2" t="str">
        <f>IFERROR(__xludf.DUMMYFUNCTION("""COMPUTED_VALUE"""),"trivial")</f>
        <v>trivial</v>
      </c>
      <c r="D904" s="5"/>
      <c r="E904" s="5"/>
      <c r="F904" s="11"/>
      <c r="G904" s="11"/>
    </row>
    <row r="905">
      <c r="A905" s="2" t="str">
        <f>IFERROR(__xludf.DUMMYFUNCTION("""COMPUTED_VALUE"""),"tuki, tukialkio")</f>
        <v>tuki, tukialkio</v>
      </c>
      <c r="B905" s="2" t="str">
        <f>IFERROR(__xludf.DUMMYFUNCTION("""COMPUTED_VALUE"""),"pivot")</f>
        <v>pivot</v>
      </c>
      <c r="C905" s="2" t="str">
        <f>IFERROR(__xludf.DUMMYFUNCTION("""COMPUTED_VALUE"""),"pivå")</f>
        <v>pivå</v>
      </c>
      <c r="D905" s="5"/>
      <c r="E905" s="5"/>
      <c r="F905" s="11"/>
      <c r="G905" s="11"/>
    </row>
    <row r="906">
      <c r="A906" s="2" t="str">
        <f>IFERROR(__xludf.DUMMYFUNCTION("""COMPUTED_VALUE"""),"tulo")</f>
        <v>tulo</v>
      </c>
      <c r="B906" s="2" t="str">
        <f>IFERROR(__xludf.DUMMYFUNCTION("""COMPUTED_VALUE"""),"product")</f>
        <v>product</v>
      </c>
      <c r="C906" s="2" t="str">
        <f>IFERROR(__xludf.DUMMYFUNCTION("""COMPUTED_VALUE"""),"produkt")</f>
        <v>produkt</v>
      </c>
      <c r="D906" s="5"/>
      <c r="E906" s="5"/>
      <c r="F906" s="11"/>
      <c r="G906" s="11"/>
    </row>
    <row r="907">
      <c r="A907" s="2" t="str">
        <f>IFERROR(__xludf.DUMMYFUNCTION("""COMPUTED_VALUE"""),"tulo, sisääntulo, input")</f>
        <v>tulo, sisääntulo, input</v>
      </c>
      <c r="B907" s="2" t="str">
        <f>IFERROR(__xludf.DUMMYFUNCTION("""COMPUTED_VALUE"""),"input")</f>
        <v>input</v>
      </c>
      <c r="C907" s="2" t="str">
        <f>IFERROR(__xludf.DUMMYFUNCTION("""COMPUTED_VALUE"""),"-")</f>
        <v>-</v>
      </c>
      <c r="D907" s="5"/>
      <c r="E907" s="5"/>
      <c r="F907" s="11"/>
      <c r="G907" s="11"/>
    </row>
    <row r="908">
      <c r="A908" s="2" t="str">
        <f>IFERROR(__xludf.DUMMYFUNCTION("""COMPUTED_VALUE"""),"tuloavaruus (XxY)")</f>
        <v>tuloavaruus (XxY)</v>
      </c>
      <c r="B908" s="2" t="str">
        <f>IFERROR(__xludf.DUMMYFUNCTION("""COMPUTED_VALUE"""),"product space")</f>
        <v>product space</v>
      </c>
      <c r="C908" s="2" t="str">
        <f>IFERROR(__xludf.DUMMYFUNCTION("""COMPUTED_VALUE"""),"produktrum")</f>
        <v>produktrum</v>
      </c>
      <c r="D908" s="5"/>
      <c r="E908" s="5"/>
      <c r="F908" s="11"/>
      <c r="G908" s="11"/>
    </row>
    <row r="909">
      <c r="A909" s="2" t="str">
        <f>IFERROR(__xludf.DUMMYFUNCTION("""COMPUTED_VALUE"""),"tutkimus")</f>
        <v>tutkimus</v>
      </c>
      <c r="B909" s="2" t="str">
        <f>IFERROR(__xludf.DUMMYFUNCTION("""COMPUTED_VALUE"""),"survey")</f>
        <v>survey</v>
      </c>
      <c r="C909" s="2" t="str">
        <f>IFERROR(__xludf.DUMMYFUNCTION("""COMPUTED_VALUE"""),"undersökning")</f>
        <v>undersökning</v>
      </c>
      <c r="D909" s="5"/>
      <c r="E909" s="5"/>
      <c r="F909" s="11"/>
      <c r="G909" s="11"/>
    </row>
    <row r="910">
      <c r="A910" s="2" t="str">
        <f>IFERROR(__xludf.DUMMYFUNCTION("""COMPUTED_VALUE"""),"tyhjennys")</f>
        <v>tyhjennys</v>
      </c>
      <c r="B910" s="2" t="str">
        <f>IFERROR(__xludf.DUMMYFUNCTION("""COMPUTED_VALUE"""),"exhaustion")</f>
        <v>exhaustion</v>
      </c>
      <c r="C910" s="2" t="str">
        <f>IFERROR(__xludf.DUMMYFUNCTION("""COMPUTED_VALUE"""),"uttömmande")</f>
        <v>uttömmande</v>
      </c>
      <c r="D910" s="5"/>
      <c r="E910" s="5"/>
      <c r="F910" s="11"/>
      <c r="G910" s="11"/>
    </row>
    <row r="911">
      <c r="A911" s="2" t="str">
        <f>IFERROR(__xludf.DUMMYFUNCTION("""COMPUTED_VALUE"""),"tyhjä joukko")</f>
        <v>tyhjä joukko</v>
      </c>
      <c r="B911" s="2" t="str">
        <f>IFERROR(__xludf.DUMMYFUNCTION("""COMPUTED_VALUE"""),"empty set")</f>
        <v>empty set</v>
      </c>
      <c r="C911" s="2" t="str">
        <f>IFERROR(__xludf.DUMMYFUNCTION("""COMPUTED_VALUE"""),"tom mängd")</f>
        <v>tom mängd</v>
      </c>
      <c r="D911" s="5"/>
      <c r="E911" s="5"/>
      <c r="F911" s="11"/>
      <c r="G911" s="11"/>
    </row>
    <row r="912">
      <c r="A912" s="2" t="str">
        <f>IFERROR(__xludf.DUMMYFUNCTION("""COMPUTED_VALUE"""),"typistys")</f>
        <v>typistys</v>
      </c>
      <c r="B912" s="2" t="str">
        <f>IFERROR(__xludf.DUMMYFUNCTION("""COMPUTED_VALUE"""),"excision")</f>
        <v>excision</v>
      </c>
      <c r="C912" s="2" t="str">
        <f>IFERROR(__xludf.DUMMYFUNCTION("""COMPUTED_VALUE"""),"-")</f>
        <v>-</v>
      </c>
      <c r="D912" s="5"/>
      <c r="E912" s="5"/>
      <c r="F912" s="11"/>
      <c r="G912" s="11"/>
    </row>
    <row r="913">
      <c r="A913" s="2" t="str">
        <f>IFERROR(__xludf.DUMMYFUNCTION("""COMPUTED_VALUE"""),"tähtitihennys")</f>
        <v>tähtitihennys</v>
      </c>
      <c r="B913" s="2" t="str">
        <f>IFERROR(__xludf.DUMMYFUNCTION("""COMPUTED_VALUE"""),"star refinement")</f>
        <v>star refinement</v>
      </c>
      <c r="C913" s="2" t="str">
        <f>IFERROR(__xludf.DUMMYFUNCTION("""COMPUTED_VALUE"""),"-")</f>
        <v>-</v>
      </c>
      <c r="D913" s="5"/>
      <c r="E913" s="5"/>
      <c r="F913" s="11"/>
      <c r="G913" s="11"/>
    </row>
    <row r="914">
      <c r="A914" s="2" t="str">
        <f>IFERROR(__xludf.DUMMYFUNCTION("""COMPUTED_VALUE"""),"tätä varten, vartavasten")</f>
        <v>tätä varten, vartavasten</v>
      </c>
      <c r="B914" s="2" t="str">
        <f>IFERROR(__xludf.DUMMYFUNCTION("""COMPUTED_VALUE"""),"ad hoc (""ad hok"", lat.)")</f>
        <v>ad hoc ("ad hok", lat.)</v>
      </c>
      <c r="C914" s="2" t="str">
        <f>IFERROR(__xludf.DUMMYFUNCTION("""COMPUTED_VALUE"""),"för ändamålet")</f>
        <v>för ändamålet</v>
      </c>
      <c r="D914" s="5"/>
      <c r="E914" s="5"/>
      <c r="F914" s="11"/>
      <c r="G914" s="11"/>
    </row>
    <row r="915">
      <c r="A915" s="2" t="str">
        <f>IFERROR(__xludf.DUMMYFUNCTION("""COMPUTED_VALUE"""),"täydellinen (metriikka, mitta, avaruus)")</f>
        <v>täydellinen (metriikka, mitta, avaruus)</v>
      </c>
      <c r="B915" s="2" t="str">
        <f>IFERROR(__xludf.DUMMYFUNCTION("""COMPUTED_VALUE"""),"complete")</f>
        <v>complete</v>
      </c>
      <c r="C915" s="2" t="str">
        <f>IFERROR(__xludf.DUMMYFUNCTION("""COMPUTED_VALUE"""),"fullständig")</f>
        <v>fullständig</v>
      </c>
      <c r="D915" s="5"/>
      <c r="E915" s="5"/>
      <c r="F915" s="11"/>
      <c r="G915" s="11"/>
    </row>
    <row r="916">
      <c r="A916" s="2" t="str">
        <f>IFERROR(__xludf.DUMMYFUNCTION("""COMPUTED_VALUE"""),"täydellistymä")</f>
        <v>täydellistymä</v>
      </c>
      <c r="B916" s="2" t="str">
        <f>IFERROR(__xludf.DUMMYFUNCTION("""COMPUTED_VALUE"""),"completion")</f>
        <v>completion</v>
      </c>
      <c r="C916" s="2" t="str">
        <f>IFERROR(__xludf.DUMMYFUNCTION("""COMPUTED_VALUE"""),"-")</f>
        <v>-</v>
      </c>
      <c r="D916" s="5"/>
      <c r="E916" s="5"/>
      <c r="F916" s="11"/>
      <c r="G916" s="11"/>
    </row>
    <row r="917">
      <c r="A917" s="2" t="str">
        <f>IFERROR(__xludf.DUMMYFUNCTION("""COMPUTED_VALUE"""),"täydellistää")</f>
        <v>täydellistää</v>
      </c>
      <c r="B917" s="2" t="str">
        <f>IFERROR(__xludf.DUMMYFUNCTION("""COMPUTED_VALUE"""),"complete")</f>
        <v>complete</v>
      </c>
      <c r="C917" s="2" t="str">
        <f>IFERROR(__xludf.DUMMYFUNCTION("""COMPUTED_VALUE"""),"komplettera")</f>
        <v>komplettera</v>
      </c>
      <c r="D917" s="5"/>
      <c r="E917" s="5"/>
      <c r="F917" s="11"/>
      <c r="G917" s="11"/>
    </row>
    <row r="918">
      <c r="A918" s="2" t="str">
        <f>IFERROR(__xludf.DUMMYFUNCTION("""COMPUTED_VALUE"""),"täydellisyys")</f>
        <v>täydellisyys</v>
      </c>
      <c r="B918" s="2" t="str">
        <f>IFERROR(__xludf.DUMMYFUNCTION("""COMPUTED_VALUE"""),"completeness")</f>
        <v>completeness</v>
      </c>
      <c r="C918" s="2" t="str">
        <f>IFERROR(__xludf.DUMMYFUNCTION("""COMPUTED_VALUE"""),"fullständighet")</f>
        <v>fullständighet</v>
      </c>
      <c r="D918" s="5"/>
      <c r="E918" s="5"/>
      <c r="F918" s="11"/>
      <c r="G918" s="11"/>
    </row>
    <row r="919">
      <c r="A919" s="2" t="str">
        <f>IFERROR(__xludf.DUMMYFUNCTION("""COMPUTED_VALUE"""),"täysi rangi (yms., ks. rank)")</f>
        <v>täysi rangi (yms., ks. rank)</v>
      </c>
      <c r="B919" s="2" t="str">
        <f>IFERROR(__xludf.DUMMYFUNCTION("""COMPUTED_VALUE"""),"full rank")</f>
        <v>full rank</v>
      </c>
      <c r="C919" s="2" t="str">
        <f>IFERROR(__xludf.DUMMYFUNCTION("""COMPUTED_VALUE"""),"full rang")</f>
        <v>full rang</v>
      </c>
      <c r="D919" s="5"/>
      <c r="E919" s="5"/>
      <c r="F919" s="11"/>
      <c r="G919" s="11"/>
    </row>
    <row r="920">
      <c r="A920" s="2" t="str">
        <f>IFERROR(__xludf.DUMMYFUNCTION("""COMPUTED_VALUE"""),"täysin säännöllinen avaruus")</f>
        <v>täysin säännöllinen avaruus</v>
      </c>
      <c r="B920" s="2" t="str">
        <f>IFERROR(__xludf.DUMMYFUNCTION("""COMPUTED_VALUE"""),"completely regular space")</f>
        <v>completely regular space</v>
      </c>
      <c r="C920" s="2" t="str">
        <f>IFERROR(__xludf.DUMMYFUNCTION("""COMPUTED_VALUE"""),"-")</f>
        <v>-</v>
      </c>
      <c r="D920" s="5"/>
      <c r="E920" s="5"/>
      <c r="F920" s="11"/>
      <c r="G920" s="11"/>
    </row>
    <row r="921">
      <c r="A921" s="2" t="str">
        <f>IFERROR(__xludf.DUMMYFUNCTION("""COMPUTED_VALUE"""),"ulkoinen, ulko-, ulkopuoli")</f>
        <v>ulkoinen, ulko-, ulkopuoli</v>
      </c>
      <c r="B921" s="2" t="str">
        <f>IFERROR(__xludf.DUMMYFUNCTION("""COMPUTED_VALUE"""),"exterior")</f>
        <v>exterior</v>
      </c>
      <c r="C921" s="2" t="str">
        <f>IFERROR(__xludf.DUMMYFUNCTION("""COMPUTED_VALUE"""),"exteriör")</f>
        <v>exteriör</v>
      </c>
      <c r="D921" s="5"/>
      <c r="E921" s="5"/>
      <c r="F921" s="11"/>
      <c r="G921" s="11"/>
    </row>
    <row r="922">
      <c r="A922" s="2" t="str">
        <f>IFERROR(__xludf.DUMMYFUNCTION("""COMPUTED_VALUE"""),"ulkomitta")</f>
        <v>ulkomitta</v>
      </c>
      <c r="B922" s="2" t="str">
        <f>IFERROR(__xludf.DUMMYFUNCTION("""COMPUTED_VALUE"""),"outer measure")</f>
        <v>outer measure</v>
      </c>
      <c r="C922" s="2" t="str">
        <f>IFERROR(__xludf.DUMMYFUNCTION("""COMPUTED_VALUE"""),"yttre mått")</f>
        <v>yttre mått</v>
      </c>
      <c r="D922" s="5"/>
      <c r="E922" s="5"/>
      <c r="F922" s="11"/>
      <c r="G922" s="11"/>
    </row>
    <row r="923">
      <c r="A923" s="2" t="str">
        <f>IFERROR(__xludf.DUMMYFUNCTION("""COMPUTED_VALUE"""),"ulkopiste")</f>
        <v>ulkopiste</v>
      </c>
      <c r="B923" s="2" t="str">
        <f>IFERROR(__xludf.DUMMYFUNCTION("""COMPUTED_VALUE"""),"exterior point")</f>
        <v>exterior point</v>
      </c>
      <c r="C923" s="2" t="str">
        <f>IFERROR(__xludf.DUMMYFUNCTION("""COMPUTED_VALUE"""),"yttre punkt")</f>
        <v>yttre punkt</v>
      </c>
      <c r="D923" s="5"/>
      <c r="E923" s="5"/>
      <c r="F923" s="11"/>
      <c r="G923" s="11"/>
    </row>
    <row r="924">
      <c r="A924" s="2" t="str">
        <f>IFERROR(__xludf.DUMMYFUNCTION("""COMPUTED_VALUE"""),"ulkosäännöllinen (mitta)")</f>
        <v>ulkosäännöllinen (mitta)</v>
      </c>
      <c r="B924" s="2" t="str">
        <f>IFERROR(__xludf.DUMMYFUNCTION("""COMPUTED_VALUE"""),"outer regular")</f>
        <v>outer regular</v>
      </c>
      <c r="C924" s="2" t="str">
        <f>IFERROR(__xludf.DUMMYFUNCTION("""COMPUTED_VALUE"""),"-")</f>
        <v>-</v>
      </c>
      <c r="D924" s="5"/>
      <c r="E924" s="5"/>
      <c r="F924" s="11"/>
      <c r="G924" s="11"/>
    </row>
    <row r="925">
      <c r="A925" s="2" t="str">
        <f>IFERROR(__xludf.DUMMYFUNCTION("""COMPUTED_VALUE"""),"ulkotulo")</f>
        <v>ulkotulo</v>
      </c>
      <c r="B925" s="2" t="str">
        <f>IFERROR(__xludf.DUMMYFUNCTION("""COMPUTED_VALUE"""),"outer product")</f>
        <v>outer product</v>
      </c>
      <c r="C925" s="2" t="str">
        <f>IFERROR(__xludf.DUMMYFUNCTION("""COMPUTED_VALUE"""),"yttre produkt")</f>
        <v>yttre produkt</v>
      </c>
      <c r="D925" s="5"/>
      <c r="E925" s="5"/>
      <c r="F925" s="11"/>
      <c r="G925" s="11"/>
    </row>
    <row r="926">
      <c r="A926" s="2" t="str">
        <f>IFERROR(__xludf.DUMMYFUNCTION("""COMPUTED_VALUE"""),"ulottuvuus, dimensio")</f>
        <v>ulottuvuus, dimensio</v>
      </c>
      <c r="B926" s="2" t="str">
        <f>IFERROR(__xludf.DUMMYFUNCTION("""COMPUTED_VALUE"""),"dimension")</f>
        <v>dimension</v>
      </c>
      <c r="C926" s="2" t="str">
        <f>IFERROR(__xludf.DUMMYFUNCTION("""COMPUTED_VALUE"""),"dimension")</f>
        <v>dimension</v>
      </c>
      <c r="D926" s="5"/>
      <c r="E926" s="5"/>
      <c r="F926" s="11"/>
      <c r="G926" s="11"/>
    </row>
    <row r="927">
      <c r="A927" s="2" t="str">
        <f>IFERROR(__xludf.DUMMYFUNCTION("""COMPUTED_VALUE"""),"uniforminen avaruus")</f>
        <v>uniforminen avaruus</v>
      </c>
      <c r="B927" s="2" t="str">
        <f>IFERROR(__xludf.DUMMYFUNCTION("""COMPUTED_VALUE"""),"uniform space")</f>
        <v>uniform space</v>
      </c>
      <c r="C927" s="2" t="str">
        <f>IFERROR(__xludf.DUMMYFUNCTION("""COMPUTED_VALUE"""),"enhetligt rum")</f>
        <v>enhetligt rum</v>
      </c>
      <c r="D927" s="5"/>
      <c r="E927" s="5"/>
      <c r="F927" s="11"/>
      <c r="G927" s="11"/>
    </row>
    <row r="928">
      <c r="A928" s="2" t="str">
        <f>IFERROR(__xludf.DUMMYFUNCTION("""COMPUTED_VALUE"""),"uniformiteetti")</f>
        <v>uniformiteetti</v>
      </c>
      <c r="B928" s="2" t="str">
        <f>IFERROR(__xludf.DUMMYFUNCTION("""COMPUTED_VALUE"""),"uniformity")</f>
        <v>uniformity</v>
      </c>
      <c r="C928" s="2" t="str">
        <f>IFERROR(__xludf.DUMMYFUNCTION("""COMPUTED_VALUE"""),"uniformighet")</f>
        <v>uniformighet</v>
      </c>
      <c r="D928" s="5"/>
      <c r="E928" s="5"/>
      <c r="F928" s="11"/>
      <c r="G928" s="11"/>
    </row>
    <row r="929">
      <c r="A929" s="2" t="str">
        <f>IFERROR(__xludf.DUMMYFUNCTION("""COMPUTED_VALUE"""),"unitaarinen")</f>
        <v>unitaarinen</v>
      </c>
      <c r="B929" s="2" t="str">
        <f>IFERROR(__xludf.DUMMYFUNCTION("""COMPUTED_VALUE"""),"unitary")</f>
        <v>unitary</v>
      </c>
      <c r="C929" s="2" t="str">
        <f>IFERROR(__xludf.DUMMYFUNCTION("""COMPUTED_VALUE"""),"unitär")</f>
        <v>unitär</v>
      </c>
      <c r="D929" s="5"/>
      <c r="E929" s="5"/>
      <c r="F929" s="11"/>
      <c r="G929" s="11"/>
    </row>
    <row r="930">
      <c r="A930" s="2" t="str">
        <f>IFERROR(__xludf.DUMMYFUNCTION("""COMPUTED_VALUE"""),"unohtava")</f>
        <v>unohtava</v>
      </c>
      <c r="B930" s="2" t="str">
        <f>IFERROR(__xludf.DUMMYFUNCTION("""COMPUTED_VALUE"""),"forgetful")</f>
        <v>forgetful</v>
      </c>
      <c r="C930" s="2" t="str">
        <f>IFERROR(__xludf.DUMMYFUNCTION("""COMPUTED_VALUE"""),"-")</f>
        <v>-</v>
      </c>
      <c r="D930" s="5"/>
      <c r="E930" s="5"/>
      <c r="F930" s="11"/>
      <c r="G930" s="11"/>
    </row>
    <row r="931">
      <c r="A931" s="2" t="str">
        <f>IFERROR(__xludf.DUMMYFUNCTION("""COMPUTED_VALUE"""),"upotus")</f>
        <v>upotus</v>
      </c>
      <c r="B931" s="2" t="str">
        <f>IFERROR(__xludf.DUMMYFUNCTION("""COMPUTED_VALUE"""),"embedding, imbedding")</f>
        <v>embedding, imbedding</v>
      </c>
      <c r="C931" s="2" t="str">
        <f>IFERROR(__xludf.DUMMYFUNCTION("""COMPUTED_VALUE"""),"inbädding")</f>
        <v>inbädding</v>
      </c>
      <c r="D931" s="5"/>
      <c r="E931" s="5"/>
      <c r="F931" s="11"/>
      <c r="G931" s="11"/>
    </row>
    <row r="932">
      <c r="A932" s="2" t="str">
        <f>IFERROR(__xludf.DUMMYFUNCTION("""COMPUTED_VALUE"""),"upotus")</f>
        <v>upotus</v>
      </c>
      <c r="B932" s="2" t="str">
        <f>IFERROR(__xludf.DUMMYFUNCTION("""COMPUTED_VALUE"""),"imbedding, embedding")</f>
        <v>imbedding, embedding</v>
      </c>
      <c r="C932" s="2" t="str">
        <f>IFERROR(__xludf.DUMMYFUNCTION("""COMPUTED_VALUE"""),"inbädding")</f>
        <v>inbädding</v>
      </c>
      <c r="D932" s="5"/>
      <c r="E932" s="5"/>
      <c r="F932" s="11"/>
      <c r="G932" s="11"/>
    </row>
    <row r="933">
      <c r="A933" s="2" t="str">
        <f>IFERROR(__xludf.DUMMYFUNCTION("""COMPUTED_VALUE"""),"vaakasuora")</f>
        <v>vaakasuora</v>
      </c>
      <c r="B933" s="2" t="str">
        <f>IFERROR(__xludf.DUMMYFUNCTION("""COMPUTED_VALUE"""),"horizontal")</f>
        <v>horizontal</v>
      </c>
      <c r="C933" s="2" t="str">
        <f>IFERROR(__xludf.DUMMYFUNCTION("""COMPUTED_VALUE"""),"horisontell")</f>
        <v>horisontell</v>
      </c>
      <c r="D933" s="5"/>
      <c r="E933" s="5"/>
      <c r="F933" s="11"/>
      <c r="G933" s="11"/>
    </row>
    <row r="934">
      <c r="A934" s="2" t="str">
        <f>IFERROR(__xludf.DUMMYFUNCTION("""COMPUTED_VALUE"""),"vaakavektori")</f>
        <v>vaakavektori</v>
      </c>
      <c r="B934" s="2" t="str">
        <f>IFERROR(__xludf.DUMMYFUNCTION("""COMPUTED_VALUE"""),"row vector")</f>
        <v>row vector</v>
      </c>
      <c r="C934" s="2" t="str">
        <f>IFERROR(__xludf.DUMMYFUNCTION("""COMPUTED_VALUE"""),"vågrät vektor")</f>
        <v>vågrät vektor</v>
      </c>
      <c r="D934" s="5"/>
      <c r="E934" s="5"/>
      <c r="F934" s="11"/>
      <c r="G934" s="11"/>
    </row>
    <row r="935">
      <c r="A935" s="2" t="str">
        <f>IFERROR(__xludf.DUMMYFUNCTION("""COMPUTED_VALUE"""),"vaihdannaisuus, kommutatiivisuus")</f>
        <v>vaihdannaisuus, kommutatiivisuus</v>
      </c>
      <c r="B935" s="2" t="str">
        <f>IFERROR(__xludf.DUMMYFUNCTION("""COMPUTED_VALUE"""),"commutative law, commutativity")</f>
        <v>commutative law, commutativity</v>
      </c>
      <c r="C935" s="2" t="str">
        <f>IFERROR(__xludf.DUMMYFUNCTION("""COMPUTED_VALUE"""),"kommutativitet")</f>
        <v>kommutativitet</v>
      </c>
      <c r="D935" s="5"/>
      <c r="E935" s="5"/>
      <c r="F935" s="11"/>
      <c r="G935" s="11"/>
    </row>
    <row r="936">
      <c r="A936" s="2" t="str">
        <f>IFERROR(__xludf.DUMMYFUNCTION("""COMPUTED_VALUE"""),"vaihe(kulma)")</f>
        <v>vaihe(kulma)</v>
      </c>
      <c r="B936" s="2" t="str">
        <f>IFERROR(__xludf.DUMMYFUNCTION("""COMPUTED_VALUE"""),"phase")</f>
        <v>phase</v>
      </c>
      <c r="C936" s="2" t="str">
        <f>IFERROR(__xludf.DUMMYFUNCTION("""COMPUTED_VALUE"""),"fas")</f>
        <v>fas</v>
      </c>
      <c r="D936" s="5"/>
      <c r="E936" s="5"/>
      <c r="F936" s="11"/>
      <c r="G936" s="11"/>
    </row>
    <row r="937">
      <c r="A937" s="2" t="str">
        <f>IFERROR(__xludf.DUMMYFUNCTION("""COMPUTED_VALUE"""),"vaihekulma")</f>
        <v>vaihekulma</v>
      </c>
      <c r="B937" s="2" t="str">
        <f>IFERROR(__xludf.DUMMYFUNCTION("""COMPUTED_VALUE"""),"phase angle")</f>
        <v>phase angle</v>
      </c>
      <c r="C937" s="2" t="str">
        <f>IFERROR(__xludf.DUMMYFUNCTION("""COMPUTED_VALUE"""),"fasvinkel")</f>
        <v>fasvinkel</v>
      </c>
      <c r="D937" s="5"/>
      <c r="E937" s="5"/>
      <c r="F937" s="11"/>
      <c r="G937" s="11"/>
    </row>
    <row r="938">
      <c r="A938" s="2" t="str">
        <f>IFERROR(__xludf.DUMMYFUNCTION("""COMPUTED_VALUE"""),"vaihekulma, argumentti (kompleksiluvun)")</f>
        <v>vaihekulma, argumentti (kompleksiluvun)</v>
      </c>
      <c r="B938" s="2" t="str">
        <f>IFERROR(__xludf.DUMMYFUNCTION("""COMPUTED_VALUE"""),"argument")</f>
        <v>argument</v>
      </c>
      <c r="C938" s="2" t="str">
        <f>IFERROR(__xludf.DUMMYFUNCTION("""COMPUTED_VALUE"""),"fasvinkel, argumentet")</f>
        <v>fasvinkel, argumentet</v>
      </c>
      <c r="D938" s="5"/>
      <c r="E938" s="5"/>
      <c r="F938" s="11"/>
      <c r="G938" s="11"/>
    </row>
    <row r="939">
      <c r="A939" s="2" t="str">
        <f>IFERROR(__xludf.DUMMYFUNCTION("""COMPUTED_VALUE"""),"vaimennetut distribuutiot (S')")</f>
        <v>vaimennetut distribuutiot (S')</v>
      </c>
      <c r="B939" s="2" t="str">
        <f>IFERROR(__xludf.DUMMYFUNCTION("""COMPUTED_VALUE"""),"tempered distributions (S')")</f>
        <v>tempered distributions (S')</v>
      </c>
      <c r="C939" s="2"/>
      <c r="D939" s="5"/>
      <c r="E939" s="5"/>
      <c r="F939" s="11"/>
      <c r="G939" s="11"/>
    </row>
    <row r="940">
      <c r="A940" s="2" t="str">
        <f>IFERROR(__xludf.DUMMYFUNCTION("""COMPUTED_VALUE"""),"vakio")</f>
        <v>vakio</v>
      </c>
      <c r="B940" s="2" t="str">
        <f>IFERROR(__xludf.DUMMYFUNCTION("""COMPUTED_VALUE"""),"constant")</f>
        <v>constant</v>
      </c>
      <c r="C940" s="2" t="str">
        <f>IFERROR(__xludf.DUMMYFUNCTION("""COMPUTED_VALUE"""),"konstant")</f>
        <v>konstant</v>
      </c>
      <c r="D940" s="5"/>
      <c r="E940" s="5"/>
      <c r="F940" s="11"/>
      <c r="G940" s="11"/>
    </row>
    <row r="941">
      <c r="A941" s="2" t="str">
        <f>IFERROR(__xludf.DUMMYFUNCTION("""COMPUTED_VALUE"""),"vakioiden variointi")</f>
        <v>vakioiden variointi</v>
      </c>
      <c r="B941" s="2" t="str">
        <f>IFERROR(__xludf.DUMMYFUNCTION("""COMPUTED_VALUE"""),"variation of parameters")</f>
        <v>variation of parameters</v>
      </c>
      <c r="C941" s="2" t="str">
        <f>IFERROR(__xludf.DUMMYFUNCTION("""COMPUTED_VALUE"""),"variation av konstanter")</f>
        <v>variation av konstanter</v>
      </c>
      <c r="D941" s="5"/>
      <c r="E941" s="5"/>
      <c r="F941" s="11"/>
      <c r="G941" s="11"/>
    </row>
    <row r="942">
      <c r="A942" s="2" t="str">
        <f>IFERROR(__xludf.DUMMYFUNCTION("""COMPUTED_VALUE"""),"vakiokertoiminen differentiaaliyhtälö")</f>
        <v>vakiokertoiminen differentiaaliyhtälö</v>
      </c>
      <c r="B942" s="2" t="str">
        <f>IFERROR(__xludf.DUMMYFUNCTION("""COMPUTED_VALUE"""),"differential equation with constant coefficients")</f>
        <v>differential equation with constant coefficients</v>
      </c>
      <c r="C942" s="2" t="str">
        <f>IFERROR(__xludf.DUMMYFUNCTION("""COMPUTED_VALUE"""),"differentialekvation med konstanta koefficienter")</f>
        <v>differentialekvation med konstanta koefficienter</v>
      </c>
      <c r="D942" s="5"/>
      <c r="E942" s="5"/>
      <c r="F942" s="11"/>
      <c r="G942" s="11"/>
    </row>
    <row r="943">
      <c r="A943" s="2" t="str">
        <f>IFERROR(__xludf.DUMMYFUNCTION("""COMPUTED_VALUE"""),"vapaa muuttuja")</f>
        <v>vapaa muuttuja</v>
      </c>
      <c r="B943" s="2" t="str">
        <f>IFERROR(__xludf.DUMMYFUNCTION("""COMPUTED_VALUE"""),"free variable")</f>
        <v>free variable</v>
      </c>
      <c r="C943" s="2" t="str">
        <f>IFERROR(__xludf.DUMMYFUNCTION("""COMPUTED_VALUE"""),"fri variabel")</f>
        <v>fri variabel</v>
      </c>
      <c r="D943" s="5"/>
      <c r="E943" s="5"/>
      <c r="F943" s="11"/>
      <c r="G943" s="11"/>
    </row>
    <row r="944">
      <c r="A944" s="2" t="str">
        <f>IFERROR(__xludf.DUMMYFUNCTION("""COMPUTED_VALUE"""),"vapausaste")</f>
        <v>vapausaste</v>
      </c>
      <c r="B944" s="2" t="str">
        <f>IFERROR(__xludf.DUMMYFUNCTION("""COMPUTED_VALUE"""),"degree of freedom")</f>
        <v>degree of freedom</v>
      </c>
      <c r="C944" s="2" t="str">
        <f>IFERROR(__xludf.DUMMYFUNCTION("""COMPUTED_VALUE"""),"frihetsgrad")</f>
        <v>frihetsgrad</v>
      </c>
      <c r="D944" s="5"/>
      <c r="E944" s="5"/>
      <c r="F944" s="11"/>
      <c r="G944" s="11"/>
    </row>
    <row r="945">
      <c r="A945" s="2" t="str">
        <f>IFERROR(__xludf.DUMMYFUNCTION("""COMPUTED_VALUE"""),"varianssi")</f>
        <v>varianssi</v>
      </c>
      <c r="B945" s="2" t="str">
        <f>IFERROR(__xludf.DUMMYFUNCTION("""COMPUTED_VALUE"""),"variance")</f>
        <v>variance</v>
      </c>
      <c r="C945" s="2" t="str">
        <f>IFERROR(__xludf.DUMMYFUNCTION("""COMPUTED_VALUE"""),"varians")</f>
        <v>varians</v>
      </c>
      <c r="D945" s="5"/>
      <c r="E945" s="5"/>
      <c r="F945" s="11"/>
      <c r="G945" s="11"/>
    </row>
    <row r="946">
      <c r="A946" s="2" t="str">
        <f>IFERROR(__xludf.DUMMYFUNCTION("""COMPUTED_VALUE"""),"vasemmanpuoleinen derivaatta, derivaatta vasemmalta")</f>
        <v>vasemmanpuoleinen derivaatta, derivaatta vasemmalta</v>
      </c>
      <c r="B946" s="2" t="str">
        <f>IFERROR(__xludf.DUMMYFUNCTION("""COMPUTED_VALUE"""),"left derivative")</f>
        <v>left derivative</v>
      </c>
      <c r="C946" s="2" t="str">
        <f>IFERROR(__xludf.DUMMYFUNCTION("""COMPUTED_VALUE"""),"vänster-derivata")</f>
        <v>vänster-derivata</v>
      </c>
      <c r="D946" s="5"/>
      <c r="E946" s="5"/>
      <c r="F946" s="11"/>
      <c r="G946" s="11"/>
    </row>
    <row r="947">
      <c r="A947" s="2" t="str">
        <f>IFERROR(__xludf.DUMMYFUNCTION("""COMPUTED_VALUE"""),"vasemmanpuoleinen käänteismatriisi")</f>
        <v>vasemmanpuoleinen käänteismatriisi</v>
      </c>
      <c r="B947" s="2" t="str">
        <f>IFERROR(__xludf.DUMMYFUNCTION("""COMPUTED_VALUE"""),"left inverse (matrix)")</f>
        <v>left inverse (matrix)</v>
      </c>
      <c r="C947" s="2" t="str">
        <f>IFERROR(__xludf.DUMMYFUNCTION("""COMPUTED_VALUE"""),"vänster invers")</f>
        <v>vänster invers</v>
      </c>
      <c r="D947" s="5"/>
      <c r="E947" s="5"/>
      <c r="F947" s="11"/>
      <c r="G947" s="11"/>
    </row>
    <row r="948">
      <c r="A948" s="2" t="str">
        <f>IFERROR(__xludf.DUMMYFUNCTION("""COMPUTED_VALUE"""),"vasemmanpuoleinen raja-arvo")</f>
        <v>vasemmanpuoleinen raja-arvo</v>
      </c>
      <c r="B948" s="2" t="str">
        <f>IFERROR(__xludf.DUMMYFUNCTION("""COMPUTED_VALUE"""),"left-hand limit, left limit")</f>
        <v>left-hand limit, left limit</v>
      </c>
      <c r="C948" s="2" t="str">
        <f>IFERROR(__xludf.DUMMYFUNCTION("""COMPUTED_VALUE"""),"vänster gränsvärde")</f>
        <v>vänster gränsvärde</v>
      </c>
      <c r="D948" s="5"/>
      <c r="E948" s="5"/>
      <c r="F948" s="11"/>
      <c r="G948" s="11"/>
    </row>
    <row r="949">
      <c r="A949" s="2" t="str">
        <f>IFERROR(__xludf.DUMMYFUNCTION("""COMPUTED_VALUE"""),"vasen ydin")</f>
        <v>vasen ydin</v>
      </c>
      <c r="B949" s="2" t="str">
        <f>IFERROR(__xludf.DUMMYFUNCTION("""COMPUTED_VALUE"""),"left null space")</f>
        <v>left null space</v>
      </c>
      <c r="C949" s="2" t="str">
        <f>IFERROR(__xludf.DUMMYFUNCTION("""COMPUTED_VALUE"""),"vänster kärna")</f>
        <v>vänster kärna</v>
      </c>
      <c r="D949" s="5"/>
      <c r="E949" s="5"/>
      <c r="F949" s="11"/>
      <c r="G949" s="11"/>
    </row>
    <row r="950">
      <c r="A950" s="2" t="str">
        <f>IFERROR(__xludf.DUMMYFUNCTION("""COMPUTED_VALUE"""),"vastakkaissuuntainen")</f>
        <v>vastakkaissuuntainen</v>
      </c>
      <c r="B950" s="2" t="str">
        <f>IFERROR(__xludf.DUMMYFUNCTION("""COMPUTED_VALUE"""),"oppositely directed")</f>
        <v>oppositely directed</v>
      </c>
      <c r="C950" s="2" t="str">
        <f>IFERROR(__xludf.DUMMYFUNCTION("""COMPUTED_VALUE"""),"motsatt riktad")</f>
        <v>motsatt riktad</v>
      </c>
      <c r="D950" s="5"/>
      <c r="E950" s="5"/>
      <c r="F950" s="11"/>
      <c r="G950" s="11"/>
    </row>
    <row r="951">
      <c r="A951" s="2" t="str">
        <f>IFERROR(__xludf.DUMMYFUNCTION("""COMPUTED_VALUE"""),"vastaväite")</f>
        <v>vastaväite</v>
      </c>
      <c r="B951" s="2" t="str">
        <f>IFERROR(__xludf.DUMMYFUNCTION("""COMPUTED_VALUE"""),"contraposition")</f>
        <v>contraposition</v>
      </c>
      <c r="C951" s="2" t="str">
        <f>IFERROR(__xludf.DUMMYFUNCTION("""COMPUTED_VALUE"""),"motargument")</f>
        <v>motargument</v>
      </c>
      <c r="D951" s="5"/>
      <c r="E951" s="5"/>
      <c r="F951" s="11"/>
      <c r="G951" s="11"/>
    </row>
    <row r="952">
      <c r="A952" s="2" t="str">
        <f>IFERROR(__xludf.DUMMYFUNCTION("""COMPUTED_VALUE"""),"vastus")</f>
        <v>vastus</v>
      </c>
      <c r="B952" s="2" t="str">
        <f>IFERROR(__xludf.DUMMYFUNCTION("""COMPUTED_VALUE"""),"resistance")</f>
        <v>resistance</v>
      </c>
      <c r="C952" s="2" t="str">
        <f>IFERROR(__xludf.DUMMYFUNCTION("""COMPUTED_VALUE"""),"motstånd, resistans")</f>
        <v>motstånd, resistans</v>
      </c>
      <c r="D952" s="5"/>
      <c r="E952" s="5"/>
      <c r="F952" s="11"/>
      <c r="G952" s="11"/>
    </row>
    <row r="953">
      <c r="A953" s="2" t="str">
        <f>IFERROR(__xludf.DUMMYFUNCTION("""COMPUTED_VALUE"""),"vauhti")</f>
        <v>vauhti</v>
      </c>
      <c r="B953" s="2" t="str">
        <f>IFERROR(__xludf.DUMMYFUNCTION("""COMPUTED_VALUE"""),"speed")</f>
        <v>speed</v>
      </c>
      <c r="C953" s="2" t="str">
        <f>IFERROR(__xludf.DUMMYFUNCTION("""COMPUTED_VALUE"""),"fart")</f>
        <v>fart</v>
      </c>
      <c r="D953" s="5"/>
      <c r="E953" s="5"/>
      <c r="F953" s="11"/>
      <c r="G953" s="11"/>
    </row>
    <row r="954">
      <c r="A954" s="2" t="str">
        <f>IFERROR(__xludf.DUMMYFUNCTION("""COMPUTED_VALUE"""),"vektori")</f>
        <v>vektori</v>
      </c>
      <c r="B954" s="2" t="str">
        <f>IFERROR(__xludf.DUMMYFUNCTION("""COMPUTED_VALUE"""),"vector")</f>
        <v>vector</v>
      </c>
      <c r="C954" s="2" t="str">
        <f>IFERROR(__xludf.DUMMYFUNCTION("""COMPUTED_VALUE"""),"vektor")</f>
        <v>vektor</v>
      </c>
      <c r="D954" s="5"/>
      <c r="E954" s="5"/>
      <c r="F954" s="11"/>
      <c r="G954" s="11"/>
    </row>
    <row r="955">
      <c r="A955" s="2" t="str">
        <f>IFERROR(__xludf.DUMMYFUNCTION("""COMPUTED_VALUE"""),"vektoriavaruus, lineaariavaruus")</f>
        <v>vektoriavaruus, lineaariavaruus</v>
      </c>
      <c r="B955" s="2" t="str">
        <f>IFERROR(__xludf.DUMMYFUNCTION("""COMPUTED_VALUE"""),"linear space, vector space")</f>
        <v>linear space, vector space</v>
      </c>
      <c r="C955" s="2" t="str">
        <f>IFERROR(__xludf.DUMMYFUNCTION("""COMPUTED_VALUE"""),"linjärt rum")</f>
        <v>linjärt rum</v>
      </c>
      <c r="D955" s="5"/>
      <c r="E955" s="5"/>
      <c r="F955" s="11"/>
      <c r="G955" s="11"/>
    </row>
    <row r="956">
      <c r="A956" s="2" t="str">
        <f>IFERROR(__xludf.DUMMYFUNCTION("""COMPUTED_VALUE"""),"vektoriavaruus, lineaariavaruus")</f>
        <v>vektoriavaruus, lineaariavaruus</v>
      </c>
      <c r="B956" s="2" t="str">
        <f>IFERROR(__xludf.DUMMYFUNCTION("""COMPUTED_VALUE"""),"vector space, linear space")</f>
        <v>vector space, linear space</v>
      </c>
      <c r="C956" s="2" t="str">
        <f>IFERROR(__xludf.DUMMYFUNCTION("""COMPUTED_VALUE"""),"vektorrum")</f>
        <v>vektorrum</v>
      </c>
      <c r="D956" s="5"/>
      <c r="E956" s="5"/>
      <c r="F956" s="11"/>
      <c r="G956" s="11"/>
    </row>
    <row r="957">
      <c r="A957" s="2" t="str">
        <f>IFERROR(__xludf.DUMMYFUNCTION("""COMPUTED_VALUE"""),"vektorikenttä")</f>
        <v>vektorikenttä</v>
      </c>
      <c r="B957" s="2" t="str">
        <f>IFERROR(__xludf.DUMMYFUNCTION("""COMPUTED_VALUE"""),"vector field")</f>
        <v>vector field</v>
      </c>
      <c r="C957" s="2" t="str">
        <f>IFERROR(__xludf.DUMMYFUNCTION("""COMPUTED_VALUE"""),"vektorfält")</f>
        <v>vektorfält</v>
      </c>
      <c r="D957" s="5"/>
      <c r="E957" s="5"/>
      <c r="F957" s="11"/>
      <c r="G957" s="11"/>
    </row>
    <row r="958">
      <c r="A958" s="2" t="str">
        <f>IFERROR(__xludf.DUMMYFUNCTION("""COMPUTED_VALUE"""),"vektoriprojektio")</f>
        <v>vektoriprojektio</v>
      </c>
      <c r="B958" s="2" t="str">
        <f>IFERROR(__xludf.DUMMYFUNCTION("""COMPUTED_VALUE"""),"vector projection")</f>
        <v>vector projection</v>
      </c>
      <c r="C958" s="2" t="str">
        <f>IFERROR(__xludf.DUMMYFUNCTION("""COMPUTED_VALUE"""),"vektorprojektion")</f>
        <v>vektorprojektion</v>
      </c>
      <c r="D958" s="5"/>
      <c r="E958" s="5"/>
      <c r="F958" s="11"/>
      <c r="G958" s="11"/>
    </row>
    <row r="959">
      <c r="A959" s="2" t="str">
        <f>IFERROR(__xludf.DUMMYFUNCTION("""COMPUTED_VALUE"""),"verho, verhokäyrä (käyräparven)")</f>
        <v>verho, verhokäyrä (käyräparven)</v>
      </c>
      <c r="B959" s="2" t="str">
        <f>IFERROR(__xludf.DUMMYFUNCTION("""COMPUTED_VALUE"""),"envelope")</f>
        <v>envelope</v>
      </c>
      <c r="C959" s="2" t="str">
        <f>IFERROR(__xludf.DUMMYFUNCTION("""COMPUTED_VALUE"""),"envelopp")</f>
        <v>envelopp</v>
      </c>
      <c r="D959" s="5"/>
      <c r="E959" s="5"/>
      <c r="F959" s="11"/>
      <c r="G959" s="11"/>
    </row>
    <row r="960">
      <c r="A960" s="2" t="str">
        <f>IFERROR(__xludf.DUMMYFUNCTION("""COMPUTED_VALUE"""),"vertailutesti")</f>
        <v>vertailutesti</v>
      </c>
      <c r="B960" s="2" t="str">
        <f>IFERROR(__xludf.DUMMYFUNCTION("""COMPUTED_VALUE"""),"comparison test")</f>
        <v>comparison test</v>
      </c>
      <c r="C960" s="2" t="str">
        <f>IFERROR(__xludf.DUMMYFUNCTION("""COMPUTED_VALUE"""),"jämförelsetest")</f>
        <v>jämförelsetest</v>
      </c>
      <c r="D960" s="5"/>
      <c r="E960" s="5"/>
      <c r="F960" s="11"/>
      <c r="G960" s="11"/>
    </row>
    <row r="961">
      <c r="A961" s="2" t="str">
        <f>IFERROR(__xludf.DUMMYFUNCTION("""COMPUTED_VALUE"""),"vetovoima, attraktio")</f>
        <v>vetovoima, attraktio</v>
      </c>
      <c r="B961" s="2" t="str">
        <f>IFERROR(__xludf.DUMMYFUNCTION("""COMPUTED_VALUE"""),"attraction")</f>
        <v>attraction</v>
      </c>
      <c r="C961" s="2" t="str">
        <f>IFERROR(__xludf.DUMMYFUNCTION("""COMPUTED_VALUE"""),"dragningskraft, attraktion")</f>
        <v>dragningskraft, attraktion</v>
      </c>
      <c r="D961" s="5"/>
      <c r="E961" s="5"/>
      <c r="F961" s="11"/>
      <c r="G961" s="11"/>
    </row>
    <row r="962">
      <c r="A962" s="2" t="str">
        <f>IFERROR(__xludf.DUMMYFUNCTION("""COMPUTED_VALUE"""),"viivaintegraali")</f>
        <v>viivaintegraali</v>
      </c>
      <c r="B962" s="2" t="str">
        <f>IFERROR(__xludf.DUMMYFUNCTION("""COMPUTED_VALUE"""),"line integral")</f>
        <v>line integral</v>
      </c>
      <c r="C962" s="2" t="str">
        <f>IFERROR(__xludf.DUMMYFUNCTION("""COMPUTED_VALUE"""),"kurvintegral")</f>
        <v>kurvintegral</v>
      </c>
      <c r="D962" s="5"/>
      <c r="E962" s="5"/>
      <c r="F962" s="11"/>
      <c r="G962" s="11"/>
    </row>
    <row r="963">
      <c r="A963" s="2" t="str">
        <f>IFERROR(__xludf.DUMMYFUNCTION("""COMPUTED_VALUE"""),"vinosymmetrinen")</f>
        <v>vinosymmetrinen</v>
      </c>
      <c r="B963" s="2" t="str">
        <f>IFERROR(__xludf.DUMMYFUNCTION("""COMPUTED_VALUE"""),"skew-symmetric")</f>
        <v>skew-symmetric</v>
      </c>
      <c r="C963" s="2" t="str">
        <f>IFERROR(__xludf.DUMMYFUNCTION("""COMPUTED_VALUE"""),"skevsymmetrisk")</f>
        <v>skevsymmetrisk</v>
      </c>
      <c r="D963" s="5"/>
      <c r="E963" s="5"/>
      <c r="F963" s="11"/>
      <c r="G963" s="11"/>
    </row>
    <row r="964">
      <c r="A964" s="2" t="str">
        <f>IFERROR(__xludf.DUMMYFUNCTION("""COMPUTED_VALUE"""),"virhe")</f>
        <v>virhe</v>
      </c>
      <c r="B964" s="2" t="str">
        <f>IFERROR(__xludf.DUMMYFUNCTION("""COMPUTED_VALUE"""),"error")</f>
        <v>error</v>
      </c>
      <c r="C964" s="2" t="str">
        <f>IFERROR(__xludf.DUMMYFUNCTION("""COMPUTED_VALUE"""),"fel")</f>
        <v>fel</v>
      </c>
      <c r="D964" s="5"/>
      <c r="E964" s="5"/>
      <c r="F964" s="11"/>
      <c r="G964" s="11"/>
    </row>
    <row r="965">
      <c r="A965" s="2" t="str">
        <f>IFERROR(__xludf.DUMMYFUNCTION("""COMPUTED_VALUE"""),"virhearvio")</f>
        <v>virhearvio</v>
      </c>
      <c r="B965" s="2" t="str">
        <f>IFERROR(__xludf.DUMMYFUNCTION("""COMPUTED_VALUE"""),"error estimate")</f>
        <v>error estimate</v>
      </c>
      <c r="C965" s="2" t="str">
        <f>IFERROR(__xludf.DUMMYFUNCTION("""COMPUTED_VALUE"""),"felestimat")</f>
        <v>felestimat</v>
      </c>
      <c r="D965" s="5"/>
      <c r="E965" s="5"/>
      <c r="F965" s="11"/>
      <c r="G965" s="11"/>
    </row>
    <row r="966">
      <c r="A966" s="2" t="str">
        <f>IFERROR(__xludf.DUMMYFUNCTION("""COMPUTED_VALUE"""),"viritelmä")</f>
        <v>viritelmä</v>
      </c>
      <c r="B966" s="2" t="str">
        <f>IFERROR(__xludf.DUMMYFUNCTION("""COMPUTED_VALUE"""),"span")</f>
        <v>span</v>
      </c>
      <c r="C966" s="2" t="str">
        <f>IFERROR(__xludf.DUMMYFUNCTION("""COMPUTED_VALUE"""),"linjärt hölje")</f>
        <v>linjärt hölje</v>
      </c>
      <c r="D966" s="5"/>
      <c r="E966" s="5"/>
      <c r="F966" s="11"/>
      <c r="G966" s="11"/>
    </row>
    <row r="967">
      <c r="A967" s="2" t="str">
        <f>IFERROR(__xludf.DUMMYFUNCTION("""COMPUTED_VALUE"""),"virittää; generoida")</f>
        <v>virittää; generoida</v>
      </c>
      <c r="B967" s="2" t="str">
        <f>IFERROR(__xludf.DUMMYFUNCTION("""COMPUTED_VALUE"""),"generate")</f>
        <v>generate</v>
      </c>
      <c r="C967" s="2" t="str">
        <f>IFERROR(__xludf.DUMMYFUNCTION("""COMPUTED_VALUE"""),"alstra, generera")</f>
        <v>alstra, generera</v>
      </c>
      <c r="D967" s="5"/>
      <c r="E967" s="5"/>
      <c r="F967" s="11"/>
      <c r="G967" s="11"/>
    </row>
    <row r="968">
      <c r="A968" s="2" t="str">
        <f>IFERROR(__xludf.DUMMYFUNCTION("""COMPUTED_VALUE"""),"vuo")</f>
        <v>vuo</v>
      </c>
      <c r="B968" s="2" t="str">
        <f>IFERROR(__xludf.DUMMYFUNCTION("""COMPUTED_VALUE"""),"flux, flow")</f>
        <v>flux, flow</v>
      </c>
      <c r="C968" s="2" t="str">
        <f>IFERROR(__xludf.DUMMYFUNCTION("""COMPUTED_VALUE"""),"flöd")</f>
        <v>flöd</v>
      </c>
      <c r="D968" s="5"/>
      <c r="E968" s="5"/>
      <c r="F968" s="11"/>
      <c r="G968" s="11"/>
    </row>
    <row r="969">
      <c r="A969" s="2" t="str">
        <f>IFERROR(__xludf.DUMMYFUNCTION("""COMPUTED_VALUE"""),"vuorotteleva sarja")</f>
        <v>vuorotteleva sarja</v>
      </c>
      <c r="B969" s="2" t="str">
        <f>IFERROR(__xludf.DUMMYFUNCTION("""COMPUTED_VALUE"""),"alternating series")</f>
        <v>alternating series</v>
      </c>
      <c r="C969" s="2" t="str">
        <f>IFERROR(__xludf.DUMMYFUNCTION("""COMPUTED_VALUE"""),"alternerande serie")</f>
        <v>alternerande serie</v>
      </c>
      <c r="D969" s="5"/>
      <c r="E969" s="5"/>
      <c r="F969" s="11"/>
      <c r="G969" s="11"/>
    </row>
    <row r="970">
      <c r="A970" s="2" t="str">
        <f>IFERROR(__xludf.DUMMYFUNCTION("""COMPUTED_VALUE"""),"vähenevä")</f>
        <v>vähenevä</v>
      </c>
      <c r="B970" s="2" t="str">
        <f>IFERROR(__xludf.DUMMYFUNCTION("""COMPUTED_VALUE"""),"non-increasing, decreasing")</f>
        <v>non-increasing, decreasing</v>
      </c>
      <c r="C970" s="2" t="str">
        <f>IFERROR(__xludf.DUMMYFUNCTION("""COMPUTED_VALUE"""),"avtagande")</f>
        <v>avtagande</v>
      </c>
      <c r="D970" s="5"/>
      <c r="E970" s="5"/>
      <c r="F970" s="11"/>
      <c r="G970" s="11"/>
    </row>
    <row r="971">
      <c r="A971" s="2" t="str">
        <f>IFERROR(__xludf.DUMMYFUNCTION("""COMPUTED_VALUE"""),"vähenevä; aidosti vähenevä")</f>
        <v>vähenevä; aidosti vähenevä</v>
      </c>
      <c r="B971" s="2" t="str">
        <f>IFERROR(__xludf.DUMMYFUNCTION("""COMPUTED_VALUE"""),"decreasing")</f>
        <v>decreasing</v>
      </c>
      <c r="C971" s="2" t="str">
        <f>IFERROR(__xludf.DUMMYFUNCTION("""COMPUTED_VALUE"""),"minskande")</f>
        <v>minskande</v>
      </c>
      <c r="D971" s="5"/>
      <c r="E971" s="5"/>
      <c r="F971" s="11"/>
      <c r="G971" s="11"/>
    </row>
    <row r="972">
      <c r="A972" s="2" t="str">
        <f>IFERROR(__xludf.DUMMYFUNCTION("""COMPUTED_VALUE"""),"väli")</f>
        <v>väli</v>
      </c>
      <c r="B972" s="2" t="str">
        <f>IFERROR(__xludf.DUMMYFUNCTION("""COMPUTED_VALUE"""),"interval")</f>
        <v>interval</v>
      </c>
      <c r="C972" s="2" t="str">
        <f>IFERROR(__xludf.DUMMYFUNCTION("""COMPUTED_VALUE"""),"intervall")</f>
        <v>intervall</v>
      </c>
      <c r="D972" s="5"/>
      <c r="E972" s="5"/>
      <c r="F972" s="11"/>
      <c r="G972" s="11"/>
    </row>
    <row r="973">
      <c r="A973" s="2" t="str">
        <f>IFERROR(__xludf.DUMMYFUNCTION("""COMPUTED_VALUE"""),"väliarvolause")</f>
        <v>väliarvolause</v>
      </c>
      <c r="B973" s="2" t="str">
        <f>IFERROR(__xludf.DUMMYFUNCTION("""COMPUTED_VALUE"""),"mean value theorem")</f>
        <v>mean value theorem</v>
      </c>
      <c r="C973" s="2" t="str">
        <f>IFERROR(__xludf.DUMMYFUNCTION("""COMPUTED_VALUE"""),"medelvärdes satsen")</f>
        <v>medelvärdes satsen</v>
      </c>
      <c r="D973" s="5"/>
      <c r="E973" s="5"/>
      <c r="F973" s="11"/>
      <c r="G973" s="11"/>
    </row>
    <row r="974">
      <c r="A974" s="2" t="str">
        <f>IFERROR(__xludf.DUMMYFUNCTION("""COMPUTED_VALUE"""),"välttämätön")</f>
        <v>välttämätön</v>
      </c>
      <c r="B974" s="2" t="str">
        <f>IFERROR(__xludf.DUMMYFUNCTION("""COMPUTED_VALUE"""),"necessary")</f>
        <v>necessary</v>
      </c>
      <c r="C974" s="2" t="str">
        <f>IFERROR(__xludf.DUMMYFUNCTION("""COMPUTED_VALUE"""),"nödvändig")</f>
        <v>nödvändig</v>
      </c>
      <c r="D974" s="5"/>
      <c r="E974" s="5"/>
      <c r="F974" s="11"/>
      <c r="G974" s="11"/>
    </row>
    <row r="975">
      <c r="A975" s="2" t="str">
        <f>IFERROR(__xludf.DUMMYFUNCTION("""COMPUTED_VALUE"""),"Wronskin determinantti")</f>
        <v>Wronskin determinantti</v>
      </c>
      <c r="B975" s="2" t="str">
        <f>IFERROR(__xludf.DUMMYFUNCTION("""COMPUTED_VALUE"""),"Wronskian")</f>
        <v>Wronskian</v>
      </c>
      <c r="C975" s="2" t="str">
        <f>IFERROR(__xludf.DUMMYFUNCTION("""COMPUTED_VALUE"""),"Wronskis determinant")</f>
        <v>Wronskis determinant</v>
      </c>
      <c r="D975" s="5"/>
      <c r="E975" s="5"/>
      <c r="F975" s="11"/>
      <c r="G975" s="11"/>
    </row>
    <row r="976">
      <c r="A976" s="2" t="str">
        <f>IFERROR(__xludf.DUMMYFUNCTION("""COMPUTED_VALUE"""),"ydin")</f>
        <v>ydin</v>
      </c>
      <c r="B976" s="2" t="str">
        <f>IFERROR(__xludf.DUMMYFUNCTION("""COMPUTED_VALUE"""),"kernel, null space")</f>
        <v>kernel, null space</v>
      </c>
      <c r="C976" s="2" t="str">
        <f>IFERROR(__xludf.DUMMYFUNCTION("""COMPUTED_VALUE"""),"kärnan, nollrummet")</f>
        <v>kärnan, nollrummet</v>
      </c>
      <c r="D976" s="5"/>
      <c r="E976" s="5"/>
      <c r="F976" s="11"/>
      <c r="G976" s="11"/>
    </row>
    <row r="977">
      <c r="A977" s="2" t="str">
        <f>IFERROR(__xludf.DUMMYFUNCTION("""COMPUTED_VALUE"""),"ydin")</f>
        <v>ydin</v>
      </c>
      <c r="B977" s="2" t="str">
        <f>IFERROR(__xludf.DUMMYFUNCTION("""COMPUTED_VALUE"""),"null space, kernel")</f>
        <v>null space, kernel</v>
      </c>
      <c r="C977" s="2" t="str">
        <f>IFERROR(__xludf.DUMMYFUNCTION("""COMPUTED_VALUE"""),"kärna")</f>
        <v>kärna</v>
      </c>
      <c r="D977" s="5"/>
      <c r="E977" s="5"/>
      <c r="F977" s="11"/>
      <c r="G977" s="11"/>
    </row>
    <row r="978">
      <c r="A978" s="2" t="str">
        <f>IFERROR(__xludf.DUMMYFUNCTION("""COMPUTED_VALUE"""),"yhden pisteen kompaktisointi")</f>
        <v>yhden pisteen kompaktisointi</v>
      </c>
      <c r="B978" s="2" t="str">
        <f>IFERROR(__xludf.DUMMYFUNCTION("""COMPUTED_VALUE"""),"one-point compactification")</f>
        <v>one-point compactification</v>
      </c>
      <c r="C978" s="2" t="str">
        <f>IFERROR(__xludf.DUMMYFUNCTION("""COMPUTED_VALUE"""),"-")</f>
        <v>-</v>
      </c>
      <c r="D978" s="5"/>
      <c r="E978" s="5"/>
      <c r="F978" s="11"/>
      <c r="G978" s="11"/>
    </row>
    <row r="979">
      <c r="A979" s="2" t="str">
        <f>IFERROR(__xludf.DUMMYFUNCTION("""COMPUTED_VALUE"""),"yhdensuuntainen; rinnakkainen")</f>
        <v>yhdensuuntainen; rinnakkainen</v>
      </c>
      <c r="B979" s="2" t="str">
        <f>IFERROR(__xludf.DUMMYFUNCTION("""COMPUTED_VALUE"""),"parallel")</f>
        <v>parallel</v>
      </c>
      <c r="C979" s="2" t="str">
        <f>IFERROR(__xludf.DUMMYFUNCTION("""COMPUTED_VALUE"""),"parallell")</f>
        <v>parallell</v>
      </c>
      <c r="D979" s="5"/>
      <c r="E979" s="5"/>
      <c r="F979" s="11"/>
      <c r="G979" s="11"/>
    </row>
    <row r="980">
      <c r="A980" s="2" t="str">
        <f>IFERROR(__xludf.DUMMYFUNCTION("""COMPUTED_VALUE"""),"yhdesti yhtenäinen")</f>
        <v>yhdesti yhtenäinen</v>
      </c>
      <c r="B980" s="2" t="str">
        <f>IFERROR(__xludf.DUMMYFUNCTION("""COMPUTED_VALUE"""),"simply connected")</f>
        <v>simply connected</v>
      </c>
      <c r="C980" s="2" t="str">
        <f>IFERROR(__xludf.DUMMYFUNCTION("""COMPUTED_VALUE"""),"enkelt sammanhängande")</f>
        <v>enkelt sammanhängande</v>
      </c>
      <c r="D980" s="5"/>
      <c r="E980" s="5"/>
      <c r="F980" s="11"/>
      <c r="G980" s="11"/>
    </row>
    <row r="981">
      <c r="A981" s="2" t="str">
        <f>IFERROR(__xludf.DUMMYFUNCTION("""COMPUTED_VALUE"""),"yhdiste")</f>
        <v>yhdiste</v>
      </c>
      <c r="B981" s="2" t="str">
        <f>IFERROR(__xludf.DUMMYFUNCTION("""COMPUTED_VALUE"""),"union")</f>
        <v>union</v>
      </c>
      <c r="C981" s="2" t="str">
        <f>IFERROR(__xludf.DUMMYFUNCTION("""COMPUTED_VALUE"""),"union")</f>
        <v>union</v>
      </c>
      <c r="D981" s="5"/>
      <c r="E981" s="5"/>
      <c r="F981" s="11"/>
      <c r="G981" s="11"/>
    </row>
    <row r="982">
      <c r="A982" s="2" t="str">
        <f>IFERROR(__xludf.DUMMYFUNCTION("""COMPUTED_VALUE"""),"yhdistetty kuvaus (fog)")</f>
        <v>yhdistetty kuvaus (fog)</v>
      </c>
      <c r="B982" s="2" t="str">
        <f>IFERROR(__xludf.DUMMYFUNCTION("""COMPUTED_VALUE"""),"composite mapping")</f>
        <v>composite mapping</v>
      </c>
      <c r="C982" s="2" t="str">
        <f>IFERROR(__xludf.DUMMYFUNCTION("""COMPUTED_VALUE"""),"sammansatt avbildning")</f>
        <v>sammansatt avbildning</v>
      </c>
      <c r="D982" s="5"/>
      <c r="E982" s="5"/>
      <c r="F982" s="11"/>
      <c r="G982" s="11"/>
    </row>
    <row r="983">
      <c r="A983" s="2" t="str">
        <f>IFERROR(__xludf.DUMMYFUNCTION("""COMPUTED_VALUE"""),"yhteenlasku")</f>
        <v>yhteenlasku</v>
      </c>
      <c r="B983" s="2" t="str">
        <f>IFERROR(__xludf.DUMMYFUNCTION("""COMPUTED_VALUE"""),"addition")</f>
        <v>addition</v>
      </c>
      <c r="C983" s="2" t="str">
        <f>IFERROR(__xludf.DUMMYFUNCTION("""COMPUTED_VALUE"""),"addition")</f>
        <v>addition</v>
      </c>
      <c r="D983" s="5"/>
      <c r="E983" s="5"/>
      <c r="F983" s="11"/>
      <c r="G983" s="11"/>
    </row>
    <row r="984">
      <c r="A984" s="2" t="str">
        <f>IFERROR(__xludf.DUMMYFUNCTION("""COMPUTED_VALUE"""),"yhteensopiva, konsistentti")</f>
        <v>yhteensopiva, konsistentti</v>
      </c>
      <c r="B984" s="2" t="str">
        <f>IFERROR(__xludf.DUMMYFUNCTION("""COMPUTED_VALUE"""),"consistent")</f>
        <v>consistent</v>
      </c>
      <c r="C984" s="2" t="str">
        <f>IFERROR(__xludf.DUMMYFUNCTION("""COMPUTED_VALUE"""),"konsistent")</f>
        <v>konsistent</v>
      </c>
      <c r="D984" s="5"/>
      <c r="E984" s="5"/>
      <c r="F984" s="11"/>
      <c r="G984" s="11"/>
    </row>
    <row r="985">
      <c r="A985" s="2" t="str">
        <f>IFERROR(__xludf.DUMMYFUNCTION("""COMPUTED_VALUE"""),"yhtenäinen")</f>
        <v>yhtenäinen</v>
      </c>
      <c r="B985" s="2" t="str">
        <f>IFERROR(__xludf.DUMMYFUNCTION("""COMPUTED_VALUE"""),"connected")</f>
        <v>connected</v>
      </c>
      <c r="C985" s="2" t="str">
        <f>IFERROR(__xludf.DUMMYFUNCTION("""COMPUTED_VALUE"""),"sammanhängande")</f>
        <v>sammanhängande</v>
      </c>
      <c r="D985" s="5"/>
      <c r="E985" s="5"/>
      <c r="F985" s="11"/>
      <c r="G985" s="11"/>
    </row>
    <row r="986">
      <c r="A986" s="2" t="str">
        <f>IFERROR(__xludf.DUMMYFUNCTION("""COMPUTED_VALUE"""),"yhtäjatkuva (1. pisteittäin 2. tasaisesti)")</f>
        <v>yhtäjatkuva (1. pisteittäin 2. tasaisesti)</v>
      </c>
      <c r="B986" s="2" t="str">
        <f>IFERROR(__xludf.DUMMYFUNCTION("""COMPUTED_VALUE"""),"equicontinuous")</f>
        <v>equicontinuous</v>
      </c>
      <c r="C986" s="2" t="str">
        <f>IFERROR(__xludf.DUMMYFUNCTION("""COMPUTED_VALUE"""),"-")</f>
        <v>-</v>
      </c>
      <c r="D986" s="5"/>
      <c r="E986" s="5"/>
      <c r="F986" s="11"/>
      <c r="G986" s="11"/>
    </row>
    <row r="987">
      <c r="A987" s="2" t="str">
        <f>IFERROR(__xludf.DUMMYFUNCTION("""COMPUTED_VALUE"""),"yhtälö")</f>
        <v>yhtälö</v>
      </c>
      <c r="B987" s="2" t="str">
        <f>IFERROR(__xludf.DUMMYFUNCTION("""COMPUTED_VALUE"""),"equation")</f>
        <v>equation</v>
      </c>
      <c r="C987" s="2" t="str">
        <f>IFERROR(__xludf.DUMMYFUNCTION("""COMPUTED_VALUE"""),"ekvation")</f>
        <v>ekvation</v>
      </c>
      <c r="D987" s="5"/>
      <c r="E987" s="5"/>
      <c r="F987" s="11"/>
      <c r="G987" s="11"/>
    </row>
    <row r="988">
      <c r="A988" s="2" t="str">
        <f>IFERROR(__xludf.DUMMYFUNCTION("""COMPUTED_VALUE"""),"yhtälöryhmä")</f>
        <v>yhtälöryhmä</v>
      </c>
      <c r="B988" s="2" t="str">
        <f>IFERROR(__xludf.DUMMYFUNCTION("""COMPUTED_VALUE"""),"system of equations")</f>
        <v>system of equations</v>
      </c>
      <c r="C988" s="2" t="str">
        <f>IFERROR(__xludf.DUMMYFUNCTION("""COMPUTED_VALUE"""),"ekvationssystem")</f>
        <v>ekvationssystem</v>
      </c>
      <c r="D988" s="5"/>
      <c r="E988" s="5"/>
      <c r="F988" s="11"/>
      <c r="G988" s="11"/>
    </row>
    <row r="989">
      <c r="A989" s="2" t="str">
        <f>IFERROR(__xludf.DUMMYFUNCTION("""COMPUTED_VALUE"""),"ykkönen")</f>
        <v>ykkönen</v>
      </c>
      <c r="B989" s="2" t="str">
        <f>IFERROR(__xludf.DUMMYFUNCTION("""COMPUTED_VALUE"""),"unity")</f>
        <v>unity</v>
      </c>
      <c r="C989" s="2" t="str">
        <f>IFERROR(__xludf.DUMMYFUNCTION("""COMPUTED_VALUE"""),"enhet")</f>
        <v>enhet</v>
      </c>
      <c r="D989" s="5"/>
      <c r="E989" s="5"/>
      <c r="F989" s="11"/>
      <c r="G989" s="11"/>
    </row>
    <row r="990">
      <c r="A990" s="2" t="str">
        <f>IFERROR(__xludf.DUMMYFUNCTION("""COMPUTED_VALUE"""),"ykkösen ositus, yksikön ositus")</f>
        <v>ykkösen ositus, yksikön ositus</v>
      </c>
      <c r="B990" s="2" t="str">
        <f>IFERROR(__xludf.DUMMYFUNCTION("""COMPUTED_VALUE"""),"partition of unity")</f>
        <v>partition of unity</v>
      </c>
      <c r="C990" s="2" t="str">
        <f>IFERROR(__xludf.DUMMYFUNCTION("""COMPUTED_VALUE"""),"-")</f>
        <v>-</v>
      </c>
      <c r="D990" s="5"/>
      <c r="E990" s="5"/>
      <c r="F990" s="11"/>
      <c r="G990" s="11"/>
    </row>
    <row r="991">
      <c r="A991" s="2" t="str">
        <f>IFERROR(__xludf.DUMMYFUNCTION("""COMPUTED_VALUE"""),"ykkösenjuuri")</f>
        <v>ykkösenjuuri</v>
      </c>
      <c r="B991" s="2" t="str">
        <f>IFERROR(__xludf.DUMMYFUNCTION("""COMPUTED_VALUE"""),"root of unity")</f>
        <v>root of unity</v>
      </c>
      <c r="C991" s="2" t="str">
        <f>IFERROR(__xludf.DUMMYFUNCTION("""COMPUTED_VALUE"""),"-")</f>
        <v>-</v>
      </c>
      <c r="D991" s="5"/>
      <c r="E991" s="5"/>
      <c r="F991" s="11"/>
      <c r="G991" s="11"/>
    </row>
    <row r="992">
      <c r="A992" s="2" t="str">
        <f>IFERROR(__xludf.DUMMYFUNCTION("""COMPUTED_VALUE"""),"yksikkö (alkio jolla on käänteisalkio)")</f>
        <v>yksikkö (alkio jolla on käänteisalkio)</v>
      </c>
      <c r="B992" s="2" t="str">
        <f>IFERROR(__xludf.DUMMYFUNCTION("""COMPUTED_VALUE"""),"unit, unit element")</f>
        <v>unit, unit element</v>
      </c>
      <c r="C992" s="2" t="str">
        <f>IFERROR(__xludf.DUMMYFUNCTION("""COMPUTED_VALUE"""),"enhet")</f>
        <v>enhet</v>
      </c>
      <c r="D992" s="5"/>
      <c r="E992" s="5"/>
      <c r="F992" s="11"/>
      <c r="G992" s="11"/>
    </row>
    <row r="993">
      <c r="A993" s="2" t="str">
        <f>IFERROR(__xludf.DUMMYFUNCTION("""COMPUTED_VALUE"""),"yksikkö (mittayksikkö; renkaan)")</f>
        <v>yksikkö (mittayksikkö; renkaan)</v>
      </c>
      <c r="B993" s="2" t="str">
        <f>IFERROR(__xludf.DUMMYFUNCTION("""COMPUTED_VALUE"""),"unit")</f>
        <v>unit</v>
      </c>
      <c r="C993" s="2" t="str">
        <f>IFERROR(__xludf.DUMMYFUNCTION("""COMPUTED_VALUE"""),"enhet")</f>
        <v>enhet</v>
      </c>
      <c r="D993" s="5"/>
      <c r="E993" s="5"/>
      <c r="F993" s="11"/>
      <c r="G993" s="11"/>
    </row>
    <row r="994">
      <c r="A994" s="2" t="str">
        <f>IFERROR(__xludf.DUMMYFUNCTION("""COMPUTED_VALUE"""),"yksikkökuutio")</f>
        <v>yksikkökuutio</v>
      </c>
      <c r="B994" s="2" t="str">
        <f>IFERROR(__xludf.DUMMYFUNCTION("""COMPUTED_VALUE"""),"unit cube")</f>
        <v>unit cube</v>
      </c>
      <c r="C994" s="2" t="str">
        <f>IFERROR(__xludf.DUMMYFUNCTION("""COMPUTED_VALUE"""),"enhetskub")</f>
        <v>enhetskub</v>
      </c>
      <c r="D994" s="5"/>
      <c r="E994" s="5"/>
      <c r="F994" s="11"/>
      <c r="G994" s="11"/>
    </row>
    <row r="995">
      <c r="A995" s="2" t="str">
        <f>IFERROR(__xludf.DUMMYFUNCTION("""COMPUTED_VALUE"""),"yksikkönormaalivektori")</f>
        <v>yksikkönormaalivektori</v>
      </c>
      <c r="B995" s="2" t="str">
        <f>IFERROR(__xludf.DUMMYFUNCTION("""COMPUTED_VALUE"""),"unit normal (vector)")</f>
        <v>unit normal (vector)</v>
      </c>
      <c r="C995" s="2" t="str">
        <f>IFERROR(__xludf.DUMMYFUNCTION("""COMPUTED_VALUE"""),"normalriktad enhetsvektor")</f>
        <v>normalriktad enhetsvektor</v>
      </c>
      <c r="D995" s="5"/>
      <c r="E995" s="5"/>
      <c r="F995" s="11"/>
      <c r="G995" s="11"/>
    </row>
    <row r="996">
      <c r="A996" s="2" t="str">
        <f>IFERROR(__xludf.DUMMYFUNCTION("""COMPUTED_VALUE"""),"yksikköpallo")</f>
        <v>yksikköpallo</v>
      </c>
      <c r="B996" s="2" t="str">
        <f>IFERROR(__xludf.DUMMYFUNCTION("""COMPUTED_VALUE"""),"unit ball")</f>
        <v>unit ball</v>
      </c>
      <c r="C996" s="2" t="str">
        <f>IFERROR(__xludf.DUMMYFUNCTION("""COMPUTED_VALUE"""),"enhetsklot")</f>
        <v>enhetsklot</v>
      </c>
      <c r="D996" s="5"/>
      <c r="E996" s="5"/>
      <c r="F996" s="11"/>
      <c r="G996" s="11"/>
    </row>
    <row r="997">
      <c r="A997" s="2" t="str">
        <f>IFERROR(__xludf.DUMMYFUNCTION("""COMPUTED_VALUE"""),"yksikkösivunormaalivektori")</f>
        <v>yksikkösivunormaalivektori</v>
      </c>
      <c r="B997" s="2" t="str">
        <f>IFERROR(__xludf.DUMMYFUNCTION("""COMPUTED_VALUE"""),"unit binormal (vector)")</f>
        <v>unit binormal (vector)</v>
      </c>
      <c r="C997" s="2" t="str">
        <f>IFERROR(__xludf.DUMMYFUNCTION("""COMPUTED_VALUE"""),"-")</f>
        <v>-</v>
      </c>
      <c r="D997" s="5"/>
      <c r="E997" s="5"/>
      <c r="F997" s="11"/>
      <c r="G997" s="11"/>
    </row>
    <row r="998">
      <c r="A998" s="2" t="str">
        <f>IFERROR(__xludf.DUMMYFUNCTION("""COMPUTED_VALUE"""),"yksikkötangenttivektori")</f>
        <v>yksikkötangenttivektori</v>
      </c>
      <c r="B998" s="2" t="str">
        <f>IFERROR(__xludf.DUMMYFUNCTION("""COMPUTED_VALUE"""),"unit tangent vector")</f>
        <v>unit tangent vector</v>
      </c>
      <c r="C998" s="2" t="str">
        <f>IFERROR(__xludf.DUMMYFUNCTION("""COMPUTED_VALUE"""),"tangentiell enhetsvektor")</f>
        <v>tangentiell enhetsvektor</v>
      </c>
      <c r="D998" s="5"/>
      <c r="E998" s="5"/>
      <c r="F998" s="11"/>
      <c r="G998" s="11"/>
    </row>
    <row r="999">
      <c r="A999" s="2" t="str">
        <f>IFERROR(__xludf.DUMMYFUNCTION("""COMPUTED_VALUE"""),"yksikkövektori")</f>
        <v>yksikkövektori</v>
      </c>
      <c r="B999" s="2" t="str">
        <f>IFERROR(__xludf.DUMMYFUNCTION("""COMPUTED_VALUE"""),"unit vector")</f>
        <v>unit vector</v>
      </c>
      <c r="C999" s="2" t="str">
        <f>IFERROR(__xludf.DUMMYFUNCTION("""COMPUTED_VALUE"""),"enhetsvektor")</f>
        <v>enhetsvektor</v>
      </c>
      <c r="D999" s="5"/>
      <c r="E999" s="5"/>
      <c r="F999" s="11"/>
      <c r="G999" s="11"/>
    </row>
    <row r="1000">
      <c r="A1000" s="2" t="str">
        <f>IFERROR(__xludf.DUMMYFUNCTION("""COMPUTED_VALUE"""),"yksikköympyrä")</f>
        <v>yksikköympyrä</v>
      </c>
      <c r="B1000" s="2" t="str">
        <f>IFERROR(__xludf.DUMMYFUNCTION("""COMPUTED_VALUE"""),"unit circle")</f>
        <v>unit circle</v>
      </c>
      <c r="C1000" s="2" t="str">
        <f>IFERROR(__xludf.DUMMYFUNCTION("""COMPUTED_VALUE"""),"enhetssfär")</f>
        <v>enhetssfär</v>
      </c>
      <c r="D1000" s="5"/>
      <c r="E1000" s="5"/>
      <c r="F1000" s="11"/>
      <c r="G1000" s="11"/>
    </row>
    <row r="1001">
      <c r="A1001" s="2" t="str">
        <f>IFERROR(__xludf.DUMMYFUNCTION("""COMPUTED_VALUE"""),"yksikäsitteinen")</f>
        <v>yksikäsitteinen</v>
      </c>
      <c r="B1001" s="2" t="str">
        <f>IFERROR(__xludf.DUMMYFUNCTION("""COMPUTED_VALUE"""),"unique")</f>
        <v>unique</v>
      </c>
      <c r="C1001" s="2" t="str">
        <f>IFERROR(__xludf.DUMMYFUNCTION("""COMPUTED_VALUE"""),"entydig")</f>
        <v>entydig</v>
      </c>
      <c r="D1001" s="5"/>
      <c r="E1001" s="5"/>
      <c r="F1001" s="11"/>
      <c r="G1001" s="11"/>
    </row>
    <row r="1002">
      <c r="A1002" s="2" t="str">
        <f>IFERROR(__xludf.DUMMYFUNCTION("""COMPUTED_VALUE"""),"yksikäsitteisyys")</f>
        <v>yksikäsitteisyys</v>
      </c>
      <c r="B1002" s="2" t="str">
        <f>IFERROR(__xludf.DUMMYFUNCTION("""COMPUTED_VALUE"""),"uniqueness")</f>
        <v>uniqueness</v>
      </c>
      <c r="C1002" s="2" t="str">
        <f>IFERROR(__xludf.DUMMYFUNCTION("""COMPUTED_VALUE"""),"entydighet")</f>
        <v>entydighet</v>
      </c>
      <c r="D1002" s="5"/>
      <c r="E1002" s="5"/>
      <c r="F1002" s="11"/>
      <c r="G1002" s="11"/>
    </row>
    <row r="1003">
      <c r="A1003" s="2" t="str">
        <f>IFERROR(__xludf.DUMMYFUNCTION("""COMPUTED_VALUE"""),"yksinkertainen funktio")</f>
        <v>yksinkertainen funktio</v>
      </c>
      <c r="B1003" s="2" t="str">
        <f>IFERROR(__xludf.DUMMYFUNCTION("""COMPUTED_VALUE"""),"simple function")</f>
        <v>simple function</v>
      </c>
      <c r="C1003" s="2" t="str">
        <f>IFERROR(__xludf.DUMMYFUNCTION("""COMPUTED_VALUE"""),"enkel funktion")</f>
        <v>enkel funktion</v>
      </c>
      <c r="D1003" s="5"/>
      <c r="E1003" s="5"/>
      <c r="F1003" s="11"/>
      <c r="G1003" s="11"/>
    </row>
    <row r="1004">
      <c r="A1004" s="2" t="str">
        <f>IFERROR(__xludf.DUMMYFUNCTION("""COMPUTED_VALUE"""),"yksiö")</f>
        <v>yksiö</v>
      </c>
      <c r="B1004" s="2" t="str">
        <f>IFERROR(__xludf.DUMMYFUNCTION("""COMPUTED_VALUE"""),"singleton")</f>
        <v>singleton</v>
      </c>
      <c r="C1004" s="2" t="str">
        <f>IFERROR(__xludf.DUMMYFUNCTION("""COMPUTED_VALUE"""),"-")</f>
        <v>-</v>
      </c>
      <c r="D1004" s="5"/>
      <c r="E1004" s="5"/>
      <c r="F1004" s="11"/>
      <c r="G1004" s="11"/>
    </row>
    <row r="1005">
      <c r="A1005" s="2" t="str">
        <f>IFERROR(__xludf.DUMMYFUNCTION("""COMPUTED_VALUE"""),"yleistetty väliarvolause")</f>
        <v>yleistetty väliarvolause</v>
      </c>
      <c r="B1005" s="2" t="str">
        <f>IFERROR(__xludf.DUMMYFUNCTION("""COMPUTED_VALUE"""),"intermediate value theorem")</f>
        <v>intermediate value theorem</v>
      </c>
      <c r="C1005" s="2" t="str">
        <f>IFERROR(__xludf.DUMMYFUNCTION("""COMPUTED_VALUE"""),"-")</f>
        <v>-</v>
      </c>
      <c r="D1005" s="5"/>
      <c r="E1005" s="5"/>
      <c r="F1005" s="11"/>
      <c r="G1005" s="11"/>
    </row>
    <row r="1006">
      <c r="A1006" s="2" t="str">
        <f>IFERROR(__xludf.DUMMYFUNCTION("""COMPUTED_VALUE"""),"yleistys")</f>
        <v>yleistys</v>
      </c>
      <c r="B1006" s="2" t="str">
        <f>IFERROR(__xludf.DUMMYFUNCTION("""COMPUTED_VALUE"""),"generalization")</f>
        <v>generalization</v>
      </c>
      <c r="C1006" s="2" t="str">
        <f>IFERROR(__xludf.DUMMYFUNCTION("""COMPUTED_VALUE"""),"generalisering")</f>
        <v>generalisering</v>
      </c>
      <c r="D1006" s="5"/>
      <c r="E1006" s="5"/>
      <c r="F1006" s="11"/>
      <c r="G1006" s="11"/>
    </row>
    <row r="1007">
      <c r="A1007" s="2" t="str">
        <f>IFERROR(__xludf.DUMMYFUNCTION("""COMPUTED_VALUE"""),"ylhäältä puolijatkuva, ylöspäin puolijatkuva")</f>
        <v>ylhäältä puolijatkuva, ylöspäin puolijatkuva</v>
      </c>
      <c r="B1007" s="2" t="str">
        <f>IFERROR(__xludf.DUMMYFUNCTION("""COMPUTED_VALUE"""),"upper semicontinuous")</f>
        <v>upper semicontinuous</v>
      </c>
      <c r="C1007" s="2" t="str">
        <f>IFERROR(__xludf.DUMMYFUNCTION("""COMPUTED_VALUE"""),"oavanifrån semikontinuerlig")</f>
        <v>oavanifrån semikontinuerlig</v>
      </c>
      <c r="D1007" s="5"/>
      <c r="E1007" s="5"/>
      <c r="F1007" s="11"/>
      <c r="G1007" s="11"/>
    </row>
    <row r="1008">
      <c r="A1008" s="2" t="str">
        <f>IFERROR(__xludf.DUMMYFUNCTION("""COMPUTED_VALUE"""),"ylhäältä rajoitettu (resp. alh., below)+B316")</f>
        <v>ylhäältä rajoitettu (resp. alh., below)+B316</v>
      </c>
      <c r="B1008" s="2" t="str">
        <f>IFERROR(__xludf.DUMMYFUNCTION("""COMPUTED_VALUE"""),"bounded above")</f>
        <v>bounded above</v>
      </c>
      <c r="C1008" s="2" t="str">
        <f>IFERROR(__xludf.DUMMYFUNCTION("""COMPUTED_VALUE"""),"ovanifrån begränsad")</f>
        <v>ovanifrån begränsad</v>
      </c>
      <c r="D1008" s="5"/>
      <c r="E1008" s="5"/>
      <c r="F1008" s="11"/>
      <c r="G1008" s="11"/>
    </row>
    <row r="1009">
      <c r="A1009" s="2" t="str">
        <f>IFERROR(__xludf.DUMMYFUNCTION("""COMPUTED_VALUE"""),"ylijoukko")</f>
        <v>ylijoukko</v>
      </c>
      <c r="B1009" s="2" t="str">
        <f>IFERROR(__xludf.DUMMYFUNCTION("""COMPUTED_VALUE"""),"superset")</f>
        <v>superset</v>
      </c>
      <c r="C1009" s="2" t="str">
        <f>IFERROR(__xludf.DUMMYFUNCTION("""COMPUTED_VALUE"""),"-")</f>
        <v>-</v>
      </c>
      <c r="D1009" s="5"/>
      <c r="E1009" s="5"/>
      <c r="F1009" s="11"/>
      <c r="G1009" s="11"/>
    </row>
    <row r="1010">
      <c r="A1010" s="2" t="str">
        <f>IFERROR(__xludf.DUMMYFUNCTION("""COMPUTED_VALUE"""),"ylinumeroituva")</f>
        <v>ylinumeroituva</v>
      </c>
      <c r="B1010" s="2" t="str">
        <f>IFERROR(__xludf.DUMMYFUNCTION("""COMPUTED_VALUE"""),"uncountable")</f>
        <v>uncountable</v>
      </c>
      <c r="C1010" s="2" t="str">
        <f>IFERROR(__xludf.DUMMYFUNCTION("""COMPUTED_VALUE"""),"icke-uppräknelig")</f>
        <v>icke-uppräknelig</v>
      </c>
      <c r="D1010" s="5"/>
      <c r="E1010" s="5"/>
      <c r="F1010" s="11"/>
      <c r="G1010" s="11"/>
    </row>
    <row r="1011">
      <c r="A1011" s="2" t="str">
        <f>IFERROR(__xludf.DUMMYFUNCTION("""COMPUTED_VALUE"""),"ylirelaksaatiomenetelmä")</f>
        <v>ylirelaksaatiomenetelmä</v>
      </c>
      <c r="B1011" s="2" t="str">
        <f>IFERROR(__xludf.DUMMYFUNCTION("""COMPUTED_VALUE"""),"successive overrelaxation")</f>
        <v>successive overrelaxation</v>
      </c>
      <c r="C1011" s="2" t="str">
        <f>IFERROR(__xludf.DUMMYFUNCTION("""COMPUTED_VALUE"""),"överrelaxationsmetoden")</f>
        <v>överrelaxationsmetoden</v>
      </c>
      <c r="D1011" s="5"/>
      <c r="E1011" s="5"/>
      <c r="F1011" s="11"/>
      <c r="G1011" s="11"/>
    </row>
    <row r="1012">
      <c r="A1012" s="2" t="str">
        <f>IFERROR(__xludf.DUMMYFUNCTION("""COMPUTED_VALUE"""),"yläkolmiomatriisi")</f>
        <v>yläkolmiomatriisi</v>
      </c>
      <c r="B1012" s="2" t="str">
        <f>IFERROR(__xludf.DUMMYFUNCTION("""COMPUTED_VALUE"""),"upper triangular matrix")</f>
        <v>upper triangular matrix</v>
      </c>
      <c r="C1012" s="2" t="str">
        <f>IFERROR(__xludf.DUMMYFUNCTION("""COMPUTED_VALUE"""),"övertriangulär matris")</f>
        <v>övertriangulär matris</v>
      </c>
      <c r="D1012" s="5"/>
      <c r="E1012" s="5"/>
      <c r="F1012" s="11"/>
      <c r="G1012" s="11"/>
    </row>
    <row r="1013">
      <c r="A1013" s="2" t="str">
        <f>IFERROR(__xludf.DUMMYFUNCTION("""COMPUTED_VALUE"""),"yläraja")</f>
        <v>yläraja</v>
      </c>
      <c r="B1013" s="2" t="str">
        <f>IFERROR(__xludf.DUMMYFUNCTION("""COMPUTED_VALUE"""),"upper bound")</f>
        <v>upper bound</v>
      </c>
      <c r="C1013" s="2" t="str">
        <f>IFERROR(__xludf.DUMMYFUNCTION("""COMPUTED_VALUE"""),"övre gräns")</f>
        <v>övre gräns</v>
      </c>
      <c r="D1013" s="5"/>
      <c r="E1013" s="5"/>
      <c r="F1013" s="11"/>
      <c r="G1013" s="11"/>
    </row>
    <row r="1014">
      <c r="A1014" s="2" t="str">
        <f>IFERROR(__xludf.DUMMYFUNCTION("""COMPUTED_VALUE"""),"yläraja-arvo (limsup)")</f>
        <v>yläraja-arvo (limsup)</v>
      </c>
      <c r="B1014" s="2" t="str">
        <f>IFERROR(__xludf.DUMMYFUNCTION("""COMPUTED_VALUE"""),"limes superior")</f>
        <v>limes superior</v>
      </c>
      <c r="C1014" s="2" t="str">
        <f>IFERROR(__xludf.DUMMYFUNCTION("""COMPUTED_VALUE"""),"övre gränsvärde")</f>
        <v>övre gränsvärde</v>
      </c>
      <c r="D1014" s="5"/>
      <c r="E1014" s="5"/>
      <c r="F1014" s="11"/>
      <c r="G1014" s="11"/>
    </row>
    <row r="1015">
      <c r="A1015" s="2" t="str">
        <f>IFERROR(__xludf.DUMMYFUNCTION("""COMPUTED_VALUE"""),"ympyrä")</f>
        <v>ympyrä</v>
      </c>
      <c r="B1015" s="2" t="str">
        <f>IFERROR(__xludf.DUMMYFUNCTION("""COMPUTED_VALUE"""),"circle")</f>
        <v>circle</v>
      </c>
      <c r="C1015" s="2" t="str">
        <f>IFERROR(__xludf.DUMMYFUNCTION("""COMPUTED_VALUE"""),"cirkel")</f>
        <v>cirkel</v>
      </c>
      <c r="D1015" s="5"/>
      <c r="E1015" s="5"/>
      <c r="F1015" s="11"/>
      <c r="G1015" s="11"/>
    </row>
    <row r="1016">
      <c r="A1016" s="2" t="str">
        <f>IFERROR(__xludf.DUMMYFUNCTION("""COMPUTED_VALUE"""),"ympyräruuvikierre")</f>
        <v>ympyräruuvikierre</v>
      </c>
      <c r="B1016" s="2" t="str">
        <f>IFERROR(__xludf.DUMMYFUNCTION("""COMPUTED_VALUE"""),"circular helix")</f>
        <v>circular helix</v>
      </c>
      <c r="C1016" s="2" t="str">
        <f>IFERROR(__xludf.DUMMYFUNCTION("""COMPUTED_VALUE"""),"rund skruvlinje, spiral")</f>
        <v>rund skruvlinje, spiral</v>
      </c>
      <c r="D1016" s="5"/>
      <c r="E1016" s="5"/>
      <c r="F1016" s="11"/>
      <c r="G1016" s="11"/>
    </row>
    <row r="1017">
      <c r="A1017" s="2" t="str">
        <f>IFERROR(__xludf.DUMMYFUNCTION("""COMPUTED_VALUE"""),"ympäri piirretty ympyrä")</f>
        <v>ympäri piirretty ympyrä</v>
      </c>
      <c r="B1017" s="2" t="str">
        <f>IFERROR(__xludf.DUMMYFUNCTION("""COMPUTED_VALUE"""),"outscribed circle")</f>
        <v>outscribed circle</v>
      </c>
      <c r="C1017" s="2" t="str">
        <f>IFERROR(__xludf.DUMMYFUNCTION("""COMPUTED_VALUE"""),"omskriven cirkel")</f>
        <v>omskriven cirkel</v>
      </c>
      <c r="D1017" s="5"/>
      <c r="E1017" s="5"/>
      <c r="F1017" s="11"/>
      <c r="G1017" s="11"/>
    </row>
    <row r="1018">
      <c r="A1018" s="2" t="str">
        <f>IFERROR(__xludf.DUMMYFUNCTION("""COMPUTED_VALUE"""),"ympäristö")</f>
        <v>ympäristö</v>
      </c>
      <c r="B1018" s="2" t="str">
        <f>IFERROR(__xludf.DUMMYFUNCTION("""COMPUTED_VALUE"""),"neighborhood")</f>
        <v>neighborhood</v>
      </c>
      <c r="C1018" s="2" t="str">
        <f>IFERROR(__xludf.DUMMYFUNCTION("""COMPUTED_VALUE"""),"omgivning")</f>
        <v>omgivning</v>
      </c>
      <c r="D1018" s="5"/>
      <c r="E1018" s="5"/>
      <c r="F1018" s="11"/>
      <c r="G1018" s="11"/>
    </row>
    <row r="1019">
      <c r="A1019" s="2" t="str">
        <f>IFERROR(__xludf.DUMMYFUNCTION("""COMPUTED_VALUE"""),"ympäristökanta")</f>
        <v>ympäristökanta</v>
      </c>
      <c r="B1019" s="2" t="str">
        <f>IFERROR(__xludf.DUMMYFUNCTION("""COMPUTED_VALUE"""),"fundamental system of neighborhoods")</f>
        <v>fundamental system of neighborhoods</v>
      </c>
      <c r="C1019" s="2" t="str">
        <f>IFERROR(__xludf.DUMMYFUNCTION("""COMPUTED_VALUE"""),"-")</f>
        <v>-</v>
      </c>
      <c r="D1019" s="5"/>
      <c r="E1019" s="5"/>
      <c r="F1019" s="11"/>
      <c r="G1019" s="11"/>
    </row>
    <row r="1020">
      <c r="A1020" s="2" t="str">
        <f>IFERROR(__xludf.DUMMYFUNCTION("""COMPUTED_VALUE"""),"ympäristökanta")</f>
        <v>ympäristökanta</v>
      </c>
      <c r="B1020" s="2" t="str">
        <f>IFERROR(__xludf.DUMMYFUNCTION("""COMPUTED_VALUE"""),"local basis")</f>
        <v>local basis</v>
      </c>
      <c r="C1020" s="2" t="str">
        <f>IFERROR(__xludf.DUMMYFUNCTION("""COMPUTED_VALUE"""),"-")</f>
        <v>-</v>
      </c>
      <c r="D1020" s="5"/>
      <c r="E1020" s="5"/>
      <c r="F1020" s="11"/>
      <c r="G1020" s="11"/>
    </row>
    <row r="1021">
      <c r="A1021" s="2" t="str">
        <f>IFERROR(__xludf.DUMMYFUNCTION("""COMPUTED_VALUE"""),"ympäristökanta")</f>
        <v>ympäristökanta</v>
      </c>
      <c r="B1021" s="2" t="str">
        <f>IFERROR(__xludf.DUMMYFUNCTION("""COMPUTED_VALUE"""),"neighborhood basis")</f>
        <v>neighborhood basis</v>
      </c>
      <c r="C1021" s="2" t="str">
        <f>IFERROR(__xludf.DUMMYFUNCTION("""COMPUTED_VALUE"""),"omgivningsbas")</f>
        <v>omgivningsbas</v>
      </c>
      <c r="D1021" s="5"/>
      <c r="E1021" s="5"/>
      <c r="F1021" s="11"/>
      <c r="G1021" s="11"/>
    </row>
    <row r="1022">
      <c r="A1022" s="2" t="str">
        <f>IFERROR(__xludf.DUMMYFUNCTION("""COMPUTED_VALUE"""),"ympärysmitta")</f>
        <v>ympärysmitta</v>
      </c>
      <c r="B1022" s="2" t="str">
        <f>IFERROR(__xludf.DUMMYFUNCTION("""COMPUTED_VALUE"""),"circumference")</f>
        <v>circumference</v>
      </c>
      <c r="C1022" s="2" t="str">
        <f>IFERROR(__xludf.DUMMYFUNCTION("""COMPUTED_VALUE"""),"omkrets")</f>
        <v>omkrets</v>
      </c>
      <c r="D1022" s="5"/>
      <c r="E1022" s="5"/>
      <c r="F1022" s="11"/>
      <c r="G1022" s="11"/>
    </row>
    <row r="1023">
      <c r="A1023" s="2" t="str">
        <f>IFERROR(__xludf.DUMMYFUNCTION("""COMPUTED_VALUE"""),"ännäkkö, n-jono")</f>
        <v>ännäkkö, n-jono</v>
      </c>
      <c r="B1023" s="2" t="str">
        <f>IFERROR(__xludf.DUMMYFUNCTION("""COMPUTED_VALUE"""),"n-tuple")</f>
        <v>n-tuple</v>
      </c>
      <c r="C1023" s="2" t="str">
        <f>IFERROR(__xludf.DUMMYFUNCTION("""COMPUTED_VALUE"""),"n-tippel")</f>
        <v>n-tippel</v>
      </c>
      <c r="D1023" s="5"/>
      <c r="E1023" s="5"/>
      <c r="F1023" s="11"/>
      <c r="G1023" s="11"/>
    </row>
    <row r="1024">
      <c r="A1024" s="2" t="str">
        <f>IFERROR(__xludf.DUMMYFUNCTION("""COMPUTED_VALUE"""),"äärellinen")</f>
        <v>äärellinen</v>
      </c>
      <c r="B1024" s="2" t="str">
        <f>IFERROR(__xludf.DUMMYFUNCTION("""COMPUTED_VALUE"""),"finite")</f>
        <v>finite</v>
      </c>
      <c r="C1024" s="2" t="str">
        <f>IFERROR(__xludf.DUMMYFUNCTION("""COMPUTED_VALUE"""),"ändlig")</f>
        <v>ändlig</v>
      </c>
      <c r="D1024" s="5"/>
      <c r="E1024" s="5"/>
      <c r="F1024" s="11"/>
      <c r="G1024" s="11"/>
    </row>
    <row r="1025">
      <c r="A1025" s="2" t="str">
        <f>IFERROR(__xludf.DUMMYFUNCTION("""COMPUTED_VALUE"""),"äärellisarvoinen")</f>
        <v>äärellisarvoinen</v>
      </c>
      <c r="B1025" s="2" t="str">
        <f>IFERROR(__xludf.DUMMYFUNCTION("""COMPUTED_VALUE"""),"finitely-valued")</f>
        <v>finitely-valued</v>
      </c>
      <c r="C1025" s="2" t="str">
        <f>IFERROR(__xludf.DUMMYFUNCTION("""COMPUTED_VALUE"""),"ändlig")</f>
        <v>ändlig</v>
      </c>
      <c r="D1025" s="5"/>
      <c r="E1025" s="5"/>
      <c r="F1025" s="11"/>
      <c r="G1025" s="11"/>
    </row>
    <row r="1026">
      <c r="A1026" s="2" t="str">
        <f>IFERROR(__xludf.DUMMYFUNCTION("""COMPUTED_VALUE"""),"ääretön (adj.)")</f>
        <v>ääretön (adj.)</v>
      </c>
      <c r="B1026" s="2" t="str">
        <f>IFERROR(__xludf.DUMMYFUNCTION("""COMPUTED_VALUE"""),"infinite")</f>
        <v>infinite</v>
      </c>
      <c r="C1026" s="2" t="str">
        <f>IFERROR(__xludf.DUMMYFUNCTION("""COMPUTED_VALUE"""),"oändlig")</f>
        <v>oändlig</v>
      </c>
      <c r="D1026" s="5"/>
      <c r="E1026" s="5"/>
      <c r="F1026" s="11"/>
      <c r="G1026" s="11"/>
    </row>
    <row r="1027">
      <c r="A1027" s="2" t="str">
        <f>IFERROR(__xludf.DUMMYFUNCTION("""COMPUTED_VALUE"""),"ääretön (subst.)")</f>
        <v>ääretön (subst.)</v>
      </c>
      <c r="B1027" s="2" t="str">
        <f>IFERROR(__xludf.DUMMYFUNCTION("""COMPUTED_VALUE"""),"infinity")</f>
        <v>infinity</v>
      </c>
      <c r="C1027" s="2" t="str">
        <f>IFERROR(__xludf.DUMMYFUNCTION("""COMPUTED_VALUE"""),"oändlighet")</f>
        <v>oändlighet</v>
      </c>
      <c r="D1027" s="5"/>
      <c r="E1027" s="5"/>
      <c r="F1027" s="11"/>
      <c r="G1027" s="11"/>
    </row>
    <row r="1028">
      <c r="A1028" s="2" t="str">
        <f>IFERROR(__xludf.DUMMYFUNCTION("""COMPUTED_VALUE"""),"ääriarvo")</f>
        <v>ääriarvo</v>
      </c>
      <c r="B1028" s="2" t="str">
        <f>IFERROR(__xludf.DUMMYFUNCTION("""COMPUTED_VALUE"""),"extremum, extreme value")</f>
        <v>extremum, extreme value</v>
      </c>
      <c r="C1028" s="2" t="str">
        <f>IFERROR(__xludf.DUMMYFUNCTION("""COMPUTED_VALUE"""),"extremvärde")</f>
        <v>extremvärde</v>
      </c>
      <c r="D1028" s="5"/>
      <c r="E1028" s="5"/>
      <c r="F1028" s="11"/>
      <c r="G1028" s="11"/>
    </row>
    <row r="1029">
      <c r="A1029" s="2" t="str">
        <f>IFERROR(__xludf.DUMMYFUNCTION("""COMPUTED_VALUE"""),"ääriarvopiste")</f>
        <v>ääriarvopiste</v>
      </c>
      <c r="B1029" s="2" t="str">
        <f>IFERROR(__xludf.DUMMYFUNCTION("""COMPUTED_VALUE"""),"extremum point, extreme point")</f>
        <v>extremum point, extreme point</v>
      </c>
      <c r="C1029" s="2" t="str">
        <f>IFERROR(__xludf.DUMMYFUNCTION("""COMPUTED_VALUE"""),"extrempunkt")</f>
        <v>extrempunkt</v>
      </c>
      <c r="D1029" s="5"/>
      <c r="E1029" s="5"/>
      <c r="F1029" s="11"/>
      <c r="G1029" s="11"/>
    </row>
    <row r="1030">
      <c r="A1030" s="2"/>
      <c r="B1030" s="2"/>
      <c r="C1030" s="2"/>
      <c r="D1030" s="5"/>
      <c r="E1030" s="5"/>
    </row>
    <row r="1031">
      <c r="A1031" s="2"/>
      <c r="B1031" s="2"/>
      <c r="C1031" s="2"/>
      <c r="D1031" s="5"/>
      <c r="E1031" s="5"/>
    </row>
    <row r="1032">
      <c r="A1032" s="2"/>
      <c r="B1032" s="2"/>
      <c r="C1032" s="2"/>
      <c r="D1032" s="5"/>
      <c r="E1032" s="5"/>
    </row>
    <row r="1033">
      <c r="A1033" s="2"/>
      <c r="B1033" s="2"/>
      <c r="C1033" s="2"/>
      <c r="D1033" s="5"/>
      <c r="E1033" s="5"/>
    </row>
    <row r="1034">
      <c r="A1034" s="2"/>
      <c r="B1034" s="2"/>
      <c r="C1034" s="2"/>
      <c r="D1034" s="5"/>
      <c r="E1034" s="5"/>
    </row>
    <row r="1035">
      <c r="A1035" s="2"/>
      <c r="B1035" s="2"/>
      <c r="C1035" s="2"/>
      <c r="D1035" s="5"/>
      <c r="E1035" s="5"/>
    </row>
    <row r="1036">
      <c r="A1036" s="2"/>
      <c r="B1036" s="2"/>
      <c r="C1036" s="2"/>
      <c r="D1036" s="5"/>
      <c r="E1036" s="5"/>
    </row>
    <row r="1037">
      <c r="A1037" s="2"/>
      <c r="B1037" s="2"/>
      <c r="C1037" s="2"/>
      <c r="D1037" s="5"/>
      <c r="E1037" s="5"/>
    </row>
    <row r="1038">
      <c r="A1038" s="2"/>
      <c r="B1038" s="2"/>
      <c r="C1038" s="2"/>
      <c r="D1038" s="5"/>
      <c r="E1038" s="5"/>
    </row>
    <row r="1039">
      <c r="A1039" s="2"/>
      <c r="B1039" s="2"/>
      <c r="C1039" s="2"/>
      <c r="D1039" s="5"/>
      <c r="E1039" s="5"/>
    </row>
    <row r="1040">
      <c r="A1040" s="2"/>
      <c r="B1040" s="2"/>
      <c r="C1040" s="2"/>
      <c r="D1040" s="5"/>
      <c r="E1040" s="5"/>
    </row>
    <row r="1041">
      <c r="A1041" s="2"/>
      <c r="B1041" s="2"/>
      <c r="C1041" s="2"/>
      <c r="D1041" s="5"/>
      <c r="E1041" s="5"/>
    </row>
    <row r="1042">
      <c r="A1042" s="2"/>
      <c r="B1042" s="2"/>
      <c r="C1042" s="2"/>
      <c r="D1042" s="5"/>
      <c r="E1042" s="5"/>
    </row>
    <row r="1043">
      <c r="A1043" s="2"/>
      <c r="B1043" s="2"/>
      <c r="C1043" s="2"/>
      <c r="D1043" s="5"/>
      <c r="E1043" s="5"/>
    </row>
    <row r="1044">
      <c r="A1044" s="2"/>
      <c r="B1044" s="2"/>
      <c r="C1044" s="2"/>
      <c r="D1044" s="5"/>
      <c r="E1044" s="5"/>
    </row>
    <row r="1045">
      <c r="A1045" s="2"/>
      <c r="B1045" s="2"/>
      <c r="C1045" s="2"/>
      <c r="D1045" s="5"/>
      <c r="E1045" s="5"/>
    </row>
    <row r="1046">
      <c r="A1046" s="2"/>
      <c r="B1046" s="2"/>
      <c r="C1046" s="2"/>
      <c r="D1046" s="5"/>
      <c r="E1046" s="5"/>
    </row>
    <row r="1047">
      <c r="A1047" s="2"/>
      <c r="B1047" s="2"/>
      <c r="C1047" s="2"/>
      <c r="D1047" s="5"/>
      <c r="E1047" s="5"/>
    </row>
    <row r="1048">
      <c r="A1048" s="2"/>
      <c r="B1048" s="2"/>
      <c r="C1048" s="2"/>
      <c r="D1048" s="5"/>
      <c r="E1048" s="5"/>
    </row>
    <row r="1049">
      <c r="A1049" s="2"/>
      <c r="B1049" s="2"/>
      <c r="C1049" s="2"/>
      <c r="D1049" s="5"/>
      <c r="E1049" s="5"/>
    </row>
    <row r="1050">
      <c r="A1050" s="2"/>
      <c r="B1050" s="2"/>
      <c r="C1050" s="2"/>
      <c r="D1050" s="5"/>
      <c r="E1050" s="5"/>
    </row>
    <row r="1051">
      <c r="A1051" s="2"/>
      <c r="B1051" s="2"/>
      <c r="C1051" s="2"/>
      <c r="D1051" s="5"/>
      <c r="E1051" s="5"/>
    </row>
    <row r="1052">
      <c r="A1052" s="2"/>
      <c r="B1052" s="2"/>
      <c r="C1052" s="2"/>
      <c r="D1052" s="5"/>
      <c r="E1052" s="5"/>
    </row>
    <row r="1053">
      <c r="A1053" s="2"/>
      <c r="B1053" s="2"/>
      <c r="C1053" s="2"/>
      <c r="D1053" s="5"/>
      <c r="E1053" s="5"/>
    </row>
    <row r="1054">
      <c r="A1054" s="2"/>
      <c r="B1054" s="2"/>
      <c r="C1054" s="2"/>
      <c r="D1054" s="5"/>
      <c r="E1054" s="5"/>
    </row>
    <row r="1055">
      <c r="A1055" s="2"/>
      <c r="B1055" s="2"/>
      <c r="C1055" s="2"/>
      <c r="D1055" s="5"/>
      <c r="E1055" s="5"/>
    </row>
    <row r="1056">
      <c r="A1056" s="2"/>
      <c r="B1056" s="2"/>
      <c r="C1056" s="2"/>
      <c r="D1056" s="5"/>
      <c r="E1056" s="5"/>
    </row>
    <row r="1057">
      <c r="A1057" s="2"/>
      <c r="B1057" s="2"/>
      <c r="C1057" s="2"/>
      <c r="D1057" s="5"/>
      <c r="E1057" s="5"/>
    </row>
    <row r="1058">
      <c r="A1058" s="2"/>
      <c r="B1058" s="2"/>
      <c r="C1058" s="2"/>
      <c r="D1058" s="5"/>
      <c r="E1058" s="5"/>
    </row>
    <row r="1059">
      <c r="A1059" s="2"/>
      <c r="B1059" s="2"/>
      <c r="C1059" s="2"/>
      <c r="D1059" s="5"/>
      <c r="E1059" s="5"/>
    </row>
    <row r="1060">
      <c r="A1060" s="2"/>
      <c r="B1060" s="2"/>
      <c r="C1060" s="2"/>
      <c r="D1060" s="5"/>
      <c r="E1060" s="5"/>
    </row>
    <row r="1061">
      <c r="A1061" s="2"/>
      <c r="B1061" s="2"/>
      <c r="C1061" s="2"/>
      <c r="D1061" s="5"/>
      <c r="E1061" s="5"/>
    </row>
    <row r="1062">
      <c r="A1062" s="2"/>
      <c r="B1062" s="2"/>
      <c r="C1062" s="2"/>
      <c r="D1062" s="5"/>
      <c r="E1062" s="5"/>
    </row>
    <row r="1063">
      <c r="A1063" s="2"/>
      <c r="B1063" s="2"/>
      <c r="C1063" s="2"/>
      <c r="D1063" s="5"/>
      <c r="E1063" s="5"/>
    </row>
    <row r="1064">
      <c r="A1064" s="2"/>
      <c r="B1064" s="2"/>
      <c r="C1064" s="2"/>
      <c r="D1064" s="5"/>
      <c r="E1064" s="5"/>
    </row>
    <row r="1065">
      <c r="A1065" s="2"/>
      <c r="B1065" s="2"/>
      <c r="C1065" s="2"/>
      <c r="D1065" s="5"/>
      <c r="E1065" s="5"/>
    </row>
    <row r="1066">
      <c r="A1066" s="2"/>
      <c r="B1066" s="2"/>
      <c r="C1066" s="2"/>
      <c r="D1066" s="5"/>
      <c r="E1066" s="5"/>
    </row>
    <row r="1067">
      <c r="A1067" s="2"/>
      <c r="B1067" s="2"/>
      <c r="C1067" s="2"/>
      <c r="D1067" s="5"/>
      <c r="E1067" s="5"/>
    </row>
    <row r="1068">
      <c r="A1068" s="2"/>
      <c r="B1068" s="2"/>
      <c r="C1068" s="2"/>
      <c r="D1068" s="5"/>
      <c r="E1068" s="5"/>
    </row>
    <row r="1069">
      <c r="A1069" s="2"/>
      <c r="B1069" s="2"/>
      <c r="C1069" s="2"/>
      <c r="D1069" s="5"/>
      <c r="E1069" s="5"/>
    </row>
    <row r="1070">
      <c r="A1070" s="2"/>
      <c r="B1070" s="2"/>
      <c r="C1070" s="2"/>
      <c r="D1070" s="5"/>
      <c r="E1070" s="5"/>
    </row>
    <row r="1071">
      <c r="A1071" s="2"/>
      <c r="B1071" s="2"/>
      <c r="C1071" s="2"/>
      <c r="D1071" s="5"/>
      <c r="E1071" s="5"/>
    </row>
    <row r="1072">
      <c r="A1072" s="2"/>
      <c r="B1072" s="2"/>
      <c r="C1072" s="2"/>
      <c r="D1072" s="5"/>
      <c r="E1072" s="5"/>
    </row>
    <row r="1073">
      <c r="A1073" s="2"/>
      <c r="B1073" s="2"/>
      <c r="C1073" s="2"/>
      <c r="D1073" s="5"/>
      <c r="E1073" s="5"/>
    </row>
    <row r="1074">
      <c r="A1074" s="2"/>
      <c r="B1074" s="2"/>
      <c r="C1074" s="2"/>
      <c r="D1074" s="5"/>
      <c r="E1074" s="5"/>
    </row>
    <row r="1075">
      <c r="A1075" s="2"/>
      <c r="B1075" s="2"/>
      <c r="C1075" s="2"/>
      <c r="D1075" s="5"/>
      <c r="E1075" s="5"/>
    </row>
    <row r="1076">
      <c r="A1076" s="2"/>
      <c r="B1076" s="2"/>
      <c r="C1076" s="2"/>
      <c r="D1076" s="5"/>
      <c r="E1076" s="5"/>
    </row>
    <row r="1077">
      <c r="A1077" s="2"/>
      <c r="B1077" s="2"/>
      <c r="C1077" s="2"/>
      <c r="D1077" s="5"/>
      <c r="E1077" s="5"/>
    </row>
    <row r="1078">
      <c r="A1078" s="2"/>
      <c r="B1078" s="2"/>
      <c r="C1078" s="2"/>
      <c r="D1078" s="5"/>
      <c r="E1078" s="5"/>
    </row>
    <row r="1079">
      <c r="A1079" s="2"/>
      <c r="B1079" s="2"/>
      <c r="C1079" s="2"/>
      <c r="D1079" s="5"/>
      <c r="E1079" s="5"/>
    </row>
    <row r="1080">
      <c r="A1080" s="2"/>
      <c r="B1080" s="2"/>
      <c r="C1080" s="2"/>
      <c r="D1080" s="5"/>
      <c r="E1080" s="5"/>
    </row>
    <row r="1081">
      <c r="A1081" s="2"/>
      <c r="B1081" s="2"/>
      <c r="C1081" s="2"/>
      <c r="D1081" s="5"/>
      <c r="E1081" s="5"/>
    </row>
    <row r="1082">
      <c r="A1082" s="2"/>
      <c r="B1082" s="2"/>
      <c r="C1082" s="2"/>
      <c r="D1082" s="5"/>
      <c r="E1082" s="5"/>
    </row>
    <row r="1083">
      <c r="A1083" s="2"/>
      <c r="B1083" s="2"/>
      <c r="C1083" s="2"/>
      <c r="D1083" s="5"/>
      <c r="E1083" s="5"/>
    </row>
    <row r="1084">
      <c r="A1084" s="2"/>
      <c r="B1084" s="2"/>
      <c r="C1084" s="2"/>
      <c r="D1084" s="5"/>
      <c r="E1084" s="5"/>
    </row>
    <row r="1085">
      <c r="A1085" s="2"/>
      <c r="B1085" s="2"/>
      <c r="C1085" s="2"/>
      <c r="D1085" s="5"/>
      <c r="E1085" s="5"/>
    </row>
    <row r="1086">
      <c r="A1086" s="2"/>
      <c r="B1086" s="2"/>
      <c r="C1086" s="2"/>
      <c r="D1086" s="5"/>
      <c r="E1086" s="5"/>
    </row>
    <row r="1087">
      <c r="A1087" s="2"/>
      <c r="B1087" s="2"/>
      <c r="C1087" s="2"/>
      <c r="D1087" s="5"/>
      <c r="E1087" s="5"/>
    </row>
    <row r="1088">
      <c r="A1088" s="2"/>
      <c r="B1088" s="2"/>
      <c r="C1088" s="2"/>
      <c r="D1088" s="5"/>
      <c r="E1088" s="5"/>
    </row>
    <row r="1089">
      <c r="A1089" s="2"/>
      <c r="B1089" s="2"/>
      <c r="C1089" s="2"/>
      <c r="D1089" s="5"/>
      <c r="E1089" s="5"/>
    </row>
    <row r="1090">
      <c r="A1090" s="2"/>
      <c r="B1090" s="2"/>
      <c r="C1090" s="2"/>
      <c r="D1090" s="5"/>
      <c r="E1090" s="5"/>
    </row>
    <row r="1091">
      <c r="A1091" s="2"/>
      <c r="B1091" s="2"/>
      <c r="C1091" s="2"/>
      <c r="D1091" s="5"/>
      <c r="E1091" s="5"/>
    </row>
    <row r="1092">
      <c r="A1092" s="2"/>
      <c r="B1092" s="2"/>
      <c r="C1092" s="2"/>
      <c r="D1092" s="5"/>
      <c r="E1092" s="5"/>
    </row>
    <row r="1093">
      <c r="A1093" s="2"/>
      <c r="B1093" s="2"/>
      <c r="C1093" s="2"/>
      <c r="D1093" s="5"/>
      <c r="E1093" s="5"/>
    </row>
    <row r="1094">
      <c r="A1094" s="2"/>
      <c r="B1094" s="2"/>
      <c r="C1094" s="2"/>
      <c r="D1094" s="5"/>
      <c r="E1094" s="5"/>
    </row>
    <row r="1095">
      <c r="A1095" s="2"/>
      <c r="B1095" s="2"/>
      <c r="C1095" s="2"/>
      <c r="D1095" s="5"/>
      <c r="E1095" s="5"/>
    </row>
    <row r="1096">
      <c r="A1096" s="2"/>
      <c r="B1096" s="2"/>
      <c r="C1096" s="2"/>
      <c r="D1096" s="5"/>
      <c r="E1096" s="5"/>
    </row>
    <row r="1097">
      <c r="A1097" s="2"/>
      <c r="B1097" s="2"/>
      <c r="C1097" s="2"/>
      <c r="D1097" s="5"/>
      <c r="E1097" s="5"/>
    </row>
    <row r="1098">
      <c r="A1098" s="2"/>
      <c r="B1098" s="2"/>
      <c r="C1098" s="2"/>
      <c r="D1098" s="5"/>
      <c r="E1098" s="5"/>
    </row>
    <row r="1099">
      <c r="A1099" s="2"/>
      <c r="B1099" s="2"/>
      <c r="C1099" s="2"/>
      <c r="D1099" s="5"/>
      <c r="E1099" s="5"/>
    </row>
    <row r="1100">
      <c r="A1100" s="2"/>
      <c r="B1100" s="2"/>
      <c r="C1100" s="2"/>
      <c r="D1100" s="5"/>
      <c r="E1100" s="5"/>
    </row>
    <row r="1101">
      <c r="A1101" s="2"/>
      <c r="B1101" s="2"/>
      <c r="C1101" s="2"/>
      <c r="D1101" s="5"/>
      <c r="E1101" s="5"/>
    </row>
    <row r="1102">
      <c r="A1102" s="2"/>
      <c r="B1102" s="2"/>
      <c r="C1102" s="2"/>
      <c r="D1102" s="5"/>
      <c r="E1102" s="5"/>
    </row>
    <row r="1103">
      <c r="A1103" s="2"/>
      <c r="B1103" s="2"/>
      <c r="C1103" s="2"/>
      <c r="D1103" s="5"/>
      <c r="E1103" s="5"/>
    </row>
    <row r="1104">
      <c r="A1104" s="2"/>
      <c r="B1104" s="2"/>
      <c r="C1104" s="2"/>
      <c r="D1104" s="5"/>
      <c r="E1104" s="5"/>
    </row>
    <row r="1105">
      <c r="A1105" s="2"/>
      <c r="B1105" s="2"/>
      <c r="C1105" s="2"/>
      <c r="D1105" s="5"/>
      <c r="E1105" s="5"/>
    </row>
    <row r="1106">
      <c r="A1106" s="2"/>
      <c r="B1106" s="2"/>
      <c r="C1106" s="2"/>
      <c r="D1106" s="5"/>
      <c r="E1106" s="5"/>
    </row>
    <row r="1107">
      <c r="A1107" s="2"/>
      <c r="B1107" s="2"/>
      <c r="C1107" s="2"/>
      <c r="D1107" s="5"/>
      <c r="E1107" s="5"/>
    </row>
    <row r="1108">
      <c r="A1108" s="2"/>
      <c r="B1108" s="2"/>
      <c r="C1108" s="2"/>
      <c r="D1108" s="5"/>
      <c r="E1108" s="5"/>
    </row>
    <row r="1109">
      <c r="A1109" s="2"/>
      <c r="B1109" s="2"/>
      <c r="C1109" s="2"/>
      <c r="D1109" s="5"/>
      <c r="E1109" s="5"/>
    </row>
    <row r="1110">
      <c r="A1110" s="2"/>
      <c r="B1110" s="2"/>
      <c r="C1110" s="2"/>
      <c r="D1110" s="5"/>
      <c r="E1110" s="5"/>
    </row>
    <row r="1111">
      <c r="A1111" s="2"/>
      <c r="B1111" s="2"/>
      <c r="C1111" s="2"/>
      <c r="D1111" s="5"/>
      <c r="E1111" s="5"/>
    </row>
    <row r="1112">
      <c r="A1112" s="2"/>
      <c r="B1112" s="2"/>
      <c r="C1112" s="2"/>
      <c r="D1112" s="5"/>
      <c r="E1112" s="5"/>
    </row>
    <row r="1113">
      <c r="A1113" s="2"/>
      <c r="B1113" s="2"/>
      <c r="C1113" s="2"/>
      <c r="D1113" s="5"/>
      <c r="E1113" s="5"/>
    </row>
    <row r="1114">
      <c r="A1114" s="2"/>
      <c r="B1114" s="2"/>
      <c r="C1114" s="2"/>
      <c r="D1114" s="5"/>
      <c r="E1114" s="5"/>
    </row>
    <row r="1115">
      <c r="A1115" s="2"/>
      <c r="B1115" s="2"/>
      <c r="C1115" s="2"/>
      <c r="D1115" s="5"/>
      <c r="E1115" s="5"/>
    </row>
    <row r="1116">
      <c r="A1116" s="2"/>
      <c r="B1116" s="2"/>
      <c r="C1116" s="2"/>
      <c r="D1116" s="5"/>
      <c r="E1116" s="5"/>
    </row>
    <row r="1117">
      <c r="A1117" s="2"/>
      <c r="B1117" s="2"/>
      <c r="C1117" s="2"/>
      <c r="D1117" s="5"/>
      <c r="E1117" s="5"/>
    </row>
    <row r="1118">
      <c r="A1118" s="2"/>
      <c r="B1118" s="2"/>
      <c r="C1118" s="2"/>
      <c r="D1118" s="5"/>
      <c r="E1118" s="5"/>
    </row>
    <row r="1119">
      <c r="A1119" s="2"/>
      <c r="B1119" s="2"/>
      <c r="C1119" s="2"/>
      <c r="D1119" s="5"/>
      <c r="E1119" s="5"/>
    </row>
    <row r="1120">
      <c r="A1120" s="2"/>
      <c r="B1120" s="2"/>
      <c r="C1120" s="2"/>
      <c r="D1120" s="5"/>
      <c r="E1120" s="5"/>
    </row>
    <row r="1121">
      <c r="A1121" s="2"/>
      <c r="B1121" s="2"/>
      <c r="C1121" s="2"/>
      <c r="D1121" s="5"/>
      <c r="E1121" s="5"/>
    </row>
    <row r="1122">
      <c r="A1122" s="2"/>
      <c r="B1122" s="2"/>
      <c r="C1122" s="2"/>
      <c r="D1122" s="5"/>
      <c r="E1122" s="5"/>
    </row>
    <row r="1123">
      <c r="A1123" s="2"/>
      <c r="B1123" s="2"/>
      <c r="C1123" s="2"/>
      <c r="D1123" s="5"/>
      <c r="E1123" s="5"/>
    </row>
    <row r="1124">
      <c r="A1124" s="2"/>
      <c r="B1124" s="2"/>
      <c r="C1124" s="2"/>
      <c r="D1124" s="5"/>
      <c r="E1124" s="5"/>
    </row>
    <row r="1125">
      <c r="A1125" s="2"/>
      <c r="B1125" s="2"/>
      <c r="C1125" s="2"/>
      <c r="D1125" s="5"/>
      <c r="E1125" s="5"/>
    </row>
    <row r="1126">
      <c r="A1126" s="2"/>
      <c r="B1126" s="2"/>
      <c r="C1126" s="2"/>
      <c r="D1126" s="5"/>
      <c r="E1126" s="5"/>
    </row>
    <row r="1127">
      <c r="A1127" s="2"/>
      <c r="B1127" s="2"/>
      <c r="C1127" s="2"/>
      <c r="D1127" s="5"/>
      <c r="E1127" s="5"/>
    </row>
    <row r="1128">
      <c r="A1128" s="2"/>
      <c r="B1128" s="2"/>
      <c r="C1128" s="2"/>
      <c r="D1128" s="5"/>
      <c r="E1128" s="5"/>
    </row>
    <row r="1129">
      <c r="A1129" s="2"/>
      <c r="B1129" s="2"/>
      <c r="C1129" s="2"/>
      <c r="D1129" s="5"/>
      <c r="E1129" s="5"/>
    </row>
    <row r="1130">
      <c r="A1130" s="2"/>
      <c r="B1130" s="2"/>
      <c r="C1130" s="2"/>
      <c r="D1130" s="5"/>
      <c r="E1130" s="5"/>
    </row>
    <row r="1131">
      <c r="A1131" s="2"/>
      <c r="B1131" s="2"/>
      <c r="C1131" s="2"/>
      <c r="D1131" s="5"/>
      <c r="E1131" s="5"/>
    </row>
    <row r="1132">
      <c r="A1132" s="2"/>
      <c r="B1132" s="2"/>
      <c r="C1132" s="2"/>
      <c r="D1132" s="5"/>
      <c r="E1132" s="5"/>
    </row>
    <row r="1133">
      <c r="A1133" s="2"/>
      <c r="B1133" s="2"/>
      <c r="C1133" s="2"/>
      <c r="D1133" s="5"/>
      <c r="E1133" s="5"/>
    </row>
    <row r="1134">
      <c r="A1134" s="2"/>
      <c r="B1134" s="2"/>
      <c r="C1134" s="2"/>
      <c r="D1134" s="5"/>
      <c r="E1134" s="5"/>
    </row>
    <row r="1135">
      <c r="A1135" s="2"/>
      <c r="B1135" s="2"/>
      <c r="C1135" s="2"/>
      <c r="D1135" s="5"/>
      <c r="E1135" s="5"/>
    </row>
    <row r="1136">
      <c r="A1136" s="2"/>
      <c r="B1136" s="2"/>
      <c r="C1136" s="2"/>
      <c r="D1136" s="5"/>
      <c r="E1136" s="5"/>
    </row>
    <row r="1137">
      <c r="A1137" s="2"/>
      <c r="B1137" s="2"/>
      <c r="C1137" s="2"/>
      <c r="D1137" s="5"/>
      <c r="E1137" s="5"/>
    </row>
    <row r="1138">
      <c r="A1138" s="2"/>
      <c r="B1138" s="2"/>
      <c r="C1138" s="2"/>
      <c r="D1138" s="5"/>
      <c r="E1138" s="5"/>
    </row>
    <row r="1139">
      <c r="A1139" s="2"/>
      <c r="B1139" s="2"/>
      <c r="C1139" s="2"/>
      <c r="D1139" s="5"/>
      <c r="E1139" s="5"/>
    </row>
    <row r="1140">
      <c r="A1140" s="2"/>
      <c r="B1140" s="2"/>
      <c r="C1140" s="2"/>
      <c r="D1140" s="5"/>
      <c r="E1140" s="5"/>
    </row>
    <row r="1141">
      <c r="A1141" s="2"/>
      <c r="B1141" s="2"/>
      <c r="C1141" s="2"/>
      <c r="D1141" s="5"/>
      <c r="E1141" s="5"/>
    </row>
    <row r="1142">
      <c r="A1142" s="2"/>
      <c r="B1142" s="2"/>
      <c r="C1142" s="2"/>
      <c r="D1142" s="5"/>
      <c r="E1142" s="5"/>
    </row>
    <row r="1143">
      <c r="A1143" s="2"/>
      <c r="B1143" s="2"/>
      <c r="C1143" s="2"/>
      <c r="D1143" s="5"/>
      <c r="E1143" s="5"/>
    </row>
    <row r="1144">
      <c r="A1144" s="2"/>
      <c r="B1144" s="2"/>
      <c r="C1144" s="2"/>
      <c r="D1144" s="5"/>
      <c r="E1144" s="5"/>
    </row>
    <row r="1145">
      <c r="A1145" s="2"/>
      <c r="B1145" s="2"/>
      <c r="C1145" s="2"/>
      <c r="D1145" s="5"/>
      <c r="E1145" s="5"/>
    </row>
    <row r="1146">
      <c r="A1146" s="2"/>
      <c r="B1146" s="2"/>
      <c r="C1146" s="2"/>
      <c r="D1146" s="5"/>
      <c r="E1146" s="5"/>
    </row>
    <row r="1147">
      <c r="A1147" s="2"/>
      <c r="B1147" s="2"/>
      <c r="C1147" s="2"/>
      <c r="D1147" s="5"/>
      <c r="E1147" s="5"/>
    </row>
    <row r="1148">
      <c r="A1148" s="2"/>
      <c r="B1148" s="2"/>
      <c r="C1148" s="2"/>
      <c r="D1148" s="5"/>
      <c r="E1148" s="5"/>
    </row>
    <row r="1149">
      <c r="A1149" s="2"/>
      <c r="B1149" s="2"/>
      <c r="C1149" s="2"/>
      <c r="D1149" s="5"/>
      <c r="E1149" s="5"/>
    </row>
    <row r="1150">
      <c r="A1150" s="2"/>
      <c r="B1150" s="2"/>
      <c r="C1150" s="2"/>
      <c r="D1150" s="5"/>
      <c r="E1150" s="5"/>
    </row>
    <row r="1151">
      <c r="A1151" s="2"/>
      <c r="B1151" s="2"/>
      <c r="C1151" s="2"/>
      <c r="D1151" s="5"/>
      <c r="E1151" s="5"/>
    </row>
    <row r="1152">
      <c r="A1152" s="2"/>
      <c r="B1152" s="2"/>
      <c r="C1152" s="2"/>
      <c r="D1152" s="5"/>
      <c r="E1152" s="5"/>
    </row>
    <row r="1153">
      <c r="A1153" s="2"/>
      <c r="B1153" s="2"/>
      <c r="C1153" s="2"/>
      <c r="D1153" s="5"/>
      <c r="E1153" s="5"/>
    </row>
    <row r="1154">
      <c r="A1154" s="2"/>
      <c r="B1154" s="2"/>
      <c r="C1154" s="2"/>
      <c r="D1154" s="5"/>
      <c r="E1154" s="5"/>
    </row>
    <row r="1155">
      <c r="A1155" s="2"/>
      <c r="B1155" s="2"/>
      <c r="C1155" s="2"/>
      <c r="D1155" s="5"/>
      <c r="E1155" s="5"/>
    </row>
    <row r="1156">
      <c r="A1156" s="2"/>
      <c r="B1156" s="2"/>
      <c r="C1156" s="2"/>
      <c r="D1156" s="5"/>
      <c r="E1156" s="5"/>
    </row>
    <row r="1157">
      <c r="A1157" s="2"/>
      <c r="B1157" s="2"/>
      <c r="C1157" s="2"/>
      <c r="D1157" s="5"/>
      <c r="E1157" s="5"/>
    </row>
    <row r="1158">
      <c r="A1158" s="2"/>
      <c r="B1158" s="2"/>
      <c r="C1158" s="2"/>
      <c r="D1158" s="5"/>
      <c r="E1158" s="5"/>
    </row>
    <row r="1159">
      <c r="A1159" s="2"/>
      <c r="B1159" s="2"/>
      <c r="C1159" s="2"/>
      <c r="D1159" s="5"/>
      <c r="E1159" s="5"/>
    </row>
    <row r="1160">
      <c r="A1160" s="2"/>
      <c r="B1160" s="2"/>
      <c r="C1160" s="2"/>
      <c r="D1160" s="5"/>
      <c r="E1160" s="5"/>
    </row>
    <row r="1161">
      <c r="A1161" s="2"/>
      <c r="B1161" s="2"/>
      <c r="C1161" s="2"/>
      <c r="D1161" s="5"/>
      <c r="E1161" s="5"/>
    </row>
    <row r="1162">
      <c r="A1162" s="2"/>
      <c r="B1162" s="2"/>
      <c r="C1162" s="2"/>
      <c r="D1162" s="5"/>
      <c r="E1162" s="5"/>
    </row>
    <row r="1163">
      <c r="A1163" s="2"/>
      <c r="B1163" s="2"/>
      <c r="C1163" s="2"/>
      <c r="D1163" s="5"/>
      <c r="E1163" s="5"/>
    </row>
    <row r="1164">
      <c r="A1164" s="2"/>
      <c r="B1164" s="2"/>
      <c r="C1164" s="2"/>
      <c r="D1164" s="5"/>
      <c r="E1164" s="5"/>
    </row>
    <row r="1165">
      <c r="A1165" s="2"/>
      <c r="B1165" s="2"/>
      <c r="C1165" s="2"/>
      <c r="D1165" s="5"/>
      <c r="E1165" s="5"/>
    </row>
    <row r="1166">
      <c r="A1166" s="2"/>
      <c r="B1166" s="2"/>
      <c r="C1166" s="2"/>
      <c r="D1166" s="5"/>
      <c r="E1166" s="5"/>
    </row>
    <row r="1167">
      <c r="A1167" s="2"/>
      <c r="B1167" s="2"/>
      <c r="C1167" s="2"/>
      <c r="D1167" s="5"/>
      <c r="E1167" s="5"/>
    </row>
    <row r="1168">
      <c r="A1168" s="2"/>
      <c r="B1168" s="2"/>
      <c r="C1168" s="2"/>
      <c r="D1168" s="5"/>
      <c r="E1168" s="5"/>
    </row>
    <row r="1169">
      <c r="A1169" s="2"/>
      <c r="B1169" s="2"/>
      <c r="C1169" s="2"/>
      <c r="D1169" s="5"/>
      <c r="E1169" s="5"/>
    </row>
    <row r="1170">
      <c r="A1170" s="2"/>
      <c r="B1170" s="2"/>
      <c r="C1170" s="2"/>
      <c r="D1170" s="5"/>
      <c r="E1170" s="5"/>
    </row>
    <row r="1171">
      <c r="A1171" s="2"/>
      <c r="B1171" s="2"/>
      <c r="C1171" s="2"/>
      <c r="D1171" s="5"/>
      <c r="E1171" s="5"/>
    </row>
    <row r="1172">
      <c r="A1172" s="2"/>
      <c r="B1172" s="2"/>
      <c r="C1172" s="2"/>
      <c r="D1172" s="5"/>
      <c r="E1172" s="5"/>
    </row>
    <row r="1173">
      <c r="A1173" s="2"/>
      <c r="B1173" s="2"/>
      <c r="C1173" s="2"/>
      <c r="D1173" s="5"/>
      <c r="E1173" s="5"/>
    </row>
    <row r="1174">
      <c r="A1174" s="2"/>
      <c r="B1174" s="2"/>
      <c r="C1174" s="2"/>
      <c r="D1174" s="5"/>
      <c r="E1174" s="5"/>
    </row>
    <row r="1175">
      <c r="A1175" s="2"/>
      <c r="B1175" s="2"/>
      <c r="C1175" s="2"/>
      <c r="D1175" s="5"/>
      <c r="E1175" s="5"/>
    </row>
    <row r="1176">
      <c r="A1176" s="2"/>
      <c r="B1176" s="2"/>
      <c r="C1176" s="2"/>
      <c r="D1176" s="5"/>
      <c r="E1176" s="5"/>
    </row>
    <row r="1177">
      <c r="A1177" s="2"/>
      <c r="B1177" s="2"/>
      <c r="C1177" s="2"/>
      <c r="D1177" s="5"/>
      <c r="E1177" s="5"/>
    </row>
    <row r="1178">
      <c r="A1178" s="2"/>
      <c r="B1178" s="2"/>
      <c r="C1178" s="2"/>
      <c r="D1178" s="5"/>
      <c r="E1178" s="5"/>
    </row>
    <row r="1179">
      <c r="A1179" s="2"/>
      <c r="B1179" s="2"/>
      <c r="C1179" s="2"/>
      <c r="D1179" s="5"/>
      <c r="E1179" s="5"/>
    </row>
    <row r="1180">
      <c r="A1180" s="2"/>
      <c r="B1180" s="2"/>
      <c r="C1180" s="2"/>
      <c r="D1180" s="5"/>
      <c r="E1180" s="5"/>
    </row>
    <row r="1181">
      <c r="A1181" s="2"/>
      <c r="B1181" s="2"/>
      <c r="C1181" s="2"/>
      <c r="D1181" s="5"/>
      <c r="E1181" s="5"/>
    </row>
    <row r="1182">
      <c r="A1182" s="2"/>
      <c r="B1182" s="2"/>
      <c r="C1182" s="2"/>
      <c r="D1182" s="5"/>
      <c r="E1182" s="5"/>
    </row>
    <row r="1183">
      <c r="A1183" s="2"/>
      <c r="B1183" s="2"/>
      <c r="C1183" s="2"/>
      <c r="D1183" s="5"/>
      <c r="E1183" s="5"/>
    </row>
    <row r="1184">
      <c r="A1184" s="2"/>
      <c r="B1184" s="2"/>
      <c r="C1184" s="2"/>
      <c r="D1184" s="5"/>
      <c r="E1184" s="5"/>
    </row>
    <row r="1185">
      <c r="A1185" s="2"/>
      <c r="B1185" s="2"/>
      <c r="C1185" s="2"/>
      <c r="D1185" s="5"/>
      <c r="E1185" s="5"/>
    </row>
    <row r="1186">
      <c r="A1186" s="2"/>
      <c r="B1186" s="2"/>
      <c r="C1186" s="2"/>
      <c r="D1186" s="5"/>
      <c r="E1186" s="5"/>
    </row>
    <row r="1187">
      <c r="A1187" s="2"/>
      <c r="B1187" s="2"/>
      <c r="C1187" s="2"/>
      <c r="D1187" s="5"/>
      <c r="E1187" s="5"/>
    </row>
    <row r="1188">
      <c r="A1188" s="2"/>
      <c r="B1188" s="2"/>
      <c r="C1188" s="2"/>
      <c r="D1188" s="5"/>
      <c r="E1188" s="5"/>
    </row>
    <row r="1189">
      <c r="A1189" s="2"/>
      <c r="B1189" s="2"/>
      <c r="C1189" s="2"/>
      <c r="D1189" s="5"/>
      <c r="E1189" s="5"/>
    </row>
    <row r="1190">
      <c r="A1190" s="2"/>
      <c r="B1190" s="2"/>
      <c r="C1190" s="2"/>
      <c r="D1190" s="5"/>
      <c r="E1190" s="5"/>
    </row>
    <row r="1191">
      <c r="A1191" s="2"/>
      <c r="B1191" s="2"/>
      <c r="C1191" s="2"/>
      <c r="D1191" s="5"/>
      <c r="E1191" s="5"/>
    </row>
    <row r="1192">
      <c r="A1192" s="2"/>
      <c r="B1192" s="2"/>
      <c r="C1192" s="2"/>
      <c r="D1192" s="5"/>
      <c r="E1192" s="5"/>
    </row>
    <row r="1193">
      <c r="A1193" s="2"/>
      <c r="B1193" s="2"/>
      <c r="C1193" s="2"/>
      <c r="D1193" s="5"/>
      <c r="E1193" s="5"/>
    </row>
    <row r="1194">
      <c r="A1194" s="2"/>
      <c r="B1194" s="2"/>
      <c r="C1194" s="2"/>
      <c r="D1194" s="5"/>
      <c r="E1194" s="5"/>
    </row>
    <row r="1195">
      <c r="A1195" s="2"/>
      <c r="B1195" s="2"/>
      <c r="C1195" s="2"/>
      <c r="D1195" s="5"/>
      <c r="E1195" s="5"/>
    </row>
    <row r="1196">
      <c r="A1196" s="2"/>
      <c r="B1196" s="2"/>
      <c r="C1196" s="2"/>
      <c r="D1196" s="5"/>
      <c r="E1196" s="5"/>
    </row>
    <row r="1197">
      <c r="A1197" s="2"/>
      <c r="B1197" s="2"/>
      <c r="C1197" s="2"/>
      <c r="D1197" s="5"/>
      <c r="E1197" s="5"/>
    </row>
    <row r="1198">
      <c r="A1198" s="2"/>
      <c r="B1198" s="2"/>
      <c r="C1198" s="2"/>
      <c r="D1198" s="5"/>
      <c r="E1198" s="5"/>
    </row>
    <row r="1199">
      <c r="A1199" s="2"/>
      <c r="B1199" s="2"/>
      <c r="C1199" s="2"/>
      <c r="D1199" s="5"/>
      <c r="E1199" s="5"/>
    </row>
    <row r="1200">
      <c r="A1200" s="2"/>
      <c r="B1200" s="2"/>
      <c r="C1200" s="2"/>
      <c r="D1200" s="5"/>
      <c r="E1200" s="5"/>
    </row>
    <row r="1201">
      <c r="A1201" s="2"/>
      <c r="B1201" s="2"/>
      <c r="C1201" s="2"/>
      <c r="D1201" s="5"/>
      <c r="E1201" s="5"/>
    </row>
    <row r="1202">
      <c r="A1202" s="2"/>
      <c r="B1202" s="2"/>
      <c r="C1202" s="2"/>
      <c r="D1202" s="5"/>
      <c r="E1202" s="5"/>
    </row>
    <row r="1203">
      <c r="A1203" s="2"/>
      <c r="B1203" s="2"/>
      <c r="C1203" s="2"/>
      <c r="D1203" s="5"/>
      <c r="E1203" s="5"/>
    </row>
    <row r="1204">
      <c r="A1204" s="2"/>
      <c r="B1204" s="2"/>
      <c r="C1204" s="2"/>
      <c r="D1204" s="5"/>
      <c r="E1204" s="5"/>
    </row>
    <row r="1205">
      <c r="A1205" s="2"/>
      <c r="B1205" s="2"/>
      <c r="C1205" s="2"/>
      <c r="D1205" s="5"/>
      <c r="E1205" s="5"/>
    </row>
    <row r="1206">
      <c r="A1206" s="2"/>
      <c r="B1206" s="2"/>
      <c r="C1206" s="2"/>
      <c r="D1206" s="5"/>
      <c r="E1206" s="5"/>
    </row>
    <row r="1207">
      <c r="A1207" s="2"/>
      <c r="B1207" s="2"/>
      <c r="C1207" s="2"/>
      <c r="D1207" s="5"/>
      <c r="E1207" s="5"/>
    </row>
    <row r="1208">
      <c r="A1208" s="2"/>
      <c r="B1208" s="2"/>
      <c r="C1208" s="2"/>
      <c r="D1208" s="5"/>
      <c r="E1208" s="5"/>
    </row>
    <row r="1209">
      <c r="A1209" s="2"/>
      <c r="B1209" s="2"/>
      <c r="C1209" s="2"/>
      <c r="D1209" s="5"/>
      <c r="E1209" s="5"/>
    </row>
    <row r="1210">
      <c r="A1210" s="2"/>
      <c r="B1210" s="2"/>
      <c r="C1210" s="2"/>
      <c r="D1210" s="5"/>
      <c r="E1210" s="5"/>
    </row>
    <row r="1211">
      <c r="A1211" s="2"/>
      <c r="B1211" s="2"/>
      <c r="C1211" s="2"/>
      <c r="D1211" s="5"/>
      <c r="E1211" s="5"/>
    </row>
    <row r="1212">
      <c r="A1212" s="2"/>
      <c r="B1212" s="2"/>
      <c r="C1212" s="2"/>
      <c r="D1212" s="5"/>
      <c r="E1212" s="5"/>
    </row>
    <row r="1213">
      <c r="A1213" s="2"/>
      <c r="B1213" s="2"/>
      <c r="C1213" s="2"/>
      <c r="D1213" s="5"/>
      <c r="E1213" s="5"/>
    </row>
    <row r="1214">
      <c r="A1214" s="2"/>
      <c r="B1214" s="2"/>
      <c r="C1214" s="2"/>
      <c r="D1214" s="5"/>
      <c r="E1214" s="5"/>
    </row>
    <row r="1215">
      <c r="A1215" s="2"/>
      <c r="B1215" s="2"/>
      <c r="C1215" s="2"/>
      <c r="D1215" s="5"/>
      <c r="E1215" s="5"/>
    </row>
    <row r="1216">
      <c r="A1216" s="2"/>
      <c r="B1216" s="2"/>
      <c r="C1216" s="2"/>
      <c r="D1216" s="5"/>
      <c r="E1216" s="5"/>
    </row>
    <row r="1217">
      <c r="A1217" s="2"/>
      <c r="B1217" s="2"/>
      <c r="C1217" s="2"/>
      <c r="D1217" s="5"/>
      <c r="E1217" s="5"/>
    </row>
    <row r="1218">
      <c r="A1218" s="2"/>
      <c r="B1218" s="2"/>
      <c r="C1218" s="2"/>
      <c r="D1218" s="5"/>
      <c r="E1218" s="5"/>
    </row>
    <row r="1219">
      <c r="A1219" s="2"/>
      <c r="B1219" s="2"/>
      <c r="C1219" s="2"/>
      <c r="D1219" s="5"/>
      <c r="E1219" s="5"/>
    </row>
    <row r="1220">
      <c r="A1220" s="2"/>
      <c r="B1220" s="2"/>
      <c r="C1220" s="2"/>
      <c r="D1220" s="5"/>
      <c r="E1220" s="5"/>
    </row>
    <row r="1221">
      <c r="A1221" s="2"/>
      <c r="B1221" s="2"/>
      <c r="C1221" s="2"/>
      <c r="D1221" s="5"/>
      <c r="E1221" s="5"/>
    </row>
    <row r="1222">
      <c r="A1222" s="2"/>
      <c r="B1222" s="2"/>
      <c r="C1222" s="2"/>
      <c r="D1222" s="5"/>
      <c r="E1222" s="5"/>
    </row>
    <row r="1223">
      <c r="A1223" s="2"/>
      <c r="B1223" s="2"/>
      <c r="C1223" s="2"/>
      <c r="D1223" s="5"/>
      <c r="E1223" s="5"/>
    </row>
    <row r="1224">
      <c r="A1224" s="2"/>
      <c r="B1224" s="2"/>
      <c r="C1224" s="2"/>
      <c r="D1224" s="5"/>
      <c r="E1224" s="5"/>
    </row>
    <row r="1225">
      <c r="A1225" s="2"/>
      <c r="B1225" s="2"/>
      <c r="C1225" s="2"/>
      <c r="D1225" s="5"/>
      <c r="E1225" s="5"/>
    </row>
    <row r="1226">
      <c r="A1226" s="2"/>
      <c r="B1226" s="2"/>
      <c r="C1226" s="2"/>
      <c r="D1226" s="5"/>
      <c r="E1226" s="5"/>
    </row>
    <row r="1227">
      <c r="A1227" s="2"/>
      <c r="B1227" s="2"/>
      <c r="C1227" s="2"/>
      <c r="D1227" s="5"/>
      <c r="E1227" s="5"/>
    </row>
    <row r="1228">
      <c r="A1228" s="2"/>
      <c r="B1228" s="2"/>
      <c r="C1228" s="2"/>
      <c r="D1228" s="5"/>
      <c r="E1228" s="5"/>
    </row>
    <row r="1229">
      <c r="A1229" s="2"/>
      <c r="B1229" s="2"/>
      <c r="C1229" s="2"/>
      <c r="D1229" s="5"/>
      <c r="E1229" s="5"/>
    </row>
    <row r="1230">
      <c r="A1230" s="2"/>
      <c r="B1230" s="2"/>
      <c r="C1230" s="2"/>
      <c r="D1230" s="5"/>
      <c r="E1230" s="5"/>
    </row>
    <row r="1231">
      <c r="A1231" s="2"/>
      <c r="B1231" s="2"/>
      <c r="C1231" s="2"/>
      <c r="D1231" s="5"/>
      <c r="E1231" s="5"/>
    </row>
    <row r="1232">
      <c r="A1232" s="2"/>
      <c r="B1232" s="2"/>
      <c r="C1232" s="2"/>
      <c r="D1232" s="5"/>
      <c r="E1232" s="5"/>
    </row>
    <row r="1233">
      <c r="A1233" s="2"/>
      <c r="B1233" s="2"/>
      <c r="C1233" s="2"/>
      <c r="D1233" s="5"/>
      <c r="E1233" s="5"/>
    </row>
    <row r="1234">
      <c r="A1234" s="2"/>
      <c r="B1234" s="2"/>
      <c r="C1234" s="2"/>
      <c r="D1234" s="5"/>
      <c r="E1234" s="5"/>
    </row>
    <row r="1235">
      <c r="A1235" s="2"/>
      <c r="B1235" s="2"/>
      <c r="C1235" s="2"/>
      <c r="D1235" s="5"/>
      <c r="E1235" s="5"/>
    </row>
    <row r="1236">
      <c r="A1236" s="2"/>
      <c r="B1236" s="2"/>
      <c r="C1236" s="2"/>
      <c r="D1236" s="5"/>
      <c r="E1236" s="5"/>
    </row>
    <row r="1237">
      <c r="A1237" s="2"/>
      <c r="B1237" s="2"/>
      <c r="C1237" s="2"/>
      <c r="D1237" s="5"/>
      <c r="E1237" s="5"/>
    </row>
    <row r="1238">
      <c r="A1238" s="2"/>
      <c r="B1238" s="2"/>
      <c r="C1238" s="2"/>
      <c r="D1238" s="5"/>
      <c r="E1238" s="5"/>
    </row>
    <row r="1239">
      <c r="A1239" s="2"/>
      <c r="B1239" s="2"/>
      <c r="C1239" s="2"/>
      <c r="D1239" s="5"/>
      <c r="E1239" s="5"/>
    </row>
    <row r="1240">
      <c r="A1240" s="2"/>
      <c r="B1240" s="2"/>
      <c r="C1240" s="2"/>
      <c r="D1240" s="5"/>
      <c r="E1240" s="5"/>
    </row>
    <row r="1241">
      <c r="A1241" s="2"/>
      <c r="B1241" s="2"/>
      <c r="C1241" s="2"/>
      <c r="D1241" s="5"/>
      <c r="E1241" s="5"/>
    </row>
    <row r="1242">
      <c r="A1242" s="2"/>
      <c r="B1242" s="2"/>
      <c r="C1242" s="2"/>
      <c r="D1242" s="5"/>
      <c r="E1242" s="5"/>
    </row>
    <row r="1243">
      <c r="A1243" s="2"/>
      <c r="B1243" s="2"/>
      <c r="C1243" s="2"/>
      <c r="D1243" s="5"/>
      <c r="E1243" s="5"/>
    </row>
    <row r="1244">
      <c r="A1244" s="2"/>
      <c r="B1244" s="2"/>
      <c r="C1244" s="2"/>
      <c r="D1244" s="5"/>
      <c r="E1244" s="5"/>
    </row>
    <row r="1245">
      <c r="A1245" s="2"/>
      <c r="B1245" s="2"/>
      <c r="C1245" s="2"/>
      <c r="D1245" s="5"/>
      <c r="E1245" s="5"/>
    </row>
    <row r="1246">
      <c r="A1246" s="2"/>
      <c r="B1246" s="2"/>
      <c r="C1246" s="2"/>
      <c r="D1246" s="5"/>
      <c r="E1246" s="5"/>
    </row>
    <row r="1247">
      <c r="A1247" s="2"/>
      <c r="B1247" s="2"/>
      <c r="C1247" s="2"/>
      <c r="D1247" s="5"/>
      <c r="E1247" s="5"/>
    </row>
    <row r="1248">
      <c r="A1248" s="2"/>
      <c r="B1248" s="2"/>
      <c r="C1248" s="2"/>
      <c r="D1248" s="5"/>
      <c r="E1248" s="5"/>
    </row>
    <row r="1249">
      <c r="A1249" s="2"/>
      <c r="B1249" s="2"/>
      <c r="C1249" s="2"/>
      <c r="D1249" s="5"/>
      <c r="E1249" s="5"/>
    </row>
    <row r="1250">
      <c r="A1250" s="2"/>
      <c r="B1250" s="2"/>
      <c r="C1250" s="2"/>
      <c r="D1250" s="5"/>
      <c r="E1250" s="5"/>
    </row>
    <row r="1251">
      <c r="A1251" s="2"/>
      <c r="B1251" s="2"/>
      <c r="C1251" s="2"/>
      <c r="D1251" s="5"/>
      <c r="E1251" s="5"/>
    </row>
    <row r="1252">
      <c r="A1252" s="2"/>
      <c r="B1252" s="2"/>
      <c r="C1252" s="2"/>
      <c r="D1252" s="5"/>
      <c r="E1252" s="5"/>
    </row>
    <row r="1253">
      <c r="A1253" s="2"/>
      <c r="B1253" s="2"/>
      <c r="C1253" s="2"/>
      <c r="D1253" s="5"/>
      <c r="E1253" s="5"/>
    </row>
    <row r="1254">
      <c r="A1254" s="2"/>
      <c r="B1254" s="2"/>
      <c r="C1254" s="2"/>
      <c r="D1254" s="5"/>
      <c r="E1254" s="5"/>
    </row>
    <row r="1255">
      <c r="A1255" s="2"/>
      <c r="B1255" s="2"/>
      <c r="C1255" s="2"/>
      <c r="D1255" s="5"/>
      <c r="E1255" s="5"/>
    </row>
    <row r="1256">
      <c r="A1256" s="2"/>
      <c r="B1256" s="2"/>
      <c r="C1256" s="2"/>
      <c r="D1256" s="5"/>
      <c r="E1256" s="5"/>
    </row>
    <row r="1257">
      <c r="A1257" s="2"/>
      <c r="B1257" s="2"/>
      <c r="C1257" s="2"/>
      <c r="D1257" s="5"/>
      <c r="E1257" s="5"/>
    </row>
    <row r="1258">
      <c r="A1258" s="2"/>
      <c r="B1258" s="2"/>
      <c r="C1258" s="2"/>
      <c r="D1258" s="5"/>
      <c r="E1258" s="5"/>
    </row>
    <row r="1259">
      <c r="A1259" s="2"/>
      <c r="B1259" s="2"/>
      <c r="C1259" s="2"/>
      <c r="D1259" s="5"/>
      <c r="E1259" s="5"/>
    </row>
    <row r="1260">
      <c r="A1260" s="2"/>
      <c r="B1260" s="2"/>
      <c r="C1260" s="2"/>
      <c r="D1260" s="5"/>
      <c r="E1260" s="5"/>
    </row>
    <row r="1261">
      <c r="A1261" s="2"/>
      <c r="B1261" s="2"/>
      <c r="C1261" s="2"/>
      <c r="D1261" s="5"/>
      <c r="E1261" s="5"/>
    </row>
    <row r="1262">
      <c r="A1262" s="2"/>
      <c r="B1262" s="2"/>
      <c r="C1262" s="2"/>
      <c r="D1262" s="5"/>
      <c r="E1262" s="5"/>
    </row>
    <row r="1263">
      <c r="A1263" s="2"/>
      <c r="B1263" s="2"/>
      <c r="C1263" s="2"/>
      <c r="D1263" s="5"/>
      <c r="E1263" s="5"/>
    </row>
    <row r="1264">
      <c r="A1264" s="2"/>
      <c r="B1264" s="2"/>
      <c r="C1264" s="2"/>
      <c r="D1264" s="5"/>
      <c r="E1264" s="5"/>
    </row>
    <row r="1265">
      <c r="A1265" s="2"/>
      <c r="B1265" s="2"/>
      <c r="C1265" s="2"/>
      <c r="D1265" s="5"/>
      <c r="E1265" s="5"/>
    </row>
    <row r="1266">
      <c r="A1266" s="2"/>
      <c r="B1266" s="2"/>
      <c r="C1266" s="2"/>
      <c r="D1266" s="5"/>
      <c r="E1266" s="5"/>
    </row>
    <row r="1267">
      <c r="A1267" s="2"/>
      <c r="B1267" s="2"/>
      <c r="C1267" s="2"/>
      <c r="D1267" s="5"/>
      <c r="E1267" s="5"/>
    </row>
    <row r="1268">
      <c r="A1268" s="2"/>
      <c r="B1268" s="2"/>
      <c r="C1268" s="2"/>
      <c r="D1268" s="5"/>
      <c r="E1268" s="5"/>
    </row>
    <row r="1269">
      <c r="A1269" s="2"/>
      <c r="B1269" s="2"/>
      <c r="C1269" s="2"/>
      <c r="D1269" s="5"/>
      <c r="E1269" s="5"/>
    </row>
    <row r="1270">
      <c r="A1270" s="2"/>
      <c r="B1270" s="2"/>
      <c r="C1270" s="2"/>
      <c r="D1270" s="5"/>
      <c r="E1270" s="5"/>
    </row>
    <row r="1271">
      <c r="A1271" s="2"/>
      <c r="B1271" s="2"/>
      <c r="C1271" s="2"/>
      <c r="D1271" s="5"/>
      <c r="E1271" s="5"/>
    </row>
    <row r="1272">
      <c r="A1272" s="2"/>
      <c r="B1272" s="2"/>
      <c r="C1272" s="2"/>
      <c r="D1272" s="5"/>
      <c r="E1272" s="5"/>
    </row>
    <row r="1273">
      <c r="A1273" s="2"/>
      <c r="B1273" s="2"/>
      <c r="C1273" s="2"/>
      <c r="D1273" s="5"/>
      <c r="E1273" s="5"/>
    </row>
    <row r="1274">
      <c r="A1274" s="2"/>
      <c r="B1274" s="2"/>
      <c r="C1274" s="2"/>
      <c r="D1274" s="5"/>
      <c r="E1274" s="5"/>
    </row>
    <row r="1275">
      <c r="A1275" s="2"/>
      <c r="B1275" s="2"/>
      <c r="C1275" s="2"/>
      <c r="D1275" s="5"/>
      <c r="E1275" s="5"/>
    </row>
    <row r="1276">
      <c r="A1276" s="2"/>
      <c r="B1276" s="2"/>
      <c r="C1276" s="2"/>
      <c r="D1276" s="5"/>
      <c r="E1276" s="5"/>
    </row>
    <row r="1277">
      <c r="A1277" s="2"/>
      <c r="B1277" s="2"/>
      <c r="C1277" s="2"/>
      <c r="D1277" s="5"/>
      <c r="E1277" s="5"/>
    </row>
    <row r="1278">
      <c r="A1278" s="2"/>
      <c r="B1278" s="2"/>
      <c r="C1278" s="2"/>
      <c r="D1278" s="5"/>
      <c r="E1278" s="5"/>
    </row>
    <row r="1279">
      <c r="A1279" s="2"/>
      <c r="B1279" s="2"/>
      <c r="C1279" s="2"/>
      <c r="D1279" s="5"/>
      <c r="E1279" s="5"/>
    </row>
    <row r="1280">
      <c r="A1280" s="2"/>
      <c r="B1280" s="2"/>
      <c r="C1280" s="2"/>
      <c r="D1280" s="5"/>
      <c r="E1280" s="5"/>
    </row>
    <row r="1281">
      <c r="A1281" s="2"/>
      <c r="B1281" s="2"/>
      <c r="C1281" s="2"/>
      <c r="D1281" s="5"/>
      <c r="E1281" s="5"/>
    </row>
    <row r="1282">
      <c r="A1282" s="2"/>
      <c r="B1282" s="2"/>
      <c r="C1282" s="2"/>
      <c r="D1282" s="5"/>
      <c r="E1282" s="5"/>
    </row>
    <row r="1283">
      <c r="A1283" s="2"/>
      <c r="B1283" s="2"/>
      <c r="C1283" s="2"/>
      <c r="D1283" s="5"/>
      <c r="E1283" s="5"/>
    </row>
    <row r="1284">
      <c r="A1284" s="2"/>
      <c r="B1284" s="2"/>
      <c r="C1284" s="2"/>
      <c r="D1284" s="5"/>
      <c r="E1284" s="5"/>
    </row>
    <row r="1285">
      <c r="A1285" s="2"/>
      <c r="B1285" s="2"/>
      <c r="C1285" s="2"/>
      <c r="D1285" s="5"/>
      <c r="E1285" s="5"/>
    </row>
    <row r="1286">
      <c r="A1286" s="2"/>
      <c r="B1286" s="2"/>
      <c r="C1286" s="2"/>
      <c r="D1286" s="5"/>
      <c r="E1286" s="5"/>
    </row>
    <row r="1287">
      <c r="A1287" s="2"/>
      <c r="B1287" s="2"/>
      <c r="C1287" s="2"/>
      <c r="D1287" s="5"/>
      <c r="E1287" s="5"/>
    </row>
    <row r="1288">
      <c r="A1288" s="2"/>
      <c r="B1288" s="2"/>
      <c r="C1288" s="2"/>
      <c r="D1288" s="5"/>
      <c r="E1288" s="5"/>
    </row>
    <row r="1289">
      <c r="A1289" s="2"/>
      <c r="B1289" s="2"/>
      <c r="C1289" s="2"/>
      <c r="D1289" s="5"/>
      <c r="E1289" s="5"/>
    </row>
    <row r="1290">
      <c r="A1290" s="2"/>
      <c r="B1290" s="2"/>
      <c r="C1290" s="2"/>
      <c r="D1290" s="5"/>
      <c r="E1290" s="5"/>
    </row>
    <row r="1291">
      <c r="A1291" s="2"/>
      <c r="B1291" s="2"/>
      <c r="C1291" s="2"/>
      <c r="D1291" s="5"/>
      <c r="E1291" s="5"/>
    </row>
    <row r="1292">
      <c r="A1292" s="2"/>
      <c r="B1292" s="2"/>
      <c r="C1292" s="2"/>
      <c r="D1292" s="5"/>
      <c r="E1292" s="5"/>
    </row>
    <row r="1293">
      <c r="A1293" s="2"/>
      <c r="B1293" s="2"/>
      <c r="C1293" s="2"/>
      <c r="D1293" s="5"/>
      <c r="E1293" s="5"/>
    </row>
    <row r="1294">
      <c r="A1294" s="2"/>
      <c r="B1294" s="2"/>
      <c r="C1294" s="2"/>
      <c r="D1294" s="5"/>
      <c r="E1294" s="5"/>
    </row>
    <row r="1295">
      <c r="A1295" s="2"/>
      <c r="B1295" s="2"/>
      <c r="C1295" s="2"/>
      <c r="D1295" s="5"/>
      <c r="E1295" s="5"/>
    </row>
    <row r="1296">
      <c r="A1296" s="2"/>
      <c r="B1296" s="2"/>
      <c r="C1296" s="2"/>
      <c r="D1296" s="5"/>
      <c r="E1296" s="5"/>
    </row>
    <row r="1297">
      <c r="A1297" s="2"/>
      <c r="B1297" s="2"/>
      <c r="C1297" s="2"/>
      <c r="D1297" s="5"/>
      <c r="E1297" s="5"/>
    </row>
    <row r="1298">
      <c r="A1298" s="2"/>
      <c r="B1298" s="2"/>
      <c r="C1298" s="2"/>
      <c r="D1298" s="5"/>
      <c r="E1298" s="5"/>
    </row>
    <row r="1299">
      <c r="A1299" s="2"/>
      <c r="B1299" s="2"/>
      <c r="C1299" s="2"/>
      <c r="D1299" s="5"/>
      <c r="E1299" s="5"/>
    </row>
    <row r="1300">
      <c r="A1300" s="2"/>
      <c r="B1300" s="2"/>
      <c r="C1300" s="2"/>
      <c r="D1300" s="5"/>
      <c r="E1300" s="5"/>
    </row>
    <row r="1301">
      <c r="A1301" s="2"/>
      <c r="B1301" s="2"/>
      <c r="C1301" s="2"/>
      <c r="D1301" s="5"/>
      <c r="E1301" s="5"/>
    </row>
    <row r="1302">
      <c r="A1302" s="2"/>
      <c r="B1302" s="2"/>
      <c r="C1302" s="2"/>
      <c r="D1302" s="5"/>
      <c r="E1302" s="5"/>
    </row>
    <row r="1303">
      <c r="A1303" s="2"/>
      <c r="B1303" s="2"/>
      <c r="C1303" s="2"/>
      <c r="D1303" s="5"/>
      <c r="E1303" s="5"/>
    </row>
    <row r="1304">
      <c r="A1304" s="2"/>
      <c r="B1304" s="2"/>
      <c r="C1304" s="2"/>
      <c r="D1304" s="5"/>
      <c r="E1304" s="5"/>
    </row>
    <row r="1305">
      <c r="A1305" s="2"/>
      <c r="B1305" s="2"/>
      <c r="C1305" s="2"/>
      <c r="D1305" s="5"/>
      <c r="E1305" s="5"/>
    </row>
    <row r="1306">
      <c r="A1306" s="2"/>
      <c r="B1306" s="2"/>
      <c r="C1306" s="2"/>
      <c r="D1306" s="5"/>
      <c r="E1306" s="5"/>
    </row>
    <row r="1307">
      <c r="A1307" s="2"/>
      <c r="B1307" s="2"/>
      <c r="C1307" s="2"/>
      <c r="D1307" s="5"/>
      <c r="E1307" s="5"/>
    </row>
    <row r="1308">
      <c r="A1308" s="2"/>
      <c r="B1308" s="2"/>
      <c r="C1308" s="2"/>
      <c r="D1308" s="5"/>
      <c r="E1308" s="5"/>
    </row>
    <row r="1309">
      <c r="A1309" s="2"/>
      <c r="B1309" s="2"/>
      <c r="C1309" s="2"/>
      <c r="D1309" s="5"/>
      <c r="E1309" s="5"/>
    </row>
    <row r="1310">
      <c r="A1310" s="2"/>
      <c r="B1310" s="2"/>
      <c r="C1310" s="2"/>
      <c r="D1310" s="5"/>
      <c r="E1310" s="5"/>
    </row>
    <row r="1311">
      <c r="A1311" s="2"/>
      <c r="B1311" s="2"/>
      <c r="C1311" s="2"/>
      <c r="D1311" s="5"/>
      <c r="E1311" s="5"/>
    </row>
    <row r="1312">
      <c r="A1312" s="2"/>
      <c r="B1312" s="2"/>
      <c r="C1312" s="2"/>
      <c r="D1312" s="5"/>
      <c r="E1312" s="5"/>
    </row>
    <row r="1313">
      <c r="A1313" s="2"/>
      <c r="B1313" s="2"/>
      <c r="C1313" s="2"/>
      <c r="D1313" s="5"/>
      <c r="E1313" s="5"/>
    </row>
    <row r="1314">
      <c r="A1314" s="2"/>
      <c r="B1314" s="2"/>
      <c r="C1314" s="2"/>
      <c r="D1314" s="5"/>
      <c r="E1314" s="5"/>
    </row>
    <row r="1315">
      <c r="A1315" s="2"/>
      <c r="B1315" s="2"/>
      <c r="C1315" s="2"/>
      <c r="D1315" s="5"/>
      <c r="E1315" s="5"/>
    </row>
    <row r="1316">
      <c r="A1316" s="2"/>
      <c r="B1316" s="2"/>
      <c r="C1316" s="2"/>
      <c r="D1316" s="5"/>
      <c r="E1316" s="5"/>
    </row>
    <row r="1317">
      <c r="A1317" s="2"/>
      <c r="B1317" s="2"/>
      <c r="C1317" s="2"/>
      <c r="D1317" s="5"/>
      <c r="E1317" s="5"/>
    </row>
    <row r="1318">
      <c r="A1318" s="2"/>
      <c r="B1318" s="2"/>
      <c r="C1318" s="2"/>
      <c r="D1318" s="5"/>
      <c r="E1318" s="5"/>
    </row>
    <row r="1319">
      <c r="A1319" s="2"/>
      <c r="B1319" s="2"/>
      <c r="C1319" s="2"/>
      <c r="D1319" s="5"/>
      <c r="E1319" s="5"/>
    </row>
    <row r="1320">
      <c r="A1320" s="2"/>
      <c r="B1320" s="2"/>
      <c r="C1320" s="2"/>
      <c r="D1320" s="5"/>
      <c r="E1320" s="5"/>
    </row>
    <row r="1321">
      <c r="A1321" s="2"/>
      <c r="B1321" s="2"/>
      <c r="C1321" s="2"/>
      <c r="D1321" s="5"/>
      <c r="E1321" s="5"/>
    </row>
    <row r="1322">
      <c r="A1322" s="2"/>
      <c r="B1322" s="2"/>
      <c r="C1322" s="2"/>
      <c r="D1322" s="5"/>
      <c r="E1322" s="5"/>
    </row>
    <row r="1323">
      <c r="A1323" s="2"/>
      <c r="B1323" s="2"/>
      <c r="C1323" s="2"/>
      <c r="D1323" s="5"/>
      <c r="E1323" s="5"/>
    </row>
    <row r="1324">
      <c r="A1324" s="2"/>
      <c r="B1324" s="2"/>
      <c r="C1324" s="2"/>
      <c r="D1324" s="5"/>
      <c r="E1324" s="5"/>
    </row>
    <row r="1325">
      <c r="A1325" s="2"/>
      <c r="B1325" s="2"/>
      <c r="C1325" s="2"/>
      <c r="D1325" s="5"/>
      <c r="E1325" s="5"/>
    </row>
    <row r="1326">
      <c r="A1326" s="2"/>
      <c r="B1326" s="2"/>
      <c r="C1326" s="2"/>
      <c r="D1326" s="5"/>
      <c r="E1326" s="5"/>
    </row>
    <row r="1327">
      <c r="A1327" s="2"/>
      <c r="B1327" s="2"/>
      <c r="C1327" s="2"/>
      <c r="D1327" s="5"/>
      <c r="E1327" s="5"/>
    </row>
    <row r="1328">
      <c r="A1328" s="2"/>
      <c r="B1328" s="2"/>
      <c r="C1328" s="2"/>
      <c r="D1328" s="5"/>
      <c r="E1328" s="5"/>
    </row>
    <row r="1329">
      <c r="A1329" s="2"/>
      <c r="B1329" s="2"/>
      <c r="C1329" s="2"/>
      <c r="D1329" s="5"/>
      <c r="E1329" s="5"/>
    </row>
    <row r="1330">
      <c r="A1330" s="2"/>
      <c r="B1330" s="2"/>
      <c r="C1330" s="2"/>
      <c r="D1330" s="5"/>
      <c r="E1330" s="5"/>
    </row>
    <row r="1331">
      <c r="A1331" s="2"/>
      <c r="B1331" s="2"/>
      <c r="C1331" s="2"/>
      <c r="D1331" s="5"/>
      <c r="E1331" s="5"/>
    </row>
    <row r="1332">
      <c r="A1332" s="2"/>
      <c r="B1332" s="2"/>
      <c r="C1332" s="2"/>
      <c r="D1332" s="5"/>
      <c r="E1332" s="5"/>
    </row>
    <row r="1333">
      <c r="A1333" s="2"/>
      <c r="B1333" s="2"/>
      <c r="C1333" s="2"/>
      <c r="D1333" s="5"/>
      <c r="E1333" s="5"/>
    </row>
    <row r="1334">
      <c r="A1334" s="2"/>
      <c r="B1334" s="2"/>
      <c r="C1334" s="2"/>
      <c r="D1334" s="5"/>
      <c r="E1334" s="5"/>
    </row>
    <row r="1335">
      <c r="A1335" s="2"/>
      <c r="B1335" s="2"/>
      <c r="C1335" s="2"/>
      <c r="D1335" s="5"/>
      <c r="E1335" s="5"/>
    </row>
    <row r="1336">
      <c r="A1336" s="2"/>
      <c r="B1336" s="2"/>
      <c r="C1336" s="2"/>
      <c r="D1336" s="5"/>
      <c r="E1336" s="5"/>
    </row>
    <row r="1337">
      <c r="A1337" s="2"/>
      <c r="B1337" s="2"/>
      <c r="C1337" s="2"/>
      <c r="D1337" s="5"/>
      <c r="E1337" s="5"/>
    </row>
    <row r="1338">
      <c r="A1338" s="2"/>
      <c r="B1338" s="2"/>
      <c r="C1338" s="2"/>
      <c r="D1338" s="5"/>
      <c r="E1338" s="5"/>
    </row>
    <row r="1339">
      <c r="A1339" s="2"/>
      <c r="B1339" s="2"/>
      <c r="C1339" s="2"/>
      <c r="D1339" s="5"/>
      <c r="E1339" s="5"/>
    </row>
    <row r="1340">
      <c r="A1340" s="2"/>
      <c r="B1340" s="2"/>
      <c r="C1340" s="2"/>
      <c r="D1340" s="5"/>
      <c r="E1340" s="5"/>
    </row>
    <row r="1341">
      <c r="A1341" s="2"/>
      <c r="B1341" s="2"/>
      <c r="C1341" s="2"/>
      <c r="D1341" s="5"/>
      <c r="E1341" s="5"/>
    </row>
    <row r="1342">
      <c r="A1342" s="2"/>
      <c r="B1342" s="2"/>
      <c r="C1342" s="2"/>
      <c r="D1342" s="5"/>
      <c r="E1342" s="5"/>
    </row>
    <row r="1343">
      <c r="A1343" s="2"/>
      <c r="B1343" s="2"/>
      <c r="C1343" s="2"/>
      <c r="D1343" s="5"/>
      <c r="E1343" s="5"/>
    </row>
    <row r="1344">
      <c r="A1344" s="2"/>
      <c r="B1344" s="2"/>
      <c r="C1344" s="2"/>
      <c r="D1344" s="5"/>
      <c r="E1344" s="5"/>
    </row>
    <row r="1345">
      <c r="A1345" s="2"/>
      <c r="B1345" s="2"/>
      <c r="C1345" s="2"/>
      <c r="D1345" s="5"/>
      <c r="E1345" s="5"/>
    </row>
    <row r="1346">
      <c r="A1346" s="2"/>
      <c r="B1346" s="2"/>
      <c r="C1346" s="2"/>
      <c r="D1346" s="5"/>
      <c r="E1346" s="5"/>
    </row>
    <row r="1347">
      <c r="A1347" s="2"/>
      <c r="B1347" s="2"/>
      <c r="C1347" s="2"/>
      <c r="D1347" s="5"/>
      <c r="E1347" s="5"/>
    </row>
    <row r="1348">
      <c r="A1348" s="2"/>
      <c r="B1348" s="2"/>
      <c r="C1348" s="2"/>
      <c r="D1348" s="5"/>
      <c r="E1348" s="5"/>
    </row>
    <row r="1349">
      <c r="A1349" s="2"/>
      <c r="B1349" s="2"/>
      <c r="C1349" s="2"/>
      <c r="D1349" s="5"/>
      <c r="E1349" s="5"/>
    </row>
    <row r="1350">
      <c r="A1350" s="2"/>
      <c r="B1350" s="2"/>
      <c r="C1350" s="2"/>
      <c r="D1350" s="5"/>
      <c r="E1350" s="5"/>
    </row>
    <row r="1351">
      <c r="A1351" s="2"/>
      <c r="B1351" s="2"/>
      <c r="C1351" s="2"/>
      <c r="D1351" s="5"/>
      <c r="E1351" s="5"/>
    </row>
    <row r="1352">
      <c r="A1352" s="2"/>
      <c r="B1352" s="2"/>
      <c r="C1352" s="2"/>
      <c r="D1352" s="5"/>
      <c r="E1352" s="5"/>
    </row>
    <row r="1353">
      <c r="A1353" s="2"/>
      <c r="B1353" s="2"/>
      <c r="C1353" s="2"/>
      <c r="D1353" s="5"/>
      <c r="E1353" s="5"/>
    </row>
    <row r="1354">
      <c r="A1354" s="2"/>
      <c r="B1354" s="2"/>
      <c r="C1354" s="2"/>
      <c r="D1354" s="5"/>
      <c r="E1354" s="5"/>
    </row>
    <row r="1355">
      <c r="A1355" s="2"/>
      <c r="B1355" s="2"/>
      <c r="C1355" s="2"/>
      <c r="D1355" s="5"/>
      <c r="E1355" s="5"/>
    </row>
    <row r="1356">
      <c r="A1356" s="2"/>
      <c r="B1356" s="2"/>
      <c r="C1356" s="2"/>
      <c r="D1356" s="5"/>
      <c r="E1356" s="5"/>
    </row>
    <row r="1357">
      <c r="A1357" s="2"/>
      <c r="B1357" s="2"/>
      <c r="C1357" s="2"/>
      <c r="D1357" s="5"/>
      <c r="E1357" s="5"/>
    </row>
    <row r="1358">
      <c r="A1358" s="2"/>
      <c r="B1358" s="2"/>
      <c r="C1358" s="2"/>
      <c r="D1358" s="5"/>
      <c r="E1358" s="5"/>
    </row>
    <row r="1359">
      <c r="A1359" s="2"/>
      <c r="B1359" s="2"/>
      <c r="C1359" s="2"/>
      <c r="D1359" s="5"/>
      <c r="E1359" s="5"/>
    </row>
    <row r="1360">
      <c r="A1360" s="2"/>
      <c r="B1360" s="2"/>
      <c r="C1360" s="2"/>
      <c r="D1360" s="5"/>
      <c r="E1360" s="5"/>
    </row>
    <row r="1361">
      <c r="A1361" s="2"/>
      <c r="B1361" s="2"/>
      <c r="C1361" s="2"/>
      <c r="D1361" s="5"/>
      <c r="E1361" s="5"/>
    </row>
    <row r="1362">
      <c r="A1362" s="2"/>
      <c r="B1362" s="2"/>
      <c r="C1362" s="2"/>
      <c r="D1362" s="5"/>
      <c r="E1362" s="5"/>
    </row>
    <row r="1363">
      <c r="A1363" s="2"/>
      <c r="B1363" s="2"/>
      <c r="C1363" s="2"/>
      <c r="D1363" s="5"/>
      <c r="E1363" s="5"/>
    </row>
    <row r="1364">
      <c r="A1364" s="2"/>
      <c r="B1364" s="2"/>
      <c r="C1364" s="2"/>
      <c r="D1364" s="5"/>
      <c r="E1364" s="5"/>
    </row>
    <row r="1365">
      <c r="A1365" s="2"/>
      <c r="B1365" s="2"/>
      <c r="C1365" s="2"/>
      <c r="D1365" s="5"/>
      <c r="E1365" s="5"/>
    </row>
    <row r="1366">
      <c r="A1366" s="2"/>
      <c r="B1366" s="2"/>
      <c r="C1366" s="2"/>
      <c r="D1366" s="5"/>
      <c r="E1366" s="5"/>
    </row>
    <row r="1367">
      <c r="A1367" s="2"/>
      <c r="B1367" s="2"/>
      <c r="C1367" s="2"/>
      <c r="D1367" s="5"/>
      <c r="E1367" s="5"/>
    </row>
    <row r="1368">
      <c r="A1368" s="2"/>
      <c r="B1368" s="2"/>
      <c r="C1368" s="2"/>
      <c r="D1368" s="5"/>
      <c r="E1368" s="5"/>
    </row>
    <row r="1369">
      <c r="A1369" s="2"/>
      <c r="B1369" s="2"/>
      <c r="C1369" s="2"/>
      <c r="D1369" s="5"/>
      <c r="E1369" s="5"/>
    </row>
    <row r="1370">
      <c r="A1370" s="2"/>
      <c r="B1370" s="2"/>
      <c r="C1370" s="2"/>
      <c r="D1370" s="5"/>
      <c r="E1370" s="5"/>
    </row>
    <row r="1371">
      <c r="A1371" s="2"/>
      <c r="B1371" s="2"/>
      <c r="C1371" s="2"/>
      <c r="D1371" s="5"/>
      <c r="E1371" s="5"/>
    </row>
    <row r="1372">
      <c r="A1372" s="2"/>
      <c r="B1372" s="2"/>
      <c r="C1372" s="2"/>
      <c r="D1372" s="5"/>
      <c r="E1372" s="5"/>
    </row>
    <row r="1373">
      <c r="A1373" s="2"/>
      <c r="B1373" s="2"/>
      <c r="C1373" s="2"/>
      <c r="D1373" s="5"/>
      <c r="E1373" s="5"/>
    </row>
    <row r="1374">
      <c r="A1374" s="2"/>
      <c r="B1374" s="2"/>
      <c r="C1374" s="2"/>
      <c r="D1374" s="5"/>
      <c r="E1374" s="5"/>
    </row>
    <row r="1375">
      <c r="A1375" s="2"/>
      <c r="B1375" s="2"/>
      <c r="C1375" s="2"/>
      <c r="D1375" s="5"/>
      <c r="E1375" s="5"/>
    </row>
    <row r="1376">
      <c r="A1376" s="2"/>
      <c r="B1376" s="2"/>
      <c r="C1376" s="2"/>
      <c r="D1376" s="5"/>
      <c r="E1376" s="5"/>
    </row>
    <row r="1377">
      <c r="A1377" s="2"/>
      <c r="B1377" s="2"/>
      <c r="C1377" s="2"/>
      <c r="D1377" s="5"/>
      <c r="E1377" s="5"/>
    </row>
    <row r="1378">
      <c r="A1378" s="2"/>
      <c r="B1378" s="2"/>
      <c r="C1378" s="2"/>
      <c r="D1378" s="5"/>
      <c r="E1378" s="5"/>
    </row>
    <row r="1379">
      <c r="A1379" s="2"/>
      <c r="B1379" s="2"/>
      <c r="C1379" s="2"/>
      <c r="D1379" s="5"/>
      <c r="E1379" s="5"/>
    </row>
    <row r="1380">
      <c r="A1380" s="2"/>
      <c r="B1380" s="2"/>
      <c r="C1380" s="2"/>
      <c r="D1380" s="5"/>
      <c r="E1380" s="5"/>
    </row>
    <row r="1381">
      <c r="A1381" s="2"/>
      <c r="B1381" s="2"/>
      <c r="C1381" s="2"/>
      <c r="D1381" s="5"/>
      <c r="E1381" s="5"/>
    </row>
    <row r="1382">
      <c r="A1382" s="2"/>
      <c r="B1382" s="2"/>
      <c r="C1382" s="2"/>
      <c r="D1382" s="5"/>
      <c r="E1382" s="5"/>
    </row>
    <row r="1383">
      <c r="A1383" s="2"/>
      <c r="B1383" s="2"/>
      <c r="C1383" s="2"/>
      <c r="D1383" s="5"/>
      <c r="E1383" s="5"/>
    </row>
    <row r="1384">
      <c r="A1384" s="2"/>
      <c r="B1384" s="2"/>
      <c r="C1384" s="2"/>
      <c r="D1384" s="5"/>
      <c r="E1384" s="5"/>
    </row>
    <row r="1385">
      <c r="A1385" s="2"/>
      <c r="B1385" s="2"/>
      <c r="C1385" s="2"/>
      <c r="D1385" s="5"/>
      <c r="E1385" s="5"/>
    </row>
    <row r="1386">
      <c r="A1386" s="2"/>
      <c r="B1386" s="2"/>
      <c r="C1386" s="2"/>
      <c r="D1386" s="5"/>
      <c r="E1386" s="5"/>
    </row>
    <row r="1387">
      <c r="A1387" s="2"/>
      <c r="B1387" s="2"/>
      <c r="C1387" s="2"/>
      <c r="D1387" s="5"/>
      <c r="E1387" s="5"/>
    </row>
    <row r="1388">
      <c r="A1388" s="2"/>
      <c r="B1388" s="2"/>
      <c r="C1388" s="2"/>
      <c r="D1388" s="5"/>
      <c r="E1388" s="5"/>
    </row>
    <row r="1389">
      <c r="A1389" s="2"/>
      <c r="B1389" s="2"/>
      <c r="C1389" s="2"/>
      <c r="D1389" s="5"/>
      <c r="E1389" s="5"/>
    </row>
    <row r="1390">
      <c r="A1390" s="2"/>
      <c r="B1390" s="2"/>
      <c r="C1390" s="2"/>
      <c r="D1390" s="5"/>
      <c r="E1390" s="5"/>
    </row>
    <row r="1391">
      <c r="A1391" s="2"/>
      <c r="B1391" s="2"/>
      <c r="C1391" s="2"/>
      <c r="D1391" s="5"/>
      <c r="E1391" s="5"/>
    </row>
    <row r="1392">
      <c r="A1392" s="2"/>
      <c r="B1392" s="2"/>
      <c r="C1392" s="2"/>
      <c r="D1392" s="5"/>
      <c r="E1392" s="5"/>
    </row>
    <row r="1393">
      <c r="A1393" s="2"/>
      <c r="B1393" s="2"/>
      <c r="C1393" s="2"/>
      <c r="D1393" s="5"/>
      <c r="E1393" s="5"/>
    </row>
    <row r="1394">
      <c r="A1394" s="2"/>
      <c r="B1394" s="2"/>
      <c r="C1394" s="2"/>
      <c r="D1394" s="5"/>
      <c r="E1394" s="5"/>
    </row>
    <row r="1395">
      <c r="A1395" s="2"/>
      <c r="B1395" s="2"/>
      <c r="C1395" s="2"/>
      <c r="D1395" s="5"/>
      <c r="E1395" s="5"/>
    </row>
    <row r="1396">
      <c r="A1396" s="2"/>
      <c r="B1396" s="2"/>
      <c r="C1396" s="2"/>
      <c r="D1396" s="5"/>
      <c r="E1396" s="5"/>
    </row>
    <row r="1397">
      <c r="A1397" s="2"/>
      <c r="B1397" s="2"/>
      <c r="C1397" s="2"/>
      <c r="D1397" s="5"/>
      <c r="E1397" s="5"/>
    </row>
    <row r="1398">
      <c r="A1398" s="2"/>
      <c r="B1398" s="2"/>
      <c r="C1398" s="2"/>
      <c r="D1398" s="5"/>
      <c r="E1398" s="5"/>
    </row>
    <row r="1399">
      <c r="A1399" s="2"/>
      <c r="B1399" s="2"/>
      <c r="C1399" s="2"/>
      <c r="D1399" s="5"/>
      <c r="E1399" s="5"/>
    </row>
    <row r="1400">
      <c r="A1400" s="2"/>
      <c r="B1400" s="2"/>
      <c r="C1400" s="2"/>
      <c r="D1400" s="5"/>
      <c r="E1400" s="5"/>
    </row>
    <row r="1401">
      <c r="A1401" s="2"/>
      <c r="B1401" s="2"/>
      <c r="C1401" s="2"/>
      <c r="D1401" s="5"/>
      <c r="E1401" s="5"/>
    </row>
    <row r="1402">
      <c r="A1402" s="2"/>
      <c r="B1402" s="2"/>
      <c r="C1402" s="2"/>
      <c r="D1402" s="5"/>
      <c r="E1402" s="5"/>
    </row>
    <row r="1403">
      <c r="A1403" s="2"/>
      <c r="B1403" s="2"/>
      <c r="C1403" s="2"/>
      <c r="D1403" s="5"/>
      <c r="E1403" s="5"/>
    </row>
    <row r="1404">
      <c r="A1404" s="2"/>
      <c r="B1404" s="2"/>
      <c r="C1404" s="2"/>
      <c r="D1404" s="5"/>
      <c r="E1404" s="5"/>
    </row>
    <row r="1405">
      <c r="A1405" s="2"/>
      <c r="B1405" s="2"/>
      <c r="C1405" s="2"/>
      <c r="D1405" s="5"/>
      <c r="E1405" s="5"/>
    </row>
    <row r="1406">
      <c r="A1406" s="2"/>
      <c r="B1406" s="2"/>
      <c r="C1406" s="2"/>
      <c r="D1406" s="5"/>
      <c r="E1406" s="5"/>
    </row>
    <row r="1407">
      <c r="A1407" s="2"/>
      <c r="B1407" s="2"/>
      <c r="C1407" s="2"/>
      <c r="D1407" s="5"/>
      <c r="E1407" s="5"/>
    </row>
    <row r="1408">
      <c r="A1408" s="2"/>
      <c r="B1408" s="2"/>
      <c r="C1408" s="2"/>
      <c r="D1408" s="5"/>
      <c r="E1408" s="5"/>
    </row>
    <row r="1409">
      <c r="A1409" s="2"/>
      <c r="B1409" s="2"/>
      <c r="C1409" s="2"/>
      <c r="D1409" s="5"/>
      <c r="E1409" s="5"/>
    </row>
    <row r="1410">
      <c r="A1410" s="2"/>
      <c r="B1410" s="2"/>
      <c r="C1410" s="2"/>
      <c r="D1410" s="5"/>
      <c r="E1410" s="5"/>
    </row>
    <row r="1411">
      <c r="A1411" s="2"/>
      <c r="B1411" s="2"/>
      <c r="C1411" s="2"/>
      <c r="D1411" s="5"/>
      <c r="E1411" s="5"/>
    </row>
    <row r="1412">
      <c r="A1412" s="2"/>
      <c r="B1412" s="2"/>
      <c r="C1412" s="2"/>
      <c r="D1412" s="5"/>
      <c r="E1412" s="5"/>
    </row>
    <row r="1413">
      <c r="A1413" s="2"/>
      <c r="B1413" s="2"/>
      <c r="C1413" s="2"/>
      <c r="D1413" s="5"/>
      <c r="E1413" s="5"/>
    </row>
    <row r="1414">
      <c r="A1414" s="2"/>
      <c r="B1414" s="2"/>
      <c r="C1414" s="2"/>
      <c r="D1414" s="5"/>
      <c r="E1414" s="5"/>
    </row>
    <row r="1415">
      <c r="A1415" s="2"/>
      <c r="B1415" s="2"/>
      <c r="C1415" s="2"/>
      <c r="D1415" s="5"/>
      <c r="E1415" s="5"/>
    </row>
    <row r="1416">
      <c r="A1416" s="2"/>
      <c r="B1416" s="2"/>
      <c r="C1416" s="2"/>
      <c r="D1416" s="5"/>
      <c r="E1416" s="5"/>
    </row>
    <row r="1417">
      <c r="A1417" s="2"/>
      <c r="B1417" s="2"/>
      <c r="C1417" s="2"/>
      <c r="D1417" s="5"/>
      <c r="E1417" s="5"/>
    </row>
    <row r="1418">
      <c r="A1418" s="2"/>
      <c r="B1418" s="2"/>
      <c r="C1418" s="2"/>
      <c r="D1418" s="5"/>
      <c r="E1418" s="5"/>
    </row>
    <row r="1419">
      <c r="A1419" s="2"/>
      <c r="B1419" s="2"/>
      <c r="C1419" s="2"/>
      <c r="D1419" s="5"/>
      <c r="E1419" s="5"/>
    </row>
    <row r="1420">
      <c r="A1420" s="2"/>
      <c r="B1420" s="2"/>
      <c r="C1420" s="2"/>
      <c r="D1420" s="5"/>
      <c r="E1420" s="5"/>
    </row>
    <row r="1421">
      <c r="A1421" s="2"/>
      <c r="B1421" s="2"/>
      <c r="C1421" s="2"/>
      <c r="D1421" s="5"/>
      <c r="E1421" s="5"/>
    </row>
    <row r="1422">
      <c r="A1422" s="2"/>
      <c r="B1422" s="2"/>
      <c r="C1422" s="2"/>
      <c r="D1422" s="5"/>
      <c r="E1422" s="5"/>
    </row>
    <row r="1423">
      <c r="A1423" s="2"/>
      <c r="B1423" s="2"/>
      <c r="C1423" s="2"/>
      <c r="D1423" s="5"/>
      <c r="E1423" s="5"/>
    </row>
    <row r="1424">
      <c r="A1424" s="2"/>
      <c r="B1424" s="2"/>
      <c r="C1424" s="2"/>
      <c r="D1424" s="5"/>
      <c r="E1424" s="5"/>
    </row>
    <row r="1425">
      <c r="A1425" s="2"/>
      <c r="B1425" s="2"/>
      <c r="C1425" s="2"/>
      <c r="D1425" s="5"/>
      <c r="E1425" s="5"/>
    </row>
    <row r="1426">
      <c r="A1426" s="2"/>
      <c r="B1426" s="2"/>
      <c r="C1426" s="2"/>
      <c r="D1426" s="5"/>
      <c r="E1426" s="5"/>
    </row>
    <row r="1427">
      <c r="A1427" s="2"/>
      <c r="B1427" s="2"/>
      <c r="C1427" s="2"/>
      <c r="D1427" s="5"/>
      <c r="E1427" s="5"/>
    </row>
    <row r="1428">
      <c r="A1428" s="2"/>
      <c r="B1428" s="2"/>
      <c r="C1428" s="2"/>
      <c r="D1428" s="5"/>
      <c r="E1428" s="5"/>
    </row>
    <row r="1429">
      <c r="A1429" s="2"/>
      <c r="B1429" s="2"/>
      <c r="C1429" s="2"/>
      <c r="D1429" s="5"/>
      <c r="E1429" s="5"/>
    </row>
    <row r="1430">
      <c r="A1430" s="2"/>
      <c r="B1430" s="2"/>
      <c r="C1430" s="2"/>
      <c r="D1430" s="5"/>
      <c r="E1430" s="5"/>
    </row>
    <row r="1431">
      <c r="A1431" s="2"/>
      <c r="B1431" s="2"/>
      <c r="C1431" s="2"/>
      <c r="D1431" s="5"/>
      <c r="E1431" s="5"/>
    </row>
    <row r="1432">
      <c r="A1432" s="2"/>
      <c r="B1432" s="2"/>
      <c r="C1432" s="2"/>
      <c r="D1432" s="5"/>
      <c r="E1432" s="5"/>
    </row>
    <row r="1433">
      <c r="A1433" s="2"/>
      <c r="B1433" s="2"/>
      <c r="C1433" s="2"/>
      <c r="D1433" s="5"/>
      <c r="E1433" s="5"/>
    </row>
    <row r="1434">
      <c r="A1434" s="2"/>
      <c r="B1434" s="2"/>
      <c r="C1434" s="2"/>
      <c r="D1434" s="5"/>
      <c r="E1434" s="5"/>
    </row>
    <row r="1435">
      <c r="A1435" s="2"/>
      <c r="B1435" s="2"/>
      <c r="C1435" s="2"/>
      <c r="D1435" s="5"/>
      <c r="E1435" s="5"/>
    </row>
    <row r="1436">
      <c r="A1436" s="2"/>
      <c r="B1436" s="2"/>
      <c r="C1436" s="2"/>
      <c r="D1436" s="5"/>
      <c r="E1436" s="5"/>
    </row>
    <row r="1437">
      <c r="A1437" s="2"/>
      <c r="B1437" s="2"/>
      <c r="C1437" s="2"/>
      <c r="D1437" s="5"/>
      <c r="E1437" s="5"/>
    </row>
    <row r="1438">
      <c r="A1438" s="2"/>
      <c r="B1438" s="2"/>
      <c r="C1438" s="2"/>
      <c r="D1438" s="5"/>
      <c r="E1438" s="5"/>
    </row>
    <row r="1439">
      <c r="A1439" s="2"/>
      <c r="B1439" s="2"/>
      <c r="C1439" s="2"/>
      <c r="D1439" s="5"/>
      <c r="E1439" s="5"/>
    </row>
    <row r="1440">
      <c r="A1440" s="2"/>
      <c r="B1440" s="2"/>
      <c r="C1440" s="2"/>
      <c r="D1440" s="5"/>
      <c r="E1440" s="5"/>
    </row>
    <row r="1441">
      <c r="A1441" s="2"/>
      <c r="B1441" s="2"/>
      <c r="C1441" s="2"/>
      <c r="D1441" s="5"/>
      <c r="E1441" s="5"/>
    </row>
    <row r="1442">
      <c r="A1442" s="2"/>
      <c r="B1442" s="2"/>
      <c r="C1442" s="2"/>
      <c r="D1442" s="5"/>
      <c r="E1442" s="5"/>
    </row>
    <row r="1443">
      <c r="A1443" s="2"/>
      <c r="B1443" s="2"/>
      <c r="C1443" s="2"/>
      <c r="D1443" s="5"/>
      <c r="E1443" s="5"/>
    </row>
    <row r="1444">
      <c r="A1444" s="2"/>
      <c r="B1444" s="2"/>
      <c r="C1444" s="2"/>
      <c r="D1444" s="5"/>
      <c r="E1444" s="5"/>
    </row>
    <row r="1445">
      <c r="A1445" s="2"/>
      <c r="B1445" s="2"/>
      <c r="C1445" s="2"/>
      <c r="D1445" s="5"/>
      <c r="E1445" s="5"/>
    </row>
    <row r="1446">
      <c r="A1446" s="2"/>
      <c r="B1446" s="2"/>
      <c r="C1446" s="2"/>
      <c r="D1446" s="5"/>
      <c r="E1446" s="5"/>
    </row>
    <row r="1447">
      <c r="A1447" s="2"/>
      <c r="B1447" s="2"/>
      <c r="C1447" s="2"/>
      <c r="D1447" s="5"/>
      <c r="E1447" s="5"/>
    </row>
    <row r="1448">
      <c r="A1448" s="2"/>
      <c r="B1448" s="2"/>
      <c r="C1448" s="2"/>
      <c r="D1448" s="5"/>
      <c r="E1448" s="5"/>
    </row>
    <row r="1449">
      <c r="A1449" s="2"/>
      <c r="B1449" s="2"/>
      <c r="C1449" s="2"/>
      <c r="D1449" s="5"/>
      <c r="E1449" s="5"/>
    </row>
    <row r="1450">
      <c r="A1450" s="2"/>
      <c r="B1450" s="2"/>
      <c r="C1450" s="2"/>
      <c r="D1450" s="5"/>
      <c r="E1450" s="5"/>
    </row>
    <row r="1451">
      <c r="A1451" s="2"/>
      <c r="B1451" s="2"/>
      <c r="C1451" s="2"/>
      <c r="D1451" s="5"/>
      <c r="E1451" s="5"/>
    </row>
    <row r="1452">
      <c r="A1452" s="2"/>
      <c r="B1452" s="2"/>
      <c r="C1452" s="2"/>
      <c r="D1452" s="5"/>
      <c r="E1452" s="5"/>
    </row>
    <row r="1453">
      <c r="A1453" s="2"/>
      <c r="B1453" s="2"/>
      <c r="C1453" s="2"/>
      <c r="D1453" s="5"/>
      <c r="E1453" s="5"/>
    </row>
    <row r="1454">
      <c r="A1454" s="2"/>
      <c r="B1454" s="2"/>
      <c r="C1454" s="2"/>
      <c r="D1454" s="5"/>
      <c r="E1454" s="5"/>
    </row>
    <row r="1455">
      <c r="A1455" s="2"/>
      <c r="B1455" s="2"/>
      <c r="C1455" s="2"/>
      <c r="D1455" s="5"/>
      <c r="E1455" s="5"/>
    </row>
    <row r="1456">
      <c r="A1456" s="2"/>
      <c r="B1456" s="2"/>
      <c r="C1456" s="2"/>
      <c r="D1456" s="5"/>
      <c r="E1456" s="5"/>
    </row>
    <row r="1457">
      <c r="A1457" s="2"/>
      <c r="B1457" s="2"/>
      <c r="C1457" s="2"/>
      <c r="D1457" s="5"/>
      <c r="E1457" s="5"/>
    </row>
    <row r="1458">
      <c r="A1458" s="2"/>
      <c r="B1458" s="2"/>
      <c r="C1458" s="2"/>
      <c r="D1458" s="5"/>
      <c r="E1458" s="5"/>
    </row>
    <row r="1459">
      <c r="A1459" s="2"/>
      <c r="B1459" s="2"/>
      <c r="C1459" s="2"/>
      <c r="D1459" s="5"/>
      <c r="E1459" s="5"/>
    </row>
    <row r="1460">
      <c r="A1460" s="2"/>
      <c r="B1460" s="2"/>
      <c r="C1460" s="2"/>
      <c r="D1460" s="5"/>
      <c r="E1460" s="5"/>
    </row>
    <row r="1461">
      <c r="A1461" s="2"/>
      <c r="B1461" s="2"/>
      <c r="C1461" s="2"/>
      <c r="D1461" s="5"/>
      <c r="E1461" s="5"/>
    </row>
    <row r="1462">
      <c r="A1462" s="2"/>
      <c r="B1462" s="2"/>
      <c r="C1462" s="2"/>
      <c r="D1462" s="5"/>
      <c r="E1462" s="5"/>
    </row>
    <row r="1463">
      <c r="A1463" s="2"/>
      <c r="B1463" s="2"/>
      <c r="C1463" s="2"/>
      <c r="D1463" s="5"/>
      <c r="E1463" s="5"/>
    </row>
    <row r="1464">
      <c r="A1464" s="2"/>
      <c r="B1464" s="2"/>
      <c r="C1464" s="2"/>
      <c r="D1464" s="5"/>
      <c r="E1464" s="5"/>
    </row>
    <row r="1465">
      <c r="A1465" s="2"/>
      <c r="B1465" s="2"/>
      <c r="C1465" s="2"/>
      <c r="D1465" s="5"/>
      <c r="E1465" s="5"/>
    </row>
    <row r="1466">
      <c r="A1466" s="2"/>
      <c r="B1466" s="2"/>
      <c r="C1466" s="2"/>
      <c r="D1466" s="5"/>
      <c r="E1466" s="5"/>
    </row>
    <row r="1467">
      <c r="A1467" s="2"/>
      <c r="B1467" s="2"/>
      <c r="C1467" s="2"/>
      <c r="D1467" s="5"/>
      <c r="E1467" s="5"/>
    </row>
    <row r="1468">
      <c r="A1468" s="2"/>
      <c r="B1468" s="2"/>
      <c r="C1468" s="2"/>
      <c r="D1468" s="5"/>
      <c r="E1468" s="5"/>
    </row>
    <row r="1469">
      <c r="A1469" s="2"/>
      <c r="B1469" s="2"/>
      <c r="C1469" s="2"/>
      <c r="D1469" s="5"/>
      <c r="E1469" s="5"/>
    </row>
    <row r="1470">
      <c r="A1470" s="2"/>
      <c r="B1470" s="2"/>
      <c r="C1470" s="2"/>
      <c r="D1470" s="5"/>
      <c r="E1470" s="5"/>
    </row>
    <row r="1471">
      <c r="A1471" s="2"/>
      <c r="B1471" s="2"/>
      <c r="C1471" s="2"/>
      <c r="D1471" s="5"/>
      <c r="E1471" s="5"/>
    </row>
    <row r="1472">
      <c r="A1472" s="2"/>
      <c r="B1472" s="2"/>
      <c r="C1472" s="2"/>
      <c r="D1472" s="5"/>
      <c r="E1472" s="5"/>
    </row>
    <row r="1473">
      <c r="A1473" s="2"/>
      <c r="B1473" s="2"/>
      <c r="C1473" s="2"/>
      <c r="D1473" s="5"/>
      <c r="E1473" s="5"/>
    </row>
    <row r="1474">
      <c r="A1474" s="2"/>
      <c r="B1474" s="2"/>
      <c r="C1474" s="2"/>
      <c r="D1474" s="5"/>
      <c r="E1474" s="5"/>
    </row>
    <row r="1475">
      <c r="A1475" s="2"/>
      <c r="B1475" s="2"/>
      <c r="C1475" s="2"/>
      <c r="D1475" s="5"/>
      <c r="E1475" s="5"/>
    </row>
    <row r="1476">
      <c r="A1476" s="2"/>
      <c r="B1476" s="2"/>
      <c r="C1476" s="2"/>
      <c r="D1476" s="5"/>
      <c r="E1476" s="5"/>
    </row>
    <row r="1477">
      <c r="A1477" s="2"/>
      <c r="B1477" s="2"/>
      <c r="C1477" s="2"/>
      <c r="D1477" s="5"/>
      <c r="E1477" s="5"/>
    </row>
    <row r="1478">
      <c r="A1478" s="2"/>
      <c r="B1478" s="2"/>
      <c r="C1478" s="2"/>
      <c r="D1478" s="5"/>
      <c r="E1478" s="5"/>
    </row>
    <row r="1479">
      <c r="A1479" s="2"/>
      <c r="B1479" s="2"/>
      <c r="C1479" s="2"/>
      <c r="D1479" s="5"/>
      <c r="E1479" s="5"/>
    </row>
    <row r="1480">
      <c r="A1480" s="2"/>
      <c r="B1480" s="2"/>
      <c r="C1480" s="2"/>
      <c r="D1480" s="5"/>
      <c r="E1480" s="5"/>
    </row>
    <row r="1481">
      <c r="A1481" s="2"/>
      <c r="B1481" s="2"/>
      <c r="C1481" s="2"/>
      <c r="D1481" s="5"/>
      <c r="E1481" s="5"/>
    </row>
    <row r="1482">
      <c r="A1482" s="2"/>
      <c r="B1482" s="2"/>
      <c r="C1482" s="2"/>
      <c r="D1482" s="5"/>
      <c r="E1482" s="5"/>
    </row>
    <row r="1483">
      <c r="A1483" s="2"/>
      <c r="B1483" s="2"/>
      <c r="C1483" s="2"/>
      <c r="D1483" s="5"/>
      <c r="E1483" s="5"/>
    </row>
    <row r="1484">
      <c r="A1484" s="2"/>
      <c r="B1484" s="2"/>
      <c r="C1484" s="2"/>
      <c r="D1484" s="5"/>
      <c r="E1484" s="5"/>
    </row>
    <row r="1485">
      <c r="A1485" s="2"/>
      <c r="B1485" s="2"/>
      <c r="C1485" s="2"/>
      <c r="D1485" s="5"/>
      <c r="E1485" s="5"/>
    </row>
    <row r="1486">
      <c r="A1486" s="2"/>
      <c r="B1486" s="2"/>
      <c r="C1486" s="2"/>
      <c r="D1486" s="5"/>
      <c r="E1486" s="5"/>
    </row>
    <row r="1487">
      <c r="A1487" s="2"/>
      <c r="B1487" s="2"/>
      <c r="C1487" s="2"/>
      <c r="D1487" s="5"/>
      <c r="E1487" s="5"/>
    </row>
    <row r="1488">
      <c r="A1488" s="2"/>
      <c r="B1488" s="2"/>
      <c r="C1488" s="2"/>
      <c r="D1488" s="5"/>
      <c r="E1488" s="5"/>
    </row>
    <row r="1489">
      <c r="A1489" s="2"/>
      <c r="B1489" s="2"/>
      <c r="C1489" s="2"/>
      <c r="D1489" s="5"/>
      <c r="E1489" s="5"/>
    </row>
    <row r="1490">
      <c r="A1490" s="2"/>
      <c r="B1490" s="2"/>
      <c r="C1490" s="2"/>
      <c r="D1490" s="5"/>
      <c r="E1490" s="5"/>
    </row>
    <row r="1491">
      <c r="A1491" s="2"/>
      <c r="B1491" s="2"/>
      <c r="C1491" s="2"/>
      <c r="D1491" s="5"/>
      <c r="E1491" s="5"/>
    </row>
    <row r="1492">
      <c r="A1492" s="2"/>
      <c r="B1492" s="2"/>
      <c r="C1492" s="2"/>
      <c r="D1492" s="5"/>
      <c r="E1492" s="5"/>
    </row>
    <row r="1493">
      <c r="A1493" s="2"/>
      <c r="B1493" s="2"/>
      <c r="C1493" s="2"/>
      <c r="D1493" s="5"/>
      <c r="E1493" s="5"/>
    </row>
    <row r="1494">
      <c r="A1494" s="2"/>
      <c r="B1494" s="2"/>
      <c r="C1494" s="2"/>
      <c r="D1494" s="5"/>
      <c r="E1494" s="5"/>
    </row>
    <row r="1495">
      <c r="A1495" s="2"/>
      <c r="B1495" s="2"/>
      <c r="C1495" s="2"/>
      <c r="D1495" s="5"/>
      <c r="E1495" s="5"/>
    </row>
    <row r="1496">
      <c r="A1496" s="2"/>
      <c r="B1496" s="2"/>
      <c r="C1496" s="2"/>
      <c r="D1496" s="5"/>
      <c r="E1496" s="5"/>
    </row>
    <row r="1497">
      <c r="A1497" s="2"/>
      <c r="B1497" s="2"/>
      <c r="C1497" s="2"/>
      <c r="D1497" s="5"/>
      <c r="E1497" s="5"/>
    </row>
    <row r="1498">
      <c r="A1498" s="2"/>
      <c r="B1498" s="2"/>
      <c r="C1498" s="2"/>
      <c r="D1498" s="5"/>
      <c r="E1498" s="5"/>
    </row>
    <row r="1499">
      <c r="A1499" s="2"/>
      <c r="B1499" s="2"/>
      <c r="C1499" s="2"/>
      <c r="D1499" s="5"/>
      <c r="E1499" s="5"/>
    </row>
    <row r="1500">
      <c r="A1500" s="2"/>
      <c r="B1500" s="2"/>
      <c r="C1500" s="2"/>
      <c r="D1500" s="5"/>
      <c r="E1500" s="5"/>
    </row>
    <row r="1501">
      <c r="A1501" s="2"/>
      <c r="B1501" s="2"/>
      <c r="C1501" s="2"/>
      <c r="D1501" s="5"/>
      <c r="E1501" s="5"/>
    </row>
  </sheetData>
  <hyperlinks>
    <hyperlink r:id="rId1" ref="D62"/>
    <hyperlink r:id="rId2" ref="D218"/>
  </hyperlinks>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88"/>
    <col customWidth="1" min="2" max="2" width="49.5"/>
    <col customWidth="1" min="3" max="3" width="37.75"/>
  </cols>
  <sheetData>
    <row r="1">
      <c r="A1" s="1" t="s">
        <v>2</v>
      </c>
      <c r="B1" s="1" t="s">
        <v>1</v>
      </c>
      <c r="C1" s="1" t="s">
        <v>0</v>
      </c>
      <c r="D1" s="8" t="s">
        <v>3</v>
      </c>
      <c r="E1" s="8" t="s">
        <v>4</v>
      </c>
      <c r="F1" s="9"/>
      <c r="G1" s="9"/>
      <c r="H1" s="9"/>
      <c r="I1" s="9"/>
      <c r="J1" s="9"/>
      <c r="K1" s="9"/>
      <c r="L1" s="9"/>
      <c r="M1" s="9"/>
      <c r="N1" s="9"/>
      <c r="O1" s="9"/>
      <c r="P1" s="9"/>
      <c r="Q1" s="9"/>
      <c r="R1" s="9"/>
      <c r="S1" s="9"/>
      <c r="T1" s="9"/>
      <c r="U1" s="9"/>
      <c r="V1" s="9"/>
      <c r="W1" s="9"/>
      <c r="X1" s="9"/>
      <c r="Y1" s="9"/>
      <c r="Z1" s="9"/>
    </row>
    <row r="2">
      <c r="A2" s="2" t="str">
        <f>IFERROR(__xludf.DUMMYFUNCTION("sort(query('Eng-Fin-Swe (master)'!A2:G1501, ""select C,A,B,D,E,F,G""))"),"-")</f>
        <v>-</v>
      </c>
      <c r="B2" s="10" t="str">
        <f>IFERROR(__xludf.DUMMYFUNCTION("""COMPUTED_VALUE"""),"adherent point")</f>
        <v>adherent point</v>
      </c>
      <c r="C2" s="2" t="str">
        <f>IFERROR(__xludf.DUMMYFUNCTION("""COMPUTED_VALUE"""),"kosketuspiste")</f>
        <v>kosketuspiste</v>
      </c>
      <c r="D2" s="5"/>
      <c r="E2" s="5"/>
      <c r="F2" s="11"/>
      <c r="G2" s="11"/>
    </row>
    <row r="3">
      <c r="A3" s="2" t="str">
        <f>IFERROR(__xludf.DUMMYFUNCTION("""COMPUTED_VALUE"""),"-")</f>
        <v>-</v>
      </c>
      <c r="B3" s="2" t="str">
        <f>IFERROR(__xludf.DUMMYFUNCTION("""COMPUTED_VALUE"""),"banachizable")</f>
        <v>banachizable</v>
      </c>
      <c r="C3" s="2" t="str">
        <f>IFERROR(__xludf.DUMMYFUNCTION("""COMPUTED_VALUE"""),"banachoituva")</f>
        <v>banachoituva</v>
      </c>
      <c r="D3" s="5"/>
      <c r="E3" s="5"/>
      <c r="F3" s="11"/>
      <c r="G3" s="11"/>
    </row>
    <row r="4">
      <c r="A4" s="2" t="str">
        <f>IFERROR(__xludf.DUMMYFUNCTION("""COMPUTED_VALUE"""),"-")</f>
        <v>-</v>
      </c>
      <c r="B4" s="2" t="str">
        <f>IFERROR(__xludf.DUMMYFUNCTION("""COMPUTED_VALUE"""),"bornological")</f>
        <v>bornological</v>
      </c>
      <c r="C4" s="2" t="str">
        <f>IFERROR(__xludf.DUMMYFUNCTION("""COMPUTED_VALUE"""),"bornologinen")</f>
        <v>bornologinen</v>
      </c>
      <c r="D4" s="5"/>
      <c r="E4" s="5"/>
      <c r="F4" s="11"/>
      <c r="G4" s="11"/>
    </row>
    <row r="5">
      <c r="A5" s="2" t="str">
        <f>IFERROR(__xludf.DUMMYFUNCTION("""COMPUTED_VALUE"""),"-")</f>
        <v>-</v>
      </c>
      <c r="B5" s="2" t="str">
        <f>IFERROR(__xludf.DUMMYFUNCTION("""COMPUTED_VALUE"""),"cofinal")</f>
        <v>cofinal</v>
      </c>
      <c r="C5" s="2" t="str">
        <f>IFERROR(__xludf.DUMMYFUNCTION("""COMPUTED_VALUE"""),"kofinaalinen")</f>
        <v>kofinaalinen</v>
      </c>
      <c r="D5" s="5"/>
      <c r="E5" s="5"/>
      <c r="F5" s="11"/>
      <c r="G5" s="11"/>
    </row>
    <row r="6">
      <c r="A6" s="2" t="str">
        <f>IFERROR(__xludf.DUMMYFUNCTION("""COMPUTED_VALUE"""),"-")</f>
        <v>-</v>
      </c>
      <c r="B6" s="2" t="str">
        <f>IFERROR(__xludf.DUMMYFUNCTION("""COMPUTED_VALUE"""),"compactification")</f>
        <v>compactification</v>
      </c>
      <c r="C6" s="2" t="str">
        <f>IFERROR(__xludf.DUMMYFUNCTION("""COMPUTED_VALUE"""),"kompaktisointi")</f>
        <v>kompaktisointi</v>
      </c>
      <c r="D6" s="5"/>
      <c r="E6" s="5"/>
      <c r="F6" s="11"/>
      <c r="G6" s="11"/>
    </row>
    <row r="7">
      <c r="A7" s="2" t="str">
        <f>IFERROR(__xludf.DUMMYFUNCTION("""COMPUTED_VALUE"""),"-")</f>
        <v>-</v>
      </c>
      <c r="B7" s="2" t="str">
        <f>IFERROR(__xludf.DUMMYFUNCTION("""COMPUTED_VALUE"""),"completely regular space")</f>
        <v>completely regular space</v>
      </c>
      <c r="C7" s="2" t="str">
        <f>IFERROR(__xludf.DUMMYFUNCTION("""COMPUTED_VALUE"""),"täysin säännöllinen avaruus")</f>
        <v>täysin säännöllinen avaruus</v>
      </c>
      <c r="D7" s="5"/>
      <c r="E7" s="5"/>
      <c r="F7" s="11"/>
      <c r="G7" s="11"/>
    </row>
    <row r="8">
      <c r="A8" s="2" t="str">
        <f>IFERROR(__xludf.DUMMYFUNCTION("""COMPUTED_VALUE"""),"-")</f>
        <v>-</v>
      </c>
      <c r="B8" s="2" t="str">
        <f>IFERROR(__xludf.DUMMYFUNCTION("""COMPUTED_VALUE"""),"completion")</f>
        <v>completion</v>
      </c>
      <c r="C8" s="2" t="str">
        <f>IFERROR(__xludf.DUMMYFUNCTION("""COMPUTED_VALUE"""),"täydellistymä")</f>
        <v>täydellistymä</v>
      </c>
      <c r="D8" s="5"/>
      <c r="E8" s="5"/>
      <c r="F8" s="11"/>
      <c r="G8" s="11"/>
    </row>
    <row r="9">
      <c r="A9" s="2" t="str">
        <f>IFERROR(__xludf.DUMMYFUNCTION("""COMPUTED_VALUE"""),"-")</f>
        <v>-</v>
      </c>
      <c r="B9" s="2" t="str">
        <f>IFERROR(__xludf.DUMMYFUNCTION("""COMPUTED_VALUE"""),"conjugate")</f>
        <v>conjugate</v>
      </c>
      <c r="C9" s="2" t="str">
        <f>IFERROR(__xludf.DUMMYFUNCTION("""COMPUTED_VALUE"""),"liittoluku (kompleksiluvun); konjugaatti (operaattorin)")</f>
        <v>liittoluku (kompleksiluvun); konjugaatti (operaattorin)</v>
      </c>
      <c r="D9" s="5"/>
      <c r="E9" s="5"/>
      <c r="F9" s="11"/>
      <c r="G9" s="11"/>
    </row>
    <row r="10">
      <c r="A10" s="2" t="str">
        <f>IFERROR(__xludf.DUMMYFUNCTION("""COMPUTED_VALUE"""),"-")</f>
        <v>-</v>
      </c>
      <c r="B10" s="2" t="str">
        <f>IFERROR(__xludf.DUMMYFUNCTION("""COMPUTED_VALUE"""),"convex hull")</f>
        <v>convex hull</v>
      </c>
      <c r="C10" s="2" t="str">
        <f>IFERROR(__xludf.DUMMYFUNCTION("""COMPUTED_VALUE"""),"konveksi verho")</f>
        <v>konveksi verho</v>
      </c>
      <c r="D10" s="5"/>
      <c r="E10" s="5"/>
      <c r="F10" s="11"/>
      <c r="G10" s="11"/>
    </row>
    <row r="11">
      <c r="A11" s="2" t="str">
        <f>IFERROR(__xludf.DUMMYFUNCTION("""COMPUTED_VALUE"""),"-")</f>
        <v>-</v>
      </c>
      <c r="B11" s="2" t="str">
        <f>IFERROR(__xludf.DUMMYFUNCTION("""COMPUTED_VALUE"""),"countably-valued")</f>
        <v>countably-valued</v>
      </c>
      <c r="C11" s="2" t="str">
        <f>IFERROR(__xludf.DUMMYFUNCTION("""COMPUTED_VALUE"""),"numeroituva-arvoinen")</f>
        <v>numeroituva-arvoinen</v>
      </c>
      <c r="D11" s="5"/>
      <c r="E11" s="5"/>
      <c r="F11" s="11"/>
      <c r="G11" s="11"/>
    </row>
    <row r="12">
      <c r="A12" s="2" t="str">
        <f>IFERROR(__xludf.DUMMYFUNCTION("""COMPUTED_VALUE"""),"-")</f>
        <v>-</v>
      </c>
      <c r="B12" s="2" t="str">
        <f>IFERROR(__xludf.DUMMYFUNCTION("""COMPUTED_VALUE"""),"counting measure")</f>
        <v>counting measure</v>
      </c>
      <c r="C12" s="2" t="str">
        <f>IFERROR(__xludf.DUMMYFUNCTION("""COMPUTED_VALUE"""),"lukumäärämitta (ei vak.)")</f>
        <v>lukumäärämitta (ei vak.)</v>
      </c>
      <c r="D12" s="5"/>
      <c r="E12" s="5"/>
      <c r="F12" s="11"/>
      <c r="G12" s="11"/>
    </row>
    <row r="13">
      <c r="A13" s="2" t="str">
        <f>IFERROR(__xludf.DUMMYFUNCTION("""COMPUTED_VALUE"""),"-")</f>
        <v>-</v>
      </c>
      <c r="B13" s="2" t="str">
        <f>IFERROR(__xludf.DUMMYFUNCTION("""COMPUTED_VALUE"""),"coupling, pairing")</f>
        <v>coupling, pairing</v>
      </c>
      <c r="C13" s="2" t="str">
        <f>IFERROR(__xludf.DUMMYFUNCTION("""COMPUTED_VALUE"""),"paritus (TVS vs. duaali tms.); parikuvaus")</f>
        <v>paritus (TVS vs. duaali tms.); parikuvaus</v>
      </c>
      <c r="D13" s="5"/>
      <c r="E13" s="5"/>
      <c r="F13" s="11"/>
      <c r="G13" s="11"/>
    </row>
    <row r="14">
      <c r="A14" s="2" t="str">
        <f>IFERROR(__xludf.DUMMYFUNCTION("""COMPUTED_VALUE"""),"-")</f>
        <v>-</v>
      </c>
      <c r="B14" s="2" t="str">
        <f>IFERROR(__xludf.DUMMYFUNCTION("""COMPUTED_VALUE"""),"crosscut")</f>
        <v>crosscut</v>
      </c>
      <c r="C14" s="2" t="str">
        <f>IFERROR(__xludf.DUMMYFUNCTION("""COMPUTED_VALUE"""),"liitin")</f>
        <v>liitin</v>
      </c>
      <c r="D14" s="5"/>
      <c r="E14" s="5"/>
      <c r="F14" s="11"/>
      <c r="G14" s="11"/>
    </row>
    <row r="15">
      <c r="A15" s="2" t="str">
        <f>IFERROR(__xludf.DUMMYFUNCTION("""COMPUTED_VALUE"""),"-")</f>
        <v>-</v>
      </c>
      <c r="B15" s="2" t="str">
        <f>IFERROR(__xludf.DUMMYFUNCTION("""COMPUTED_VALUE"""),"echelon matrix")</f>
        <v>echelon matrix</v>
      </c>
      <c r="C15" s="2" t="str">
        <f>IFERROR(__xludf.DUMMYFUNCTION("""COMPUTED_VALUE"""),"porrasmatriisi")</f>
        <v>porrasmatriisi</v>
      </c>
      <c r="D15" s="5"/>
      <c r="E15" s="5"/>
      <c r="F15" s="11"/>
      <c r="G15" s="11"/>
    </row>
    <row r="16">
      <c r="A16" s="2" t="str">
        <f>IFERROR(__xludf.DUMMYFUNCTION("""COMPUTED_VALUE"""),"-")</f>
        <v>-</v>
      </c>
      <c r="B16" s="2" t="str">
        <f>IFERROR(__xludf.DUMMYFUNCTION("""COMPUTED_VALUE"""),"elliptical helix")</f>
        <v>elliptical helix</v>
      </c>
      <c r="C16" s="2" t="str">
        <f>IFERROR(__xludf.DUMMYFUNCTION("""COMPUTED_VALUE"""),"elliptinen ruuvikierre")</f>
        <v>elliptinen ruuvikierre</v>
      </c>
      <c r="D16" s="5"/>
      <c r="E16" s="5"/>
      <c r="F16" s="11"/>
      <c r="G16" s="11"/>
    </row>
    <row r="17">
      <c r="A17" s="2" t="str">
        <f>IFERROR(__xludf.DUMMYFUNCTION("""COMPUTED_VALUE"""),"-")</f>
        <v>-</v>
      </c>
      <c r="B17" s="2" t="str">
        <f>IFERROR(__xludf.DUMMYFUNCTION("""COMPUTED_VALUE"""),"equicontinuous")</f>
        <v>equicontinuous</v>
      </c>
      <c r="C17" s="2" t="str">
        <f>IFERROR(__xludf.DUMMYFUNCTION("""COMPUTED_VALUE"""),"yhtäjatkuva (1. pisteittäin 2. tasaisesti)")</f>
        <v>yhtäjatkuva (1. pisteittäin 2. tasaisesti)</v>
      </c>
      <c r="D17" s="5"/>
      <c r="E17" s="5"/>
      <c r="F17" s="11"/>
      <c r="G17" s="11"/>
    </row>
    <row r="18">
      <c r="A18" s="2" t="str">
        <f>IFERROR(__xludf.DUMMYFUNCTION("""COMPUTED_VALUE"""),"-")</f>
        <v>-</v>
      </c>
      <c r="B18" s="2" t="str">
        <f>IFERROR(__xludf.DUMMYFUNCTION("""COMPUTED_VALUE"""),"excision")</f>
        <v>excision</v>
      </c>
      <c r="C18" s="2" t="str">
        <f>IFERROR(__xludf.DUMMYFUNCTION("""COMPUTED_VALUE"""),"typistys")</f>
        <v>typistys</v>
      </c>
      <c r="D18" s="5"/>
      <c r="E18" s="5"/>
      <c r="F18" s="11"/>
      <c r="G18" s="11"/>
    </row>
    <row r="19">
      <c r="A19" s="2" t="str">
        <f>IFERROR(__xludf.DUMMYFUNCTION("""COMPUTED_VALUE"""),"-")</f>
        <v>-</v>
      </c>
      <c r="B19" s="2" t="str">
        <f>IFERROR(__xludf.DUMMYFUNCTION("""COMPUTED_VALUE"""),"extension")</f>
        <v>extension</v>
      </c>
      <c r="C19" s="2" t="str">
        <f>IFERROR(__xludf.DUMMYFUNCTION("""COMPUTED_VALUE"""),"laajennus, jatke")</f>
        <v>laajennus, jatke</v>
      </c>
      <c r="D19" s="5"/>
      <c r="E19" s="5"/>
      <c r="F19" s="11"/>
      <c r="G19" s="11"/>
    </row>
    <row r="20">
      <c r="A20" s="2" t="str">
        <f>IFERROR(__xludf.DUMMYFUNCTION("""COMPUTED_VALUE"""),"-")</f>
        <v>-</v>
      </c>
      <c r="B20" s="2" t="str">
        <f>IFERROR(__xludf.DUMMYFUNCTION("""COMPUTED_VALUE"""),"filter base")</f>
        <v>filter base</v>
      </c>
      <c r="C20" s="2" t="str">
        <f>IFERROR(__xludf.DUMMYFUNCTION("""COMPUTED_VALUE"""),"filtterikanta, rasteri")</f>
        <v>filtterikanta, rasteri</v>
      </c>
      <c r="D20" s="5"/>
      <c r="E20" s="5"/>
      <c r="F20" s="11"/>
      <c r="G20" s="11"/>
    </row>
    <row r="21">
      <c r="A21" s="2" t="str">
        <f>IFERROR(__xludf.DUMMYFUNCTION("""COMPUTED_VALUE"""),"-")</f>
        <v>-</v>
      </c>
      <c r="B21" s="2" t="str">
        <f>IFERROR(__xludf.DUMMYFUNCTION("""COMPUTED_VALUE"""),"filter basis")</f>
        <v>filter basis</v>
      </c>
      <c r="C21" s="2" t="str">
        <f>IFERROR(__xludf.DUMMYFUNCTION("""COMPUTED_VALUE"""),"filtterikanta (rasteri)")</f>
        <v>filtterikanta (rasteri)</v>
      </c>
      <c r="D21" s="5"/>
      <c r="E21" s="5"/>
      <c r="F21" s="11"/>
      <c r="G21" s="11"/>
    </row>
    <row r="22">
      <c r="A22" s="2" t="str">
        <f>IFERROR(__xludf.DUMMYFUNCTION("""COMPUTED_VALUE"""),"-")</f>
        <v>-</v>
      </c>
      <c r="B22" s="2" t="str">
        <f>IFERROR(__xludf.DUMMYFUNCTION("""COMPUTED_VALUE"""),"first category")</f>
        <v>first category</v>
      </c>
      <c r="C22" s="2" t="str">
        <f>IFERROR(__xludf.DUMMYFUNCTION("""COMPUTED_VALUE"""),"ensimmäinen kategoria (Baire)")</f>
        <v>ensimmäinen kategoria (Baire)</v>
      </c>
      <c r="D22" s="5"/>
      <c r="E22" s="5"/>
      <c r="F22" s="11"/>
      <c r="G22" s="11"/>
    </row>
    <row r="23">
      <c r="A23" s="2" t="str">
        <f>IFERROR(__xludf.DUMMYFUNCTION("""COMPUTED_VALUE"""),"-")</f>
        <v>-</v>
      </c>
      <c r="B23" s="2" t="str">
        <f>IFERROR(__xludf.DUMMYFUNCTION("""COMPUTED_VALUE"""),"first countable space")</f>
        <v>first countable space</v>
      </c>
      <c r="C23" s="2" t="str">
        <f>IFERROR(__xludf.DUMMYFUNCTION("""COMPUTED_VALUE"""),"N1-avaruus")</f>
        <v>N1-avaruus</v>
      </c>
      <c r="D23" s="5"/>
      <c r="E23" s="5"/>
      <c r="F23" s="11"/>
      <c r="G23" s="11"/>
    </row>
    <row r="24">
      <c r="A24" s="2" t="str">
        <f>IFERROR(__xludf.DUMMYFUNCTION("""COMPUTED_VALUE"""),"-")</f>
        <v>-</v>
      </c>
      <c r="B24" s="2" t="str">
        <f>IFERROR(__xludf.DUMMYFUNCTION("""COMPUTED_VALUE"""),"forgetful")</f>
        <v>forgetful</v>
      </c>
      <c r="C24" s="2" t="str">
        <f>IFERROR(__xludf.DUMMYFUNCTION("""COMPUTED_VALUE"""),"unohtava")</f>
        <v>unohtava</v>
      </c>
      <c r="D24" s="5"/>
      <c r="E24" s="5"/>
      <c r="F24" s="11"/>
      <c r="G24" s="11"/>
    </row>
    <row r="25">
      <c r="A25" s="2" t="str">
        <f>IFERROR(__xludf.DUMMYFUNCTION("""COMPUTED_VALUE"""),"-")</f>
        <v>-</v>
      </c>
      <c r="B25" s="2" t="str">
        <f>IFERROR(__xludf.DUMMYFUNCTION("""COMPUTED_VALUE"""),"Frechet space")</f>
        <v>Frechet space</v>
      </c>
      <c r="C25" s="2" t="str">
        <f>IFERROR(__xludf.DUMMYFUNCTION("""COMPUTED_VALUE"""),"Frechet-avaruus (Fréchet, ""Fre'shee"")")</f>
        <v>Frechet-avaruus (Fréchet, "Fre'shee")</v>
      </c>
      <c r="D25" s="5"/>
      <c r="E25" s="5"/>
      <c r="F25" s="11"/>
      <c r="G25" s="11"/>
    </row>
    <row r="26">
      <c r="A26" s="2" t="str">
        <f>IFERROR(__xludf.DUMMYFUNCTION("""COMPUTED_VALUE"""),"-")</f>
        <v>-</v>
      </c>
      <c r="B26" s="2" t="str">
        <f>IFERROR(__xludf.DUMMYFUNCTION("""COMPUTED_VALUE"""),"functor")</f>
        <v>functor</v>
      </c>
      <c r="C26" s="2" t="str">
        <f>IFERROR(__xludf.DUMMYFUNCTION("""COMPUTED_VALUE"""),"funktori")</f>
        <v>funktori</v>
      </c>
      <c r="D26" s="5"/>
      <c r="E26" s="5"/>
      <c r="F26" s="11"/>
      <c r="G26" s="11"/>
    </row>
    <row r="27">
      <c r="A27" s="2" t="str">
        <f>IFERROR(__xludf.DUMMYFUNCTION("""COMPUTED_VALUE"""),"-")</f>
        <v>-</v>
      </c>
      <c r="B27" s="2" t="str">
        <f>IFERROR(__xludf.DUMMYFUNCTION("""COMPUTED_VALUE"""),"fundamental system of neighborhoods")</f>
        <v>fundamental system of neighborhoods</v>
      </c>
      <c r="C27" s="2" t="str">
        <f>IFERROR(__xludf.DUMMYFUNCTION("""COMPUTED_VALUE"""),"ympäristökanta")</f>
        <v>ympäristökanta</v>
      </c>
      <c r="D27" s="5"/>
      <c r="E27" s="5"/>
      <c r="F27" s="11"/>
      <c r="G27" s="11"/>
    </row>
    <row r="28">
      <c r="A28" s="2" t="str">
        <f>IFERROR(__xludf.DUMMYFUNCTION("""COMPUTED_VALUE"""),"-")</f>
        <v>-</v>
      </c>
      <c r="B28" s="2" t="str">
        <f>IFERROR(__xludf.DUMMYFUNCTION("""COMPUTED_VALUE"""),"incidence matrix")</f>
        <v>incidence matrix</v>
      </c>
      <c r="C28" s="2" t="str">
        <f>IFERROR(__xludf.DUMMYFUNCTION("""COMPUTED_VALUE"""),"kytkentämatriisi")</f>
        <v>kytkentämatriisi</v>
      </c>
      <c r="D28" s="5"/>
      <c r="E28" s="5"/>
      <c r="F28" s="11"/>
      <c r="G28" s="11"/>
    </row>
    <row r="29">
      <c r="A29" s="2" t="str">
        <f>IFERROR(__xludf.DUMMYFUNCTION("""COMPUTED_VALUE"""),"-")</f>
        <v>-</v>
      </c>
      <c r="B29" s="2" t="str">
        <f>IFERROR(__xludf.DUMMYFUNCTION("""COMPUTED_VALUE"""),"inclusion")</f>
        <v>inclusion</v>
      </c>
      <c r="C29" s="2" t="str">
        <f>IFERROR(__xludf.DUMMYFUNCTION("""COMPUTED_VALUE"""),"inkluusio")</f>
        <v>inkluusio</v>
      </c>
      <c r="D29" s="5"/>
      <c r="E29" s="5"/>
      <c r="F29" s="11"/>
      <c r="G29" s="11"/>
    </row>
    <row r="30">
      <c r="A30" s="2" t="str">
        <f>IFERROR(__xludf.DUMMYFUNCTION("""COMPUTED_VALUE"""),"-")</f>
        <v>-</v>
      </c>
      <c r="B30" s="2" t="str">
        <f>IFERROR(__xludf.DUMMYFUNCTION("""COMPUTED_VALUE"""),"indiscrete topology")</f>
        <v>indiscrete topology</v>
      </c>
      <c r="C30" s="2" t="str">
        <f>IFERROR(__xludf.DUMMYFUNCTION("""COMPUTED_VALUE"""),"minitopologia")</f>
        <v>minitopologia</v>
      </c>
      <c r="D30" s="5"/>
      <c r="E30" s="5"/>
      <c r="F30" s="11"/>
      <c r="G30" s="11"/>
    </row>
    <row r="31">
      <c r="A31" s="2" t="str">
        <f>IFERROR(__xludf.DUMMYFUNCTION("""COMPUTED_VALUE"""),"-")</f>
        <v>-</v>
      </c>
      <c r="B31" s="2" t="str">
        <f>IFERROR(__xludf.DUMMYFUNCTION("""COMPUTED_VALUE"""),"inner regular")</f>
        <v>inner regular</v>
      </c>
      <c r="C31" s="2" t="str">
        <f>IFERROR(__xludf.DUMMYFUNCTION("""COMPUTED_VALUE"""),"sisäsäännöllinen (mitta)")</f>
        <v>sisäsäännöllinen (mitta)</v>
      </c>
      <c r="D31" s="5"/>
      <c r="E31" s="5"/>
      <c r="F31" s="11"/>
      <c r="G31" s="11"/>
    </row>
    <row r="32">
      <c r="A32" s="2" t="str">
        <f>IFERROR(__xludf.DUMMYFUNCTION("""COMPUTED_VALUE"""),"-")</f>
        <v>-</v>
      </c>
      <c r="B32" s="2" t="str">
        <f>IFERROR(__xludf.DUMMYFUNCTION("""COMPUTED_VALUE"""),"input")</f>
        <v>input</v>
      </c>
      <c r="C32" s="2" t="str">
        <f>IFERROR(__xludf.DUMMYFUNCTION("""COMPUTED_VALUE"""),"tulo, sisääntulo, input")</f>
        <v>tulo, sisääntulo, input</v>
      </c>
      <c r="D32" s="5"/>
      <c r="E32" s="5"/>
      <c r="F32" s="11"/>
      <c r="G32" s="11"/>
    </row>
    <row r="33">
      <c r="A33" s="2" t="str">
        <f>IFERROR(__xludf.DUMMYFUNCTION("""COMPUTED_VALUE"""),"-")</f>
        <v>-</v>
      </c>
      <c r="B33" s="2" t="str">
        <f>IFERROR(__xludf.DUMMYFUNCTION("""COMPUTED_VALUE"""),"intermediate value theorem")</f>
        <v>intermediate value theorem</v>
      </c>
      <c r="C33" s="2" t="str">
        <f>IFERROR(__xludf.DUMMYFUNCTION("""COMPUTED_VALUE"""),"yleistetty väliarvolause")</f>
        <v>yleistetty väliarvolause</v>
      </c>
      <c r="D33" s="5"/>
      <c r="E33" s="5"/>
      <c r="F33" s="11"/>
      <c r="G33" s="11"/>
    </row>
    <row r="34">
      <c r="A34" s="2" t="str">
        <f>IFERROR(__xludf.DUMMYFUNCTION("""COMPUTED_VALUE"""),"-")</f>
        <v>-</v>
      </c>
      <c r="B34" s="2" t="str">
        <f>IFERROR(__xludf.DUMMYFUNCTION("""COMPUTED_VALUE"""),"inverse image")</f>
        <v>inverse image</v>
      </c>
      <c r="C34" s="2" t="str">
        <f>IFERROR(__xludf.DUMMYFUNCTION("""COMPUTED_VALUE"""),"alkukuva")</f>
        <v>alkukuva</v>
      </c>
      <c r="D34" s="5"/>
      <c r="E34" s="5"/>
      <c r="F34" s="11"/>
      <c r="G34" s="11"/>
    </row>
    <row r="35">
      <c r="A35" s="2" t="str">
        <f>IFERROR(__xludf.DUMMYFUNCTION("""COMPUTED_VALUE"""),"-")</f>
        <v>-</v>
      </c>
      <c r="B35" s="2" t="str">
        <f>IFERROR(__xludf.DUMMYFUNCTION("""COMPUTED_VALUE"""),"inverse limit")</f>
        <v>inverse limit</v>
      </c>
      <c r="C35" s="2" t="str">
        <f>IFERROR(__xludf.DUMMYFUNCTION("""COMPUTED_VALUE"""),"käänteinen raja-arvo, inverssi raja")</f>
        <v>käänteinen raja-arvo, inverssi raja</v>
      </c>
      <c r="D35" s="5"/>
      <c r="E35" s="5"/>
      <c r="F35" s="11"/>
      <c r="G35" s="11"/>
    </row>
    <row r="36">
      <c r="A36" s="2" t="str">
        <f>IFERROR(__xludf.DUMMYFUNCTION("""COMPUTED_VALUE"""),"-")</f>
        <v>-</v>
      </c>
      <c r="B36" s="2" t="str">
        <f>IFERROR(__xludf.DUMMYFUNCTION("""COMPUTED_VALUE"""),"lift, lifting")</f>
        <v>lift, lifting</v>
      </c>
      <c r="C36" s="2" t="str">
        <f>IFERROR(__xludf.DUMMYFUNCTION("""COMPUTED_VALUE"""),"nosto")</f>
        <v>nosto</v>
      </c>
      <c r="D36" s="5"/>
      <c r="E36" s="5"/>
      <c r="F36" s="11"/>
      <c r="G36" s="11"/>
    </row>
    <row r="37">
      <c r="A37" s="2" t="str">
        <f>IFERROR(__xludf.DUMMYFUNCTION("""COMPUTED_VALUE"""),"-")</f>
        <v>-</v>
      </c>
      <c r="B37" s="2" t="str">
        <f>IFERROR(__xludf.DUMMYFUNCTION("""COMPUTED_VALUE"""),"linear programming")</f>
        <v>linear programming</v>
      </c>
      <c r="C37" s="2" t="str">
        <f>IFERROR(__xludf.DUMMYFUNCTION("""COMPUTED_VALUE"""),"lineaarinen ohjelmointi")</f>
        <v>lineaarinen ohjelmointi</v>
      </c>
      <c r="D37" s="5"/>
      <c r="E37" s="5"/>
      <c r="F37" s="11"/>
      <c r="G37" s="11"/>
    </row>
    <row r="38">
      <c r="A38" s="2" t="str">
        <f>IFERROR(__xludf.DUMMYFUNCTION("""COMPUTED_VALUE"""),"-")</f>
        <v>-</v>
      </c>
      <c r="B38" s="2" t="str">
        <f>IFERROR(__xludf.DUMMYFUNCTION("""COMPUTED_VALUE"""),"local basis")</f>
        <v>local basis</v>
      </c>
      <c r="C38" s="2" t="str">
        <f>IFERROR(__xludf.DUMMYFUNCTION("""COMPUTED_VALUE"""),"ympäristökanta")</f>
        <v>ympäristökanta</v>
      </c>
      <c r="D38" s="5"/>
      <c r="E38" s="5"/>
      <c r="F38" s="11"/>
      <c r="G38" s="11"/>
    </row>
    <row r="39">
      <c r="A39" s="2" t="str">
        <f>IFERROR(__xludf.DUMMYFUNCTION("""COMPUTED_VALUE"""),"-")</f>
        <v>-</v>
      </c>
      <c r="B39" s="2" t="str">
        <f>IFERROR(__xludf.DUMMYFUNCTION("""COMPUTED_VALUE"""),"locally compact")</f>
        <v>locally compact</v>
      </c>
      <c r="C39" s="2" t="str">
        <f>IFERROR(__xludf.DUMMYFUNCTION("""COMPUTED_VALUE"""),"lokaalisti kompakti")</f>
        <v>lokaalisti kompakti</v>
      </c>
      <c r="D39" s="5"/>
      <c r="E39" s="5"/>
      <c r="F39" s="11"/>
      <c r="G39" s="11"/>
    </row>
    <row r="40">
      <c r="A40" s="2" t="str">
        <f>IFERROR(__xludf.DUMMYFUNCTION("""COMPUTED_VALUE"""),"-")</f>
        <v>-</v>
      </c>
      <c r="B40" s="2" t="str">
        <f>IFERROR(__xludf.DUMMYFUNCTION("""COMPUTED_VALUE"""),"lower semicontinuous")</f>
        <v>lower semicontinuous</v>
      </c>
      <c r="C40" s="2" t="str">
        <f>IFERROR(__xludf.DUMMYFUNCTION("""COMPUTED_VALUE"""),"alhaalta puolijatkuva, alaspäin puolijatkuva")</f>
        <v>alhaalta puolijatkuva, alaspäin puolijatkuva</v>
      </c>
      <c r="D40" s="5"/>
      <c r="E40" s="5"/>
      <c r="F40" s="11"/>
      <c r="G40" s="11"/>
    </row>
    <row r="41">
      <c r="A41" s="2" t="str">
        <f>IFERROR(__xludf.DUMMYFUNCTION("""COMPUTED_VALUE"""),"-")</f>
        <v>-</v>
      </c>
      <c r="B41" s="2" t="str">
        <f>IFERROR(__xludf.DUMMYFUNCTION("""COMPUTED_VALUE"""),"manifold with boundary")</f>
        <v>manifold with boundary</v>
      </c>
      <c r="C41" s="2" t="str">
        <f>IFERROR(__xludf.DUMMYFUNCTION("""COMPUTED_VALUE"""),"reunallinen monisto")</f>
        <v>reunallinen monisto</v>
      </c>
      <c r="D41" s="5"/>
      <c r="E41" s="5"/>
      <c r="F41" s="11"/>
      <c r="G41" s="11"/>
    </row>
    <row r="42">
      <c r="A42" s="2" t="str">
        <f>IFERROR(__xludf.DUMMYFUNCTION("""COMPUTED_VALUE"""),"-")</f>
        <v>-</v>
      </c>
      <c r="B42" s="2" t="str">
        <f>IFERROR(__xludf.DUMMYFUNCTION("""COMPUTED_VALUE"""),"martingale")</f>
        <v>martingale</v>
      </c>
      <c r="C42" s="2" t="str">
        <f>IFERROR(__xludf.DUMMYFUNCTION("""COMPUTED_VALUE"""),"martingaali")</f>
        <v>martingaali</v>
      </c>
      <c r="D42" s="5"/>
      <c r="E42" s="5"/>
      <c r="F42" s="11"/>
      <c r="G42" s="11"/>
    </row>
    <row r="43">
      <c r="A43" s="2" t="str">
        <f>IFERROR(__xludf.DUMMYFUNCTION("""COMPUTED_VALUE"""),"-")</f>
        <v>-</v>
      </c>
      <c r="B43" s="2" t="str">
        <f>IFERROR(__xludf.DUMMYFUNCTION("""COMPUTED_VALUE"""),"maximal function")</f>
        <v>maximal function</v>
      </c>
      <c r="C43" s="2" t="str">
        <f>IFERROR(__xludf.DUMMYFUNCTION("""COMPUTED_VALUE"""),"maksimifunktio")</f>
        <v>maksimifunktio</v>
      </c>
      <c r="D43" s="5"/>
      <c r="E43" s="5"/>
      <c r="F43" s="11"/>
      <c r="G43" s="11"/>
    </row>
    <row r="44">
      <c r="A44" s="2" t="str">
        <f>IFERROR(__xludf.DUMMYFUNCTION("""COMPUTED_VALUE"""),"-")</f>
        <v>-</v>
      </c>
      <c r="B44" s="2" t="str">
        <f>IFERROR(__xludf.DUMMYFUNCTION("""COMPUTED_VALUE"""),"meager set, set of first category")</f>
        <v>meager set, set of first category</v>
      </c>
      <c r="C44" s="2" t="str">
        <f>IFERROR(__xludf.DUMMYFUNCTION("""COMPUTED_VALUE"""),"laiha joukko")</f>
        <v>laiha joukko</v>
      </c>
      <c r="D44" s="5"/>
      <c r="E44" s="5"/>
      <c r="F44" s="11"/>
      <c r="G44" s="11"/>
    </row>
    <row r="45">
      <c r="A45" s="2" t="str">
        <f>IFERROR(__xludf.DUMMYFUNCTION("""COMPUTED_VALUE"""),"-")</f>
        <v>-</v>
      </c>
      <c r="B45" s="2" t="str">
        <f>IFERROR(__xludf.DUMMYFUNCTION("""COMPUTED_VALUE"""),"mollifier")</f>
        <v>mollifier</v>
      </c>
      <c r="C45" s="2" t="str">
        <f>IFERROR(__xludf.DUMMYFUNCTION("""COMPUTED_VALUE"""),"silottaja (ei vak.)")</f>
        <v>silottaja (ei vak.)</v>
      </c>
      <c r="D45" s="5"/>
      <c r="E45" s="5"/>
      <c r="F45" s="11"/>
      <c r="G45" s="11"/>
    </row>
    <row r="46">
      <c r="A46" s="2" t="str">
        <f>IFERROR(__xludf.DUMMYFUNCTION("""COMPUTED_VALUE"""),"-")</f>
        <v>-</v>
      </c>
      <c r="B46" s="2" t="str">
        <f>IFERROR(__xludf.DUMMYFUNCTION("""COMPUTED_VALUE"""),"one-point compactification")</f>
        <v>one-point compactification</v>
      </c>
      <c r="C46" s="2" t="str">
        <f>IFERROR(__xludf.DUMMYFUNCTION("""COMPUTED_VALUE"""),"yhden pisteen kompaktisointi")</f>
        <v>yhden pisteen kompaktisointi</v>
      </c>
      <c r="D46" s="5"/>
      <c r="E46" s="5"/>
      <c r="F46" s="11"/>
      <c r="G46" s="11"/>
    </row>
    <row r="47">
      <c r="A47" s="2" t="str">
        <f>IFERROR(__xludf.DUMMYFUNCTION("""COMPUTED_VALUE"""),"-")</f>
        <v>-</v>
      </c>
      <c r="B47" s="2" t="str">
        <f>IFERROR(__xludf.DUMMYFUNCTION("""COMPUTED_VALUE"""),"outer regular")</f>
        <v>outer regular</v>
      </c>
      <c r="C47" s="2" t="str">
        <f>IFERROR(__xludf.DUMMYFUNCTION("""COMPUTED_VALUE"""),"ulkosäännöllinen (mitta)")</f>
        <v>ulkosäännöllinen (mitta)</v>
      </c>
      <c r="D47" s="5"/>
      <c r="E47" s="5"/>
      <c r="F47" s="11"/>
      <c r="G47" s="11"/>
    </row>
    <row r="48">
      <c r="A48" s="2" t="str">
        <f>IFERROR(__xludf.DUMMYFUNCTION("""COMPUTED_VALUE"""),"-")</f>
        <v>-</v>
      </c>
      <c r="B48" s="2" t="str">
        <f>IFERROR(__xludf.DUMMYFUNCTION("""COMPUTED_VALUE"""),"output")</f>
        <v>output</v>
      </c>
      <c r="C48" s="2" t="str">
        <f>IFERROR(__xludf.DUMMYFUNCTION("""COMPUTED_VALUE"""),"lähtö, ulostulo, output")</f>
        <v>lähtö, ulostulo, output</v>
      </c>
      <c r="D48" s="5"/>
      <c r="E48" s="5"/>
      <c r="F48" s="11"/>
      <c r="G48" s="11"/>
    </row>
    <row r="49">
      <c r="A49" s="2" t="str">
        <f>IFERROR(__xludf.DUMMYFUNCTION("""COMPUTED_VALUE"""),"-")</f>
        <v>-</v>
      </c>
      <c r="B49" s="2" t="str">
        <f>IFERROR(__xludf.DUMMYFUNCTION("""COMPUTED_VALUE"""),"pairing")</f>
        <v>pairing</v>
      </c>
      <c r="C49" s="2" t="str">
        <f>IFERROR(__xludf.DUMMYFUNCTION("""COMPUTED_VALUE"""),"paritus (TVS vs. duaali tms.); parikuvaus")</f>
        <v>paritus (TVS vs. duaali tms.); parikuvaus</v>
      </c>
      <c r="D49" s="5"/>
      <c r="E49" s="5"/>
      <c r="F49" s="11"/>
      <c r="G49" s="11"/>
    </row>
    <row r="50">
      <c r="A50" s="2" t="str">
        <f>IFERROR(__xludf.DUMMYFUNCTION("""COMPUTED_VALUE"""),"-")</f>
        <v>-</v>
      </c>
      <c r="B50" s="2" t="str">
        <f>IFERROR(__xludf.DUMMYFUNCTION("""COMPUTED_VALUE"""),"partition of unity")</f>
        <v>partition of unity</v>
      </c>
      <c r="C50" s="2" t="str">
        <f>IFERROR(__xludf.DUMMYFUNCTION("""COMPUTED_VALUE"""),"ykkösen ositus, yksikön ositus")</f>
        <v>ykkösen ositus, yksikön ositus</v>
      </c>
      <c r="D50" s="5"/>
      <c r="E50" s="5"/>
      <c r="F50" s="11"/>
      <c r="G50" s="11"/>
    </row>
    <row r="51">
      <c r="A51" s="2" t="str">
        <f>IFERROR(__xludf.DUMMYFUNCTION("""COMPUTED_VALUE"""),"-")</f>
        <v>-</v>
      </c>
      <c r="B51" s="2" t="str">
        <f>IFERROR(__xludf.DUMMYFUNCTION("""COMPUTED_VALUE"""),"point of density")</f>
        <v>point of density</v>
      </c>
      <c r="C51" s="2" t="str">
        <f>IFERROR(__xludf.DUMMYFUNCTION("""COMPUTED_VALUE"""),"tiheyspiste")</f>
        <v>tiheyspiste</v>
      </c>
      <c r="D51" s="5"/>
      <c r="E51" s="5"/>
      <c r="F51" s="11"/>
      <c r="G51" s="11"/>
    </row>
    <row r="52">
      <c r="A52" s="2" t="str">
        <f>IFERROR(__xludf.DUMMYFUNCTION("""COMPUTED_VALUE"""),"-")</f>
        <v>-</v>
      </c>
      <c r="B52" s="2" t="str">
        <f>IFERROR(__xludf.DUMMYFUNCTION("""COMPUTED_VALUE"""),"power set")</f>
        <v>power set</v>
      </c>
      <c r="C52" s="2" t="str">
        <f>IFERROR(__xludf.DUMMYFUNCTION("""COMPUTED_VALUE"""),"potenssijoukko")</f>
        <v>potenssijoukko</v>
      </c>
      <c r="D52" s="5"/>
      <c r="E52" s="5"/>
      <c r="F52" s="11"/>
      <c r="G52" s="11"/>
    </row>
    <row r="53">
      <c r="A53" s="2" t="str">
        <f>IFERROR(__xludf.DUMMYFUNCTION("""COMPUTED_VALUE"""),"-")</f>
        <v>-</v>
      </c>
      <c r="B53" s="2" t="str">
        <f>IFERROR(__xludf.DUMMYFUNCTION("""COMPUTED_VALUE"""),"prebasis")</f>
        <v>prebasis</v>
      </c>
      <c r="C53" s="2" t="str">
        <f>IFERROR(__xludf.DUMMYFUNCTION("""COMPUTED_VALUE"""),"esikanta, alikanta")</f>
        <v>esikanta, alikanta</v>
      </c>
      <c r="D53" s="5"/>
      <c r="E53" s="5"/>
      <c r="F53" s="11"/>
      <c r="G53" s="11"/>
    </row>
    <row r="54">
      <c r="A54" s="2" t="str">
        <f>IFERROR(__xludf.DUMMYFUNCTION("""COMPUTED_VALUE"""),"-")</f>
        <v>-</v>
      </c>
      <c r="B54" s="2" t="str">
        <f>IFERROR(__xludf.DUMMYFUNCTION("""COMPUTED_VALUE"""),"precompact")</f>
        <v>precompact</v>
      </c>
      <c r="C54" s="2" t="str">
        <f>IFERROR(__xludf.DUMMYFUNCTION("""COMPUTED_VALUE"""),"prekompakti (1. totaalisti rajoitettu 2. suhteellisesti kompakti)")</f>
        <v>prekompakti (1. totaalisti rajoitettu 2. suhteellisesti kompakti)</v>
      </c>
      <c r="D54" s="5"/>
      <c r="E54" s="5"/>
      <c r="F54" s="11"/>
      <c r="G54" s="11"/>
    </row>
    <row r="55">
      <c r="A55" s="2" t="str">
        <f>IFERROR(__xludf.DUMMYFUNCTION("""COMPUTED_VALUE"""),"-")</f>
        <v>-</v>
      </c>
      <c r="B55" s="2" t="str">
        <f>IFERROR(__xludf.DUMMYFUNCTION("""COMPUTED_VALUE"""),"preconditioner")</f>
        <v>preconditioner</v>
      </c>
      <c r="C55" s="2" t="str">
        <f>IFERROR(__xludf.DUMMYFUNCTION("""COMPUTED_VALUE"""),"pohjustin")</f>
        <v>pohjustin</v>
      </c>
      <c r="D55" s="5"/>
      <c r="E55" s="5"/>
      <c r="F55" s="11"/>
      <c r="G55" s="11"/>
    </row>
    <row r="56">
      <c r="A56" s="2" t="str">
        <f>IFERROR(__xludf.DUMMYFUNCTION("""COMPUTED_VALUE"""),"-")</f>
        <v>-</v>
      </c>
      <c r="B56" s="2" t="str">
        <f>IFERROR(__xludf.DUMMYFUNCTION("""COMPUTED_VALUE"""),"proximity space")</f>
        <v>proximity space</v>
      </c>
      <c r="C56" s="2" t="str">
        <f>IFERROR(__xludf.DUMMYFUNCTION("""COMPUTED_VALUE"""),"kosketusavaruus")</f>
        <v>kosketusavaruus</v>
      </c>
      <c r="D56" s="5"/>
      <c r="E56" s="5"/>
      <c r="F56" s="11"/>
      <c r="G56" s="11"/>
    </row>
    <row r="57">
      <c r="A57" s="2" t="str">
        <f>IFERROR(__xludf.DUMMYFUNCTION("""COMPUTED_VALUE"""),"-")</f>
        <v>-</v>
      </c>
      <c r="B57" s="2" t="str">
        <f>IFERROR(__xludf.DUMMYFUNCTION("""COMPUTED_VALUE"""),"quotient group")</f>
        <v>quotient group</v>
      </c>
      <c r="C57" s="2" t="str">
        <f>IFERROR(__xludf.DUMMYFUNCTION("""COMPUTED_VALUE"""),"tekijäryhmä")</f>
        <v>tekijäryhmä</v>
      </c>
      <c r="D57" s="5"/>
      <c r="E57" s="5"/>
      <c r="F57" s="11"/>
      <c r="G57" s="11"/>
    </row>
    <row r="58">
      <c r="A58" s="2" t="str">
        <f>IFERROR(__xludf.DUMMYFUNCTION("""COMPUTED_VALUE"""),"-")</f>
        <v>-</v>
      </c>
      <c r="B58" s="2" t="str">
        <f>IFERROR(__xludf.DUMMYFUNCTION("""COMPUTED_VALUE"""),"relatively compact")</f>
        <v>relatively compact</v>
      </c>
      <c r="C58" s="2" t="str">
        <f>IFERROR(__xludf.DUMMYFUNCTION("""COMPUTED_VALUE"""),"suhteellisesti kompakti (sulkeuma kompakti)")</f>
        <v>suhteellisesti kompakti (sulkeuma kompakti)</v>
      </c>
      <c r="D58" s="5"/>
      <c r="E58" s="5"/>
      <c r="F58" s="11"/>
      <c r="G58" s="11"/>
    </row>
    <row r="59">
      <c r="A59" s="2" t="str">
        <f>IFERROR(__xludf.DUMMYFUNCTION("""COMPUTED_VALUE"""),"-")</f>
        <v>-</v>
      </c>
      <c r="B59" s="2" t="str">
        <f>IFERROR(__xludf.DUMMYFUNCTION("""COMPUTED_VALUE"""),"retract")</f>
        <v>retract</v>
      </c>
      <c r="C59" s="2" t="str">
        <f>IFERROR(__xludf.DUMMYFUNCTION("""COMPUTED_VALUE"""),"retrakti")</f>
        <v>retrakti</v>
      </c>
      <c r="D59" s="5"/>
      <c r="E59" s="5"/>
      <c r="F59" s="11"/>
      <c r="G59" s="11"/>
    </row>
    <row r="60">
      <c r="A60" s="2" t="str">
        <f>IFERROR(__xludf.DUMMYFUNCTION("""COMPUTED_VALUE"""),"-")</f>
        <v>-</v>
      </c>
      <c r="B60" s="2" t="str">
        <f>IFERROR(__xludf.DUMMYFUNCTION("""COMPUTED_VALUE"""),"retraction")</f>
        <v>retraction</v>
      </c>
      <c r="C60" s="2" t="str">
        <f>IFERROR(__xludf.DUMMYFUNCTION("""COMPUTED_VALUE"""),"retraktio")</f>
        <v>retraktio</v>
      </c>
      <c r="D60" s="5"/>
      <c r="E60" s="5"/>
      <c r="F60" s="11"/>
      <c r="G60" s="11"/>
    </row>
    <row r="61">
      <c r="A61" s="2" t="str">
        <f>IFERROR(__xludf.DUMMYFUNCTION("""COMPUTED_VALUE"""),"-")</f>
        <v>-</v>
      </c>
      <c r="B61" s="2" t="str">
        <f>IFERROR(__xludf.DUMMYFUNCTION("""COMPUTED_VALUE"""),"right inverse")</f>
        <v>right inverse</v>
      </c>
      <c r="C61" s="2" t="str">
        <f>IFERROR(__xludf.DUMMYFUNCTION("""COMPUTED_VALUE"""),"oikeanpuoleinen käänteismatriisi")</f>
        <v>oikeanpuoleinen käänteismatriisi</v>
      </c>
      <c r="D61" s="5"/>
      <c r="E61" s="5"/>
      <c r="F61" s="11"/>
      <c r="G61" s="11"/>
    </row>
    <row r="62">
      <c r="A62" s="2" t="str">
        <f>IFERROR(__xludf.DUMMYFUNCTION("""COMPUTED_VALUE"""),"-")</f>
        <v>-</v>
      </c>
      <c r="B62" s="2" t="str">
        <f>IFERROR(__xludf.DUMMYFUNCTION("""COMPUTED_VALUE"""),"root of unity")</f>
        <v>root of unity</v>
      </c>
      <c r="C62" s="2" t="str">
        <f>IFERROR(__xludf.DUMMYFUNCTION("""COMPUTED_VALUE"""),"ykkösenjuuri")</f>
        <v>ykkösenjuuri</v>
      </c>
      <c r="D62" s="5"/>
      <c r="E62" s="5"/>
      <c r="F62" s="11"/>
      <c r="G62" s="11"/>
    </row>
    <row r="63">
      <c r="A63" s="2" t="str">
        <f>IFERROR(__xludf.DUMMYFUNCTION("""COMPUTED_VALUE"""),"-")</f>
        <v>-</v>
      </c>
      <c r="B63" s="2" t="str">
        <f>IFERROR(__xludf.DUMMYFUNCTION("""COMPUTED_VALUE"""),"rotation matrix")</f>
        <v>rotation matrix</v>
      </c>
      <c r="C63" s="2" t="str">
        <f>IFERROR(__xludf.DUMMYFUNCTION("""COMPUTED_VALUE"""),"kiertomatriisi")</f>
        <v>kiertomatriisi</v>
      </c>
      <c r="D63" s="5"/>
      <c r="E63" s="5"/>
      <c r="F63" s="11"/>
      <c r="G63" s="11"/>
    </row>
    <row r="64">
      <c r="A64" s="2" t="str">
        <f>IFERROR(__xludf.DUMMYFUNCTION("""COMPUTED_VALUE"""),"-")</f>
        <v>-</v>
      </c>
      <c r="B64" s="2" t="str">
        <f>IFERROR(__xludf.DUMMYFUNCTION("""COMPUTED_VALUE"""),"row space")</f>
        <v>row space</v>
      </c>
      <c r="C64" s="2" t="str">
        <f>IFERROR(__xludf.DUMMYFUNCTION("""COMPUTED_VALUE"""),"riviavaruus")</f>
        <v>riviavaruus</v>
      </c>
      <c r="D64" s="5"/>
      <c r="E64" s="5"/>
      <c r="F64" s="11"/>
      <c r="G64" s="11"/>
    </row>
    <row r="65">
      <c r="A65" s="2" t="str">
        <f>IFERROR(__xludf.DUMMYFUNCTION("""COMPUTED_VALUE"""),"-")</f>
        <v>-</v>
      </c>
      <c r="B65" s="2" t="str">
        <f>IFERROR(__xludf.DUMMYFUNCTION("""COMPUTED_VALUE"""),"scalar field")</f>
        <v>scalar field</v>
      </c>
      <c r="C65" s="2" t="str">
        <f>IFERROR(__xludf.DUMMYFUNCTION("""COMPUTED_VALUE"""),"skalaarikunta, kerroinkunta")</f>
        <v>skalaarikunta, kerroinkunta</v>
      </c>
      <c r="D65" s="5"/>
      <c r="E65" s="5"/>
      <c r="F65" s="11"/>
      <c r="G65" s="11"/>
    </row>
    <row r="66">
      <c r="A66" s="2" t="str">
        <f>IFERROR(__xludf.DUMMYFUNCTION("""COMPUTED_VALUE"""),"-")</f>
        <v>-</v>
      </c>
      <c r="B66" s="2" t="str">
        <f>IFERROR(__xludf.DUMMYFUNCTION("""COMPUTED_VALUE"""),"scalar projection")</f>
        <v>scalar projection</v>
      </c>
      <c r="C66" s="2" t="str">
        <f>IFERROR(__xludf.DUMMYFUNCTION("""COMPUTED_VALUE"""),"skalaariprojektio")</f>
        <v>skalaariprojektio</v>
      </c>
      <c r="D66" s="5"/>
      <c r="E66" s="5"/>
      <c r="F66" s="11"/>
      <c r="G66" s="11"/>
    </row>
    <row r="67">
      <c r="A67" s="2" t="str">
        <f>IFERROR(__xludf.DUMMYFUNCTION("""COMPUTED_VALUE"""),"-")</f>
        <v>-</v>
      </c>
      <c r="B67" s="2" t="str">
        <f>IFERROR(__xludf.DUMMYFUNCTION("""COMPUTED_VALUE"""),"second countable space")</f>
        <v>second countable space</v>
      </c>
      <c r="C67" s="2" t="str">
        <f>IFERROR(__xludf.DUMMYFUNCTION("""COMPUTED_VALUE"""),"N2-avaruus")</f>
        <v>N2-avaruus</v>
      </c>
      <c r="D67" s="5"/>
      <c r="E67" s="5"/>
      <c r="F67" s="11"/>
      <c r="G67" s="11"/>
    </row>
    <row r="68">
      <c r="A68" s="2" t="str">
        <f>IFERROR(__xludf.DUMMYFUNCTION("""COMPUTED_VALUE"""),"-")</f>
        <v>-</v>
      </c>
      <c r="B68" s="2" t="str">
        <f>IFERROR(__xludf.DUMMYFUNCTION("""COMPUTED_VALUE"""),"semigroup")</f>
        <v>semigroup</v>
      </c>
      <c r="C68" s="2" t="str">
        <f>IFERROR(__xludf.DUMMYFUNCTION("""COMPUTED_VALUE"""),"puoliryhmä")</f>
        <v>puoliryhmä</v>
      </c>
      <c r="D68" s="5"/>
      <c r="E68" s="5"/>
      <c r="F68" s="11"/>
      <c r="G68" s="11"/>
    </row>
    <row r="69">
      <c r="A69" s="2" t="str">
        <f>IFERROR(__xludf.DUMMYFUNCTION("""COMPUTED_VALUE"""),"-")</f>
        <v>-</v>
      </c>
      <c r="B69" s="2" t="str">
        <f>IFERROR(__xludf.DUMMYFUNCTION("""COMPUTED_VALUE"""),"semigroup of bounded linear operators")</f>
        <v>semigroup of bounded linear operators</v>
      </c>
      <c r="C69" s="2" t="str">
        <f>IFERROR(__xludf.DUMMYFUNCTION("""COMPUTED_VALUE"""),"rajoitettujen lineaarioperaattorien puoliryhmä")</f>
        <v>rajoitettujen lineaarioperaattorien puoliryhmä</v>
      </c>
      <c r="D69" s="5"/>
      <c r="E69" s="5"/>
      <c r="F69" s="11"/>
      <c r="G69" s="11"/>
    </row>
    <row r="70">
      <c r="A70" s="2" t="str">
        <f>IFERROR(__xludf.DUMMYFUNCTION("""COMPUTED_VALUE"""),"-")</f>
        <v>-</v>
      </c>
      <c r="B70" s="2" t="str">
        <f>IFERROR(__xludf.DUMMYFUNCTION("""COMPUTED_VALUE"""),"separated sets")</f>
        <v>separated sets</v>
      </c>
      <c r="C70" s="2" t="str">
        <f>IFERROR(__xludf.DUMMYFUNCTION("""COMPUTED_VALUE"""),"separoidut joukot")</f>
        <v>separoidut joukot</v>
      </c>
      <c r="D70" s="5"/>
      <c r="E70" s="5"/>
      <c r="F70" s="11"/>
      <c r="G70" s="11"/>
    </row>
    <row r="71">
      <c r="A71" s="2" t="str">
        <f>IFERROR(__xludf.DUMMYFUNCTION("""COMPUTED_VALUE"""),"-")</f>
        <v>-</v>
      </c>
      <c r="B71" s="2" t="str">
        <f>IFERROR(__xludf.DUMMYFUNCTION("""COMPUTED_VALUE"""),"set of first category, meager set")</f>
        <v>set of first category, meager set</v>
      </c>
      <c r="C71" s="2" t="str">
        <f>IFERROR(__xludf.DUMMYFUNCTION("""COMPUTED_VALUE"""),"laiha joukko")</f>
        <v>laiha joukko</v>
      </c>
      <c r="D71" s="5"/>
      <c r="E71" s="5"/>
      <c r="F71" s="11"/>
      <c r="G71" s="11"/>
    </row>
    <row r="72">
      <c r="A72" s="2" t="str">
        <f>IFERROR(__xludf.DUMMYFUNCTION("""COMPUTED_VALUE"""),"-")</f>
        <v>-</v>
      </c>
      <c r="B72" s="2" t="str">
        <f>IFERROR(__xludf.DUMMYFUNCTION("""COMPUTED_VALUE"""),"sheaf")</f>
        <v>sheaf</v>
      </c>
      <c r="C72" s="2" t="str">
        <f>IFERROR(__xludf.DUMMYFUNCTION("""COMPUTED_VALUE"""),"lyhde")</f>
        <v>lyhde</v>
      </c>
      <c r="D72" s="5"/>
      <c r="E72" s="5"/>
      <c r="F72" s="11"/>
      <c r="G72" s="11"/>
    </row>
    <row r="73">
      <c r="A73" s="2" t="str">
        <f>IFERROR(__xludf.DUMMYFUNCTION("""COMPUTED_VALUE"""),"-")</f>
        <v>-</v>
      </c>
      <c r="B73" s="2" t="str">
        <f>IFERROR(__xludf.DUMMYFUNCTION("""COMPUTED_VALUE"""),"simplicial")</f>
        <v>simplicial</v>
      </c>
      <c r="C73" s="2" t="str">
        <f>IFERROR(__xludf.DUMMYFUNCTION("""COMPUTED_VALUE"""),"simpleksinen")</f>
        <v>simpleksinen</v>
      </c>
      <c r="D73" s="5"/>
      <c r="E73" s="5"/>
      <c r="F73" s="11"/>
      <c r="G73" s="11"/>
    </row>
    <row r="74">
      <c r="A74" s="2" t="str">
        <f>IFERROR(__xludf.DUMMYFUNCTION("""COMPUTED_VALUE"""),"-")</f>
        <v>-</v>
      </c>
      <c r="B74" s="2" t="str">
        <f>IFERROR(__xludf.DUMMYFUNCTION("""COMPUTED_VALUE"""),"singleton")</f>
        <v>singleton</v>
      </c>
      <c r="C74" s="2" t="str">
        <f>IFERROR(__xludf.DUMMYFUNCTION("""COMPUTED_VALUE"""),"yksiö")</f>
        <v>yksiö</v>
      </c>
      <c r="D74" s="5"/>
      <c r="E74" s="5"/>
      <c r="F74" s="11"/>
      <c r="G74" s="11"/>
    </row>
    <row r="75">
      <c r="A75" s="2" t="str">
        <f>IFERROR(__xludf.DUMMYFUNCTION("""COMPUTED_VALUE"""),"-")</f>
        <v>-</v>
      </c>
      <c r="B75" s="2" t="str">
        <f>IFERROR(__xludf.DUMMYFUNCTION("""COMPUTED_VALUE"""),"skeleton")</f>
        <v>skeleton</v>
      </c>
      <c r="C75" s="2" t="str">
        <f>IFERROR(__xludf.DUMMYFUNCTION("""COMPUTED_VALUE"""),"runko")</f>
        <v>runko</v>
      </c>
      <c r="D75" s="5"/>
      <c r="E75" s="5"/>
      <c r="F75" s="11"/>
      <c r="G75" s="11"/>
    </row>
    <row r="76">
      <c r="A76" s="2" t="str">
        <f>IFERROR(__xludf.DUMMYFUNCTION("""COMPUTED_VALUE"""),"-")</f>
        <v>-</v>
      </c>
      <c r="B76" s="2" t="str">
        <f>IFERROR(__xludf.DUMMYFUNCTION("""COMPUTED_VALUE"""),"spectral radius")</f>
        <v>spectral radius</v>
      </c>
      <c r="C76" s="2" t="str">
        <f>IFERROR(__xludf.DUMMYFUNCTION("""COMPUTED_VALUE"""),"spektraalisäde")</f>
        <v>spektraalisäde</v>
      </c>
      <c r="D76" s="5"/>
      <c r="E76" s="5"/>
      <c r="F76" s="11"/>
      <c r="G76" s="11"/>
    </row>
    <row r="77">
      <c r="A77" s="2" t="str">
        <f>IFERROR(__xludf.DUMMYFUNCTION("""COMPUTED_VALUE"""),"-")</f>
        <v>-</v>
      </c>
      <c r="B77" s="2" t="str">
        <f>IFERROR(__xludf.DUMMYFUNCTION("""COMPUTED_VALUE"""),"star refinement")</f>
        <v>star refinement</v>
      </c>
      <c r="C77" s="2" t="str">
        <f>IFERROR(__xludf.DUMMYFUNCTION("""COMPUTED_VALUE"""),"tähtitihennys")</f>
        <v>tähtitihennys</v>
      </c>
      <c r="D77" s="5"/>
      <c r="E77" s="5"/>
      <c r="F77" s="11"/>
      <c r="G77" s="11"/>
    </row>
    <row r="78">
      <c r="A78" s="2" t="str">
        <f>IFERROR(__xludf.DUMMYFUNCTION("""COMPUTED_VALUE"""),"-")</f>
        <v>-</v>
      </c>
      <c r="B78" s="2" t="str">
        <f>IFERROR(__xludf.DUMMYFUNCTION("""COMPUTED_VALUE"""),"strange attractor")</f>
        <v>strange attractor</v>
      </c>
      <c r="C78" s="2" t="str">
        <f>IFERROR(__xludf.DUMMYFUNCTION("""COMPUTED_VALUE"""),"outo attraktori")</f>
        <v>outo attraktori</v>
      </c>
      <c r="D78" s="5"/>
      <c r="E78" s="5"/>
      <c r="F78" s="11"/>
      <c r="G78" s="11"/>
    </row>
    <row r="79">
      <c r="A79" s="2" t="str">
        <f>IFERROR(__xludf.DUMMYFUNCTION("""COMPUTED_VALUE"""),"-")</f>
        <v>-</v>
      </c>
      <c r="B79" s="2" t="str">
        <f>IFERROR(__xludf.DUMMYFUNCTION("""COMPUTED_VALUE"""),"subbase, subbasis")</f>
        <v>subbase, subbasis</v>
      </c>
      <c r="C79" s="2" t="str">
        <f>IFERROR(__xludf.DUMMYFUNCTION("""COMPUTED_VALUE"""),"esikanta (topologian, filtterin)")</f>
        <v>esikanta (topologian, filtterin)</v>
      </c>
      <c r="D79" s="5"/>
      <c r="E79" s="5"/>
      <c r="F79" s="11"/>
      <c r="G79" s="11"/>
    </row>
    <row r="80">
      <c r="A80" s="2" t="str">
        <f>IFERROR(__xludf.DUMMYFUNCTION("""COMPUTED_VALUE"""),"-")</f>
        <v>-</v>
      </c>
      <c r="B80" s="2" t="str">
        <f>IFERROR(__xludf.DUMMYFUNCTION("""COMPUTED_VALUE"""),"subbasis")</f>
        <v>subbasis</v>
      </c>
      <c r="C80" s="2" t="str">
        <f>IFERROR(__xludf.DUMMYFUNCTION("""COMPUTED_VALUE"""),"esikanta, alikanta")</f>
        <v>esikanta, alikanta</v>
      </c>
      <c r="D80" s="5"/>
      <c r="E80" s="5"/>
      <c r="F80" s="11"/>
      <c r="G80" s="11"/>
    </row>
    <row r="81">
      <c r="A81" s="2" t="str">
        <f>IFERROR(__xludf.DUMMYFUNCTION("""COMPUTED_VALUE"""),"-")</f>
        <v>-</v>
      </c>
      <c r="B81" s="2" t="str">
        <f>IFERROR(__xludf.DUMMYFUNCTION("""COMPUTED_VALUE"""),"subcovering")</f>
        <v>subcovering</v>
      </c>
      <c r="C81" s="2" t="str">
        <f>IFERROR(__xludf.DUMMYFUNCTION("""COMPUTED_VALUE"""),"osapeite")</f>
        <v>osapeite</v>
      </c>
      <c r="D81" s="5"/>
      <c r="E81" s="5"/>
      <c r="F81" s="11"/>
      <c r="G81" s="11"/>
    </row>
    <row r="82">
      <c r="A82" s="2" t="str">
        <f>IFERROR(__xludf.DUMMYFUNCTION("""COMPUTED_VALUE"""),"-")</f>
        <v>-</v>
      </c>
      <c r="B82" s="2" t="str">
        <f>IFERROR(__xludf.DUMMYFUNCTION("""COMPUTED_VALUE"""),"superset")</f>
        <v>superset</v>
      </c>
      <c r="C82" s="2" t="str">
        <f>IFERROR(__xludf.DUMMYFUNCTION("""COMPUTED_VALUE"""),"ylijoukko")</f>
        <v>ylijoukko</v>
      </c>
      <c r="D82" s="5"/>
      <c r="E82" s="5"/>
      <c r="F82" s="11"/>
      <c r="G82" s="11"/>
    </row>
    <row r="83">
      <c r="A83" s="2" t="str">
        <f>IFERROR(__xludf.DUMMYFUNCTION("""COMPUTED_VALUE"""),"-")</f>
        <v>-</v>
      </c>
      <c r="B83" s="2" t="str">
        <f>IFERROR(__xludf.DUMMYFUNCTION("""COMPUTED_VALUE"""),"taut")</f>
        <v>taut</v>
      </c>
      <c r="C83" s="2" t="str">
        <f>IFERROR(__xludf.DUMMYFUNCTION("""COMPUTED_VALUE"""),"tiukka")</f>
        <v>tiukka</v>
      </c>
      <c r="D83" s="5"/>
      <c r="E83" s="5"/>
      <c r="F83" s="11"/>
      <c r="G83" s="11"/>
    </row>
    <row r="84">
      <c r="A84" s="2" t="str">
        <f>IFERROR(__xludf.DUMMYFUNCTION("""COMPUTED_VALUE"""),"-")</f>
        <v>-</v>
      </c>
      <c r="B84" s="2" t="str">
        <f>IFERROR(__xludf.DUMMYFUNCTION("""COMPUTED_VALUE"""),"twin primes")</f>
        <v>twin primes</v>
      </c>
      <c r="C84" s="2" t="str">
        <f>IFERROR(__xludf.DUMMYFUNCTION("""COMPUTED_VALUE"""),"alkulukukaksoset")</f>
        <v>alkulukukaksoset</v>
      </c>
      <c r="D84" s="5"/>
      <c r="E84" s="5"/>
      <c r="F84" s="11"/>
      <c r="G84" s="11"/>
    </row>
    <row r="85">
      <c r="A85" s="2" t="str">
        <f>IFERROR(__xludf.DUMMYFUNCTION("""COMPUTED_VALUE"""),"-")</f>
        <v>-</v>
      </c>
      <c r="B85" s="2" t="str">
        <f>IFERROR(__xludf.DUMMYFUNCTION("""COMPUTED_VALUE"""),"unit binormal (vector)")</f>
        <v>unit binormal (vector)</v>
      </c>
      <c r="C85" s="2" t="str">
        <f>IFERROR(__xludf.DUMMYFUNCTION("""COMPUTED_VALUE"""),"yksikkösivunormaalivektori")</f>
        <v>yksikkösivunormaalivektori</v>
      </c>
      <c r="D85" s="5"/>
      <c r="E85" s="5"/>
      <c r="F85" s="11"/>
      <c r="G85" s="11"/>
    </row>
    <row r="86">
      <c r="A86" s="2" t="str">
        <f>IFERROR(__xludf.DUMMYFUNCTION("""COMPUTED_VALUE"""),"-")</f>
        <v>-</v>
      </c>
      <c r="B86" s="2" t="str">
        <f>IFERROR(__xludf.DUMMYFUNCTION("""COMPUTED_VALUE"""),"weak type")</f>
        <v>weak type</v>
      </c>
      <c r="C86" s="2" t="str">
        <f>IFERROR(__xludf.DUMMYFUNCTION("""COMPUTED_VALUE"""),"heikko tyyppi")</f>
        <v>heikko tyyppi</v>
      </c>
      <c r="D86" s="5"/>
      <c r="E86" s="5"/>
      <c r="F86" s="11"/>
      <c r="G86" s="11"/>
    </row>
    <row r="87">
      <c r="A87" s="2" t="str">
        <f>IFERROR(__xludf.DUMMYFUNCTION("""COMPUTED_VALUE"""),"Abelsk grupp")</f>
        <v>Abelsk grupp</v>
      </c>
      <c r="B87" s="2" t="str">
        <f>IFERROR(__xludf.DUMMYFUNCTION("""COMPUTED_VALUE"""),"Abelian group")</f>
        <v>Abelian group</v>
      </c>
      <c r="C87" s="2" t="str">
        <f>IFERROR(__xludf.DUMMYFUNCTION("""COMPUTED_VALUE"""),"Abelin ryhmä (""aabelin"")")</f>
        <v>Abelin ryhmä ("aabelin")</v>
      </c>
      <c r="D87" s="5"/>
      <c r="E87" s="5"/>
      <c r="F87" s="11"/>
      <c r="G87" s="11"/>
    </row>
    <row r="88">
      <c r="A88" s="2" t="str">
        <f>IFERROR(__xludf.DUMMYFUNCTION("""COMPUTED_VALUE"""),"absolut kontinuitet")</f>
        <v>absolut kontinuitet</v>
      </c>
      <c r="B88" s="2" t="str">
        <f>IFERROR(__xludf.DUMMYFUNCTION("""COMPUTED_VALUE"""),"absolute continuity")</f>
        <v>absolute continuity</v>
      </c>
      <c r="C88" s="2" t="str">
        <f>IFERROR(__xludf.DUMMYFUNCTION("""COMPUTED_VALUE"""),"absoluuttinen jatkuvuus")</f>
        <v>absoluuttinen jatkuvuus</v>
      </c>
      <c r="D88" s="5"/>
      <c r="E88" s="5"/>
      <c r="F88" s="11"/>
      <c r="G88" s="11"/>
    </row>
    <row r="89">
      <c r="A89" s="2" t="str">
        <f>IFERROR(__xludf.DUMMYFUNCTION("""COMPUTED_VALUE"""),"absolut konvergens")</f>
        <v>absolut konvergens</v>
      </c>
      <c r="B89" s="2" t="str">
        <f>IFERROR(__xludf.DUMMYFUNCTION("""COMPUTED_VALUE"""),"absolute convergence")</f>
        <v>absolute convergence</v>
      </c>
      <c r="C89" s="2" t="str">
        <f>IFERROR(__xludf.DUMMYFUNCTION("""COMPUTED_VALUE"""),"itseinen suppeneminen")</f>
        <v>itseinen suppeneminen</v>
      </c>
      <c r="D89" s="5"/>
      <c r="E89" s="5"/>
      <c r="F89" s="11"/>
      <c r="G89" s="11"/>
    </row>
    <row r="90">
      <c r="A90" s="2" t="str">
        <f>IFERROR(__xludf.DUMMYFUNCTION("""COMPUTED_VALUE"""),"absolutbelopp")</f>
        <v>absolutbelopp</v>
      </c>
      <c r="B90" s="2" t="str">
        <f>IFERROR(__xludf.DUMMYFUNCTION("""COMPUTED_VALUE"""),"absolute value")</f>
        <v>absolute value</v>
      </c>
      <c r="C90" s="2" t="str">
        <f>IFERROR(__xludf.DUMMYFUNCTION("""COMPUTED_VALUE"""),"itseisarvo")</f>
        <v>itseisarvo</v>
      </c>
      <c r="D90" s="5"/>
      <c r="E90" s="5"/>
      <c r="F90" s="11"/>
      <c r="G90" s="11"/>
    </row>
    <row r="91">
      <c r="A91" s="2" t="str">
        <f>IFERROR(__xludf.DUMMYFUNCTION("""COMPUTED_VALUE"""),"absorberande")</f>
        <v>absorberande</v>
      </c>
      <c r="B91" s="2" t="str">
        <f>IFERROR(__xludf.DUMMYFUNCTION("""COMPUTED_VALUE"""),"absorbing")</f>
        <v>absorbing</v>
      </c>
      <c r="C91" s="2" t="str">
        <f>IFERROR(__xludf.DUMMYFUNCTION("""COMPUTED_VALUE"""),"absorboiva")</f>
        <v>absorboiva</v>
      </c>
      <c r="D91" s="5"/>
      <c r="E91" s="5"/>
      <c r="F91" s="11"/>
      <c r="G91" s="11"/>
    </row>
    <row r="92">
      <c r="A92" s="2" t="str">
        <f>IFERROR(__xludf.DUMMYFUNCTION("""COMPUTED_VALUE"""),"acceleration")</f>
        <v>acceleration</v>
      </c>
      <c r="B92" s="2" t="str">
        <f>IFERROR(__xludf.DUMMYFUNCTION("""COMPUTED_VALUE"""),"acceleration")</f>
        <v>acceleration</v>
      </c>
      <c r="C92" s="2" t="str">
        <f>IFERROR(__xludf.DUMMYFUNCTION("""COMPUTED_VALUE"""),"kiihtyvyys")</f>
        <v>kiihtyvyys</v>
      </c>
      <c r="D92" s="5"/>
      <c r="E92" s="5"/>
      <c r="F92" s="11"/>
      <c r="G92" s="11"/>
    </row>
    <row r="93">
      <c r="A93" s="2" t="str">
        <f>IFERROR(__xludf.DUMMYFUNCTION("""COMPUTED_VALUE"""),"addition")</f>
        <v>addition</v>
      </c>
      <c r="B93" s="2" t="str">
        <f>IFERROR(__xludf.DUMMYFUNCTION("""COMPUTED_VALUE"""),"addition")</f>
        <v>addition</v>
      </c>
      <c r="C93" s="2" t="str">
        <f>IFERROR(__xludf.DUMMYFUNCTION("""COMPUTED_VALUE"""),"yhteenlasku")</f>
        <v>yhteenlasku</v>
      </c>
      <c r="D93" s="5"/>
      <c r="E93" s="5"/>
      <c r="F93" s="11"/>
      <c r="G93" s="11"/>
    </row>
    <row r="94">
      <c r="A94" s="2" t="str">
        <f>IFERROR(__xludf.DUMMYFUNCTION("""COMPUTED_VALUE"""),"additiv")</f>
        <v>additiv</v>
      </c>
      <c r="B94" s="2" t="str">
        <f>IFERROR(__xludf.DUMMYFUNCTION("""COMPUTED_VALUE"""),"additive")</f>
        <v>additive</v>
      </c>
      <c r="C94" s="2" t="str">
        <f>IFERROR(__xludf.DUMMYFUNCTION("""COMPUTED_VALUE"""),"additiivinen")</f>
        <v>additiivinen</v>
      </c>
      <c r="D94" s="5"/>
      <c r="E94" s="5"/>
      <c r="F94" s="11"/>
      <c r="G94" s="11"/>
    </row>
    <row r="95">
      <c r="A95" s="2" t="str">
        <f>IFERROR(__xludf.DUMMYFUNCTION("""COMPUTED_VALUE"""),"adjungerad")</f>
        <v>adjungerad</v>
      </c>
      <c r="B95" s="2" t="str">
        <f>IFERROR(__xludf.DUMMYFUNCTION("""COMPUTED_VALUE"""),"adjoint")</f>
        <v>adjoint</v>
      </c>
      <c r="C95" s="2" t="str">
        <f>IFERROR(__xludf.DUMMYFUNCTION("""COMPUTED_VALUE"""),"adjungaatti, adjunkti")</f>
        <v>adjungaatti, adjunkti</v>
      </c>
      <c r="D95" s="5"/>
      <c r="E95" s="5"/>
      <c r="F95" s="11"/>
      <c r="G95" s="11"/>
    </row>
    <row r="96">
      <c r="A96" s="2" t="str">
        <f>IFERROR(__xludf.DUMMYFUNCTION("""COMPUTED_VALUE"""),"affin")</f>
        <v>affin</v>
      </c>
      <c r="B96" s="2" t="str">
        <f>IFERROR(__xludf.DUMMYFUNCTION("""COMPUTED_VALUE"""),"affine")</f>
        <v>affine</v>
      </c>
      <c r="C96" s="2" t="str">
        <f>IFERROR(__xludf.DUMMYFUNCTION("""COMPUTED_VALUE"""),"affiini, affiininen")</f>
        <v>affiini, affiininen</v>
      </c>
      <c r="D96" s="5"/>
      <c r="E96" s="5"/>
      <c r="F96" s="11"/>
      <c r="G96" s="11"/>
    </row>
    <row r="97">
      <c r="A97" s="2" t="str">
        <f>IFERROR(__xludf.DUMMYFUNCTION("""COMPUTED_VALUE"""),"alfa")</f>
        <v>alfa</v>
      </c>
      <c r="B97" s="2" t="str">
        <f>IFERROR(__xludf.DUMMYFUNCTION("""COMPUTED_VALUE"""),"alpha")</f>
        <v>alpha</v>
      </c>
      <c r="C97" s="2" t="str">
        <f>IFERROR(__xludf.DUMMYFUNCTION("""COMPUTED_VALUE"""),"alfa (lausutaankin alfa, ei alffa; vast. beeta)")</f>
        <v>alfa (lausutaankin alfa, ei alffa; vast. beeta)</v>
      </c>
      <c r="D97" s="5"/>
      <c r="E97" s="5"/>
      <c r="F97" s="11"/>
      <c r="G97" s="11"/>
    </row>
    <row r="98">
      <c r="A98" s="2" t="str">
        <f>IFERROR(__xludf.DUMMYFUNCTION("""COMPUTED_VALUE"""),"algebraisk bas")</f>
        <v>algebraisk bas</v>
      </c>
      <c r="B98" s="2" t="str">
        <f>IFERROR(__xludf.DUMMYFUNCTION("""COMPUTED_VALUE"""),"algebraic basis, Hamel basis, vector basis")</f>
        <v>algebraic basis, Hamel basis, vector basis</v>
      </c>
      <c r="C98" s="2" t="str">
        <f>IFERROR(__xludf.DUMMYFUNCTION("""COMPUTED_VALUE"""),"algebrallinen kanta, Hamel-kanta, vektorikanta")</f>
        <v>algebrallinen kanta, Hamel-kanta, vektorikanta</v>
      </c>
      <c r="D98" s="5"/>
      <c r="E98" s="5"/>
      <c r="F98" s="11"/>
      <c r="G98" s="11"/>
    </row>
    <row r="99">
      <c r="A99" s="2" t="str">
        <f>IFERROR(__xludf.DUMMYFUNCTION("""COMPUTED_VALUE"""),"algebraisk mångfald")</f>
        <v>algebraisk mångfald</v>
      </c>
      <c r="B99" s="2" t="str">
        <f>IFERROR(__xludf.DUMMYFUNCTION("""COMPUTED_VALUE"""),"algebraic multiplicity")</f>
        <v>algebraic multiplicity</v>
      </c>
      <c r="C99" s="2" t="str">
        <f>IFERROR(__xludf.DUMMYFUNCTION("""COMPUTED_VALUE"""),"algebrallinen kertaluku")</f>
        <v>algebrallinen kertaluku</v>
      </c>
      <c r="D99" s="5"/>
      <c r="E99" s="5"/>
      <c r="F99" s="11"/>
      <c r="G99" s="11"/>
    </row>
    <row r="100">
      <c r="A100" s="2" t="str">
        <f>IFERROR(__xludf.DUMMYFUNCTION("""COMPUTED_VALUE"""),"algoritm")</f>
        <v>algoritm</v>
      </c>
      <c r="B100" s="2" t="str">
        <f>IFERROR(__xludf.DUMMYFUNCTION("""COMPUTED_VALUE"""),"algorithm")</f>
        <v>algorithm</v>
      </c>
      <c r="C100" s="2" t="str">
        <f>IFERROR(__xludf.DUMMYFUNCTION("""COMPUTED_VALUE"""),"algoritmi")</f>
        <v>algoritmi</v>
      </c>
      <c r="D100" s="5"/>
      <c r="E100" s="5"/>
      <c r="F100" s="11"/>
      <c r="G100" s="11"/>
    </row>
    <row r="101">
      <c r="A101" s="2" t="str">
        <f>IFERROR(__xludf.DUMMYFUNCTION("""COMPUTED_VALUE"""),"alstra, generera")</f>
        <v>alstra, generera</v>
      </c>
      <c r="B101" s="2" t="str">
        <f>IFERROR(__xludf.DUMMYFUNCTION("""COMPUTED_VALUE"""),"generate")</f>
        <v>generate</v>
      </c>
      <c r="C101" s="2" t="str">
        <f>IFERROR(__xludf.DUMMYFUNCTION("""COMPUTED_VALUE"""),"virittää; generoida")</f>
        <v>virittää; generoida</v>
      </c>
      <c r="D101" s="5"/>
      <c r="E101" s="5"/>
      <c r="F101" s="11"/>
      <c r="G101" s="11"/>
    </row>
    <row r="102">
      <c r="A102" s="2" t="str">
        <f>IFERROR(__xludf.DUMMYFUNCTION("""COMPUTED_VALUE"""),"alternerande serie")</f>
        <v>alternerande serie</v>
      </c>
      <c r="B102" s="2" t="str">
        <f>IFERROR(__xludf.DUMMYFUNCTION("""COMPUTED_VALUE"""),"alternating series")</f>
        <v>alternating series</v>
      </c>
      <c r="C102" s="2" t="str">
        <f>IFERROR(__xludf.DUMMYFUNCTION("""COMPUTED_VALUE"""),"vuorotteleva sarja")</f>
        <v>vuorotteleva sarja</v>
      </c>
      <c r="D102" s="5"/>
      <c r="E102" s="5"/>
      <c r="F102" s="11"/>
      <c r="G102" s="11"/>
    </row>
    <row r="103">
      <c r="A103" s="2" t="str">
        <f>IFERROR(__xludf.DUMMYFUNCTION("""COMPUTED_VALUE"""),"amplitud")</f>
        <v>amplitud</v>
      </c>
      <c r="B103" s="2" t="str">
        <f>IFERROR(__xludf.DUMMYFUNCTION("""COMPUTED_VALUE"""),"amplitude")</f>
        <v>amplitude</v>
      </c>
      <c r="C103" s="2" t="str">
        <f>IFERROR(__xludf.DUMMYFUNCTION("""COMPUTED_VALUE"""),"amplitudi")</f>
        <v>amplitudi</v>
      </c>
      <c r="D103" s="5"/>
      <c r="E103" s="5"/>
      <c r="F103" s="11"/>
      <c r="G103" s="11"/>
    </row>
    <row r="104">
      <c r="A104" s="2" t="str">
        <f>IFERROR(__xludf.DUMMYFUNCTION("""COMPUTED_VALUE"""),"analytisk, holomorf")</f>
        <v>analytisk, holomorf</v>
      </c>
      <c r="B104" s="2" t="str">
        <f>IFERROR(__xludf.DUMMYFUNCTION("""COMPUTED_VALUE"""),"analytic, holomorphic")</f>
        <v>analytic, holomorphic</v>
      </c>
      <c r="C104" s="2" t="str">
        <f>IFERROR(__xludf.DUMMYFUNCTION("""COMPUTED_VALUE"""),"analyyttinen, holomorfinen")</f>
        <v>analyyttinen, holomorfinen</v>
      </c>
      <c r="D104" s="5"/>
      <c r="E104" s="5"/>
      <c r="F104" s="11"/>
      <c r="G104" s="11"/>
    </row>
    <row r="105">
      <c r="A105" s="2" t="str">
        <f>IFERROR(__xludf.DUMMYFUNCTION("""COMPUTED_VALUE"""),"anpassning")</f>
        <v>anpassning</v>
      </c>
      <c r="B105" s="2" t="str">
        <f>IFERROR(__xludf.DUMMYFUNCTION("""COMPUTED_VALUE"""),"fitting")</f>
        <v>fitting</v>
      </c>
      <c r="C105" s="2" t="str">
        <f>IFERROR(__xludf.DUMMYFUNCTION("""COMPUTED_VALUE"""),"sovitus")</f>
        <v>sovitus</v>
      </c>
      <c r="D105" s="5"/>
      <c r="E105" s="5"/>
      <c r="F105" s="11"/>
      <c r="G105" s="11"/>
    </row>
    <row r="106">
      <c r="A106" s="2" t="str">
        <f>IFERROR(__xludf.DUMMYFUNCTION("""COMPUTED_VALUE"""),"antikommutativ")</f>
        <v>antikommutativ</v>
      </c>
      <c r="B106" s="2" t="str">
        <f>IFERROR(__xludf.DUMMYFUNCTION("""COMPUTED_VALUE"""),"anticommutative")</f>
        <v>anticommutative</v>
      </c>
      <c r="C106" s="2" t="str">
        <f>IFERROR(__xludf.DUMMYFUNCTION("""COMPUTED_VALUE"""),"antikommutatiivinen")</f>
        <v>antikommutatiivinen</v>
      </c>
      <c r="D106" s="5"/>
      <c r="E106" s="5"/>
      <c r="F106" s="11"/>
      <c r="G106" s="11"/>
    </row>
    <row r="107">
      <c r="A107" s="2" t="str">
        <f>IFERROR(__xludf.DUMMYFUNCTION("""COMPUTED_VALUE"""),"approximation")</f>
        <v>approximation</v>
      </c>
      <c r="B107" s="2" t="str">
        <f>IFERROR(__xludf.DUMMYFUNCTION("""COMPUTED_VALUE"""),"approximation")</f>
        <v>approximation</v>
      </c>
      <c r="C107" s="2" t="str">
        <f>IFERROR(__xludf.DUMMYFUNCTION("""COMPUTED_VALUE"""),"approksimaatio")</f>
        <v>approksimaatio</v>
      </c>
      <c r="D107" s="5"/>
      <c r="E107" s="5"/>
      <c r="F107" s="11"/>
      <c r="G107" s="11"/>
    </row>
    <row r="108">
      <c r="A108" s="2" t="str">
        <f>IFERROR(__xludf.DUMMYFUNCTION("""COMPUTED_VALUE"""),"approximera")</f>
        <v>approximera</v>
      </c>
      <c r="B108" s="2" t="str">
        <f>IFERROR(__xludf.DUMMYFUNCTION("""COMPUTED_VALUE"""),"approximate")</f>
        <v>approximate</v>
      </c>
      <c r="C108" s="2" t="str">
        <f>IFERROR(__xludf.DUMMYFUNCTION("""COMPUTED_VALUE"""),"approksimoida")</f>
        <v>approksimoida</v>
      </c>
      <c r="D108" s="5"/>
      <c r="E108" s="5"/>
      <c r="F108" s="11"/>
      <c r="G108" s="11"/>
    </row>
    <row r="109">
      <c r="A109" s="2" t="str">
        <f>IFERROR(__xludf.DUMMYFUNCTION("""COMPUTED_VALUE"""),"arcus cosinus")</f>
        <v>arcus cosinus</v>
      </c>
      <c r="B109" s="2" t="str">
        <f>IFERROR(__xludf.DUMMYFUNCTION("""COMPUTED_VALUE"""),"arccos, arcus cosine")</f>
        <v>arccos, arcus cosine</v>
      </c>
      <c r="C109" s="2" t="str">
        <f>IFERROR(__xludf.DUMMYFUNCTION("""COMPUTED_VALUE"""),"arccos, arkuskosini")</f>
        <v>arccos, arkuskosini</v>
      </c>
      <c r="D109" s="5"/>
      <c r="E109" s="5"/>
      <c r="F109" s="11"/>
      <c r="G109" s="11"/>
    </row>
    <row r="110">
      <c r="A110" s="2" t="str">
        <f>IFERROR(__xludf.DUMMYFUNCTION("""COMPUTED_VALUE"""),"arcus cotangent")</f>
        <v>arcus cotangent</v>
      </c>
      <c r="B110" s="2" t="str">
        <f>IFERROR(__xludf.DUMMYFUNCTION("""COMPUTED_VALUE"""),"arccot, arcus cotangent")</f>
        <v>arccot, arcus cotangent</v>
      </c>
      <c r="C110" s="2" t="str">
        <f>IFERROR(__xludf.DUMMYFUNCTION("""COMPUTED_VALUE"""),"arccot, arkuskotangentti")</f>
        <v>arccot, arkuskotangentti</v>
      </c>
      <c r="D110" s="5"/>
      <c r="E110" s="5"/>
      <c r="F110" s="11"/>
      <c r="G110" s="11"/>
    </row>
    <row r="111">
      <c r="A111" s="2" t="str">
        <f>IFERROR(__xludf.DUMMYFUNCTION("""COMPUTED_VALUE"""),"arcussinus")</f>
        <v>arcussinus</v>
      </c>
      <c r="B111" s="2" t="str">
        <f>IFERROR(__xludf.DUMMYFUNCTION("""COMPUTED_VALUE"""),"arcsin, arcus sine")</f>
        <v>arcsin, arcus sine</v>
      </c>
      <c r="C111" s="2" t="str">
        <f>IFERROR(__xludf.DUMMYFUNCTION("""COMPUTED_VALUE"""),"arcsin, arkussini")</f>
        <v>arcsin, arkussini</v>
      </c>
      <c r="D111" s="5"/>
      <c r="E111" s="5"/>
      <c r="F111" s="11"/>
      <c r="G111" s="11"/>
    </row>
    <row r="112">
      <c r="A112" s="2" t="str">
        <f>IFERROR(__xludf.DUMMYFUNCTION("""COMPUTED_VALUE"""),"arcustangent")</f>
        <v>arcustangent</v>
      </c>
      <c r="B112" s="2" t="str">
        <f>IFERROR(__xludf.DUMMYFUNCTION("""COMPUTED_VALUE"""),"arctan, arcus tangent")</f>
        <v>arctan, arcus tangent</v>
      </c>
      <c r="C112" s="2" t="str">
        <f>IFERROR(__xludf.DUMMYFUNCTION("""COMPUTED_VALUE"""),"arctan, arkustangentti")</f>
        <v>arctan, arkustangentti</v>
      </c>
      <c r="D112" s="5"/>
      <c r="E112" s="5"/>
      <c r="F112" s="11"/>
      <c r="G112" s="11"/>
    </row>
    <row r="113">
      <c r="A113" s="2" t="str">
        <f>IFERROR(__xludf.DUMMYFUNCTION("""COMPUTED_VALUE"""),"areacosinus (hyperbolicus)")</f>
        <v>areacosinus (hyperbolicus)</v>
      </c>
      <c r="B113" s="2" t="str">
        <f>IFERROR(__xludf.DUMMYFUNCTION("""COMPUTED_VALUE"""),"arcosh, area hyperbolic cosine")</f>
        <v>arcosh, area hyperbolic cosine</v>
      </c>
      <c r="C113" s="2" t="str">
        <f>IFERROR(__xludf.DUMMYFUNCTION("""COMPUTED_VALUE"""),"arcosh, area hyperbelikosini")</f>
        <v>arcosh, area hyperbelikosini</v>
      </c>
      <c r="D113" s="5"/>
      <c r="E113" s="5"/>
      <c r="F113" s="11"/>
      <c r="G113" s="11"/>
    </row>
    <row r="114">
      <c r="A114" s="2" t="str">
        <f>IFERROR(__xludf.DUMMYFUNCTION("""COMPUTED_VALUE"""),"areacotangent (hyperbolicus)")</f>
        <v>areacotangent (hyperbolicus)</v>
      </c>
      <c r="B114" s="2" t="str">
        <f>IFERROR(__xludf.DUMMYFUNCTION("""COMPUTED_VALUE"""),"arcoth, area hyperbolic cotangent")</f>
        <v>arcoth, area hyperbolic cotangent</v>
      </c>
      <c r="C114" s="2" t="str">
        <f>IFERROR(__xludf.DUMMYFUNCTION("""COMPUTED_VALUE"""),"arcoth, area hyperbelikotangentti")</f>
        <v>arcoth, area hyperbelikotangentti</v>
      </c>
      <c r="D114" s="5"/>
      <c r="E114" s="5"/>
      <c r="F114" s="11"/>
      <c r="G114" s="11"/>
    </row>
    <row r="115">
      <c r="A115" s="2" t="str">
        <f>IFERROR(__xludf.DUMMYFUNCTION("""COMPUTED_VALUE"""),"areasinus")</f>
        <v>areasinus</v>
      </c>
      <c r="B115" s="2" t="str">
        <f>IFERROR(__xludf.DUMMYFUNCTION("""COMPUTED_VALUE"""),"arsinh, area hyperbolic sine")</f>
        <v>arsinh, area hyperbolic sine</v>
      </c>
      <c r="C115" s="2" t="str">
        <f>IFERROR(__xludf.DUMMYFUNCTION("""COMPUTED_VALUE"""),"arsinh, area hyperbelisini")</f>
        <v>arsinh, area hyperbelisini</v>
      </c>
      <c r="D115" s="5"/>
      <c r="E115" s="5"/>
      <c r="F115" s="11"/>
      <c r="G115" s="11"/>
    </row>
    <row r="116">
      <c r="A116" s="2" t="str">
        <f>IFERROR(__xludf.DUMMYFUNCTION("""COMPUTED_VALUE"""),"areatangent")</f>
        <v>areatangent</v>
      </c>
      <c r="B116" s="2" t="str">
        <f>IFERROR(__xludf.DUMMYFUNCTION("""COMPUTED_VALUE"""),"artanh, area hyperbolic tangent")</f>
        <v>artanh, area hyperbolic tangent</v>
      </c>
      <c r="C116" s="2" t="str">
        <f>IFERROR(__xludf.DUMMYFUNCTION("""COMPUTED_VALUE"""),"artanh, area hyperbelitangentti")</f>
        <v>artanh, area hyperbelitangentti</v>
      </c>
      <c r="D116" s="5"/>
      <c r="E116" s="5"/>
      <c r="F116" s="11"/>
      <c r="G116" s="11"/>
    </row>
    <row r="117">
      <c r="A117" s="2" t="str">
        <f>IFERROR(__xludf.DUMMYFUNCTION("""COMPUTED_VALUE"""),"aritmetisk serie")</f>
        <v>aritmetisk serie</v>
      </c>
      <c r="B117" s="2" t="str">
        <f>IFERROR(__xludf.DUMMYFUNCTION("""COMPUTED_VALUE"""),"arithmetic series")</f>
        <v>arithmetic series</v>
      </c>
      <c r="C117" s="2" t="str">
        <f>IFERROR(__xludf.DUMMYFUNCTION("""COMPUTED_VALUE"""),"aritmeettinen sarja")</f>
        <v>aritmeettinen sarja</v>
      </c>
      <c r="D117" s="5"/>
      <c r="E117" s="5"/>
      <c r="F117" s="11"/>
      <c r="G117" s="11"/>
    </row>
    <row r="118">
      <c r="A118" s="2" t="str">
        <f>IFERROR(__xludf.DUMMYFUNCTION("""COMPUTED_VALUE"""),"aritmetiskt medelvärde")</f>
        <v>aritmetiskt medelvärde</v>
      </c>
      <c r="B118" s="2" t="str">
        <f>IFERROR(__xludf.DUMMYFUNCTION("""COMPUTED_VALUE"""),"arithmetic mean")</f>
        <v>arithmetic mean</v>
      </c>
      <c r="C118" s="2" t="str">
        <f>IFERROR(__xludf.DUMMYFUNCTION("""COMPUTED_VALUE"""),"aritmeettinen keskiarvo")</f>
        <v>aritmeettinen keskiarvo</v>
      </c>
      <c r="D118" s="5"/>
      <c r="E118" s="5"/>
      <c r="F118" s="11"/>
      <c r="G118" s="11"/>
    </row>
    <row r="119">
      <c r="A119" s="2" t="str">
        <f>IFERROR(__xludf.DUMMYFUNCTION("""COMPUTED_VALUE"""),"associativitet")</f>
        <v>associativitet</v>
      </c>
      <c r="B119" s="2" t="str">
        <f>IFERROR(__xludf.DUMMYFUNCTION("""COMPUTED_VALUE"""),"associative law, associativity")</f>
        <v>associative law, associativity</v>
      </c>
      <c r="C119" s="2" t="str">
        <f>IFERROR(__xludf.DUMMYFUNCTION("""COMPUTED_VALUE"""),"liitännäisyys, assosiatiivisuus")</f>
        <v>liitännäisyys, assosiatiivisuus</v>
      </c>
      <c r="D119" s="5"/>
      <c r="E119" s="5"/>
      <c r="F119" s="11"/>
      <c r="G119" s="11"/>
    </row>
    <row r="120">
      <c r="A120" s="2" t="str">
        <f>IFERROR(__xludf.DUMMYFUNCTION("""COMPUTED_VALUE"""),"associerad")</f>
        <v>associerad</v>
      </c>
      <c r="B120" s="2" t="str">
        <f>IFERROR(__xludf.DUMMYFUNCTION("""COMPUTED_VALUE"""),"associated")</f>
        <v>associated</v>
      </c>
      <c r="C120" s="2" t="str">
        <f>IFERROR(__xludf.DUMMYFUNCTION("""COMPUTED_VALUE"""),"liittyvä; liitännäinen, liitännäis-")</f>
        <v>liittyvä; liitännäinen, liitännäis-</v>
      </c>
      <c r="D120" s="5"/>
      <c r="E120" s="5"/>
      <c r="F120" s="11"/>
      <c r="G120" s="11"/>
    </row>
    <row r="121">
      <c r="A121" s="2" t="str">
        <f>IFERROR(__xludf.DUMMYFUNCTION("""COMPUTED_VALUE"""),"asymptot")</f>
        <v>asymptot</v>
      </c>
      <c r="B121" s="2" t="str">
        <f>IFERROR(__xludf.DUMMYFUNCTION("""COMPUTED_VALUE"""),"asymptote")</f>
        <v>asymptote</v>
      </c>
      <c r="C121" s="2" t="str">
        <f>IFERROR(__xludf.DUMMYFUNCTION("""COMPUTED_VALUE"""),"asymptootti")</f>
        <v>asymptootti</v>
      </c>
      <c r="D121" s="5"/>
      <c r="E121" s="5"/>
      <c r="F121" s="11"/>
      <c r="G121" s="11"/>
    </row>
    <row r="122">
      <c r="A122" s="2" t="str">
        <f>IFERROR(__xludf.DUMMYFUNCTION("""COMPUTED_VALUE"""),"attraktor")</f>
        <v>attraktor</v>
      </c>
      <c r="B122" s="2" t="str">
        <f>IFERROR(__xludf.DUMMYFUNCTION("""COMPUTED_VALUE"""),"attractor")</f>
        <v>attractor</v>
      </c>
      <c r="C122" s="2" t="str">
        <f>IFERROR(__xludf.DUMMYFUNCTION("""COMPUTED_VALUE"""),"attraktori")</f>
        <v>attraktori</v>
      </c>
      <c r="D122" s="5"/>
      <c r="E122" s="5"/>
      <c r="F122" s="11"/>
      <c r="G122" s="11"/>
    </row>
    <row r="123">
      <c r="A123" s="2" t="str">
        <f>IFERROR(__xludf.DUMMYFUNCTION("""COMPUTED_VALUE"""),"autonom")</f>
        <v>autonom</v>
      </c>
      <c r="B123" s="2" t="str">
        <f>IFERROR(__xludf.DUMMYFUNCTION("""COMPUTED_VALUE"""),"autonomous")</f>
        <v>autonomous</v>
      </c>
      <c r="C123" s="2" t="str">
        <f>IFERROR(__xludf.DUMMYFUNCTION("""COMPUTED_VALUE"""),"autonominen")</f>
        <v>autonominen</v>
      </c>
      <c r="D123" s="5"/>
      <c r="E123" s="5"/>
      <c r="F123" s="11"/>
      <c r="G123" s="11"/>
    </row>
    <row r="124">
      <c r="A124" s="2" t="str">
        <f>IFERROR(__xludf.DUMMYFUNCTION("""COMPUTED_VALUE"""),"av andra graden")</f>
        <v>av andra graden</v>
      </c>
      <c r="B124" s="2" t="str">
        <f>IFERROR(__xludf.DUMMYFUNCTION("""COMPUTED_VALUE"""),"second order")</f>
        <v>second order</v>
      </c>
      <c r="C124" s="2" t="str">
        <f>IFERROR(__xludf.DUMMYFUNCTION("""COMPUTED_VALUE"""),"toisen asteen (Yht, ...); toisen kertaluvun (DYht)")</f>
        <v>toisen asteen (Yht, ...); toisen kertaluvun (DYht)</v>
      </c>
      <c r="D124" s="5"/>
      <c r="E124" s="5"/>
      <c r="F124" s="11"/>
      <c r="G124" s="11"/>
    </row>
    <row r="125">
      <c r="A125" s="2" t="str">
        <f>IFERROR(__xludf.DUMMYFUNCTION("""COMPUTED_VALUE"""),"avbildning")</f>
        <v>avbildning</v>
      </c>
      <c r="B125" s="2" t="str">
        <f>IFERROR(__xludf.DUMMYFUNCTION("""COMPUTED_VALUE"""),"map, mapping")</f>
        <v>map, mapping</v>
      </c>
      <c r="C125" s="2" t="str">
        <f>IFERROR(__xludf.DUMMYFUNCTION("""COMPUTED_VALUE"""),"kuvaus")</f>
        <v>kuvaus</v>
      </c>
      <c r="D125" s="5"/>
      <c r="E125" s="5"/>
      <c r="F125" s="11"/>
      <c r="G125" s="11"/>
    </row>
    <row r="126">
      <c r="A126" s="2" t="str">
        <f>IFERROR(__xludf.DUMMYFUNCTION("""COMPUTED_VALUE"""),"avbildning")</f>
        <v>avbildning</v>
      </c>
      <c r="B126" s="2" t="str">
        <f>IFERROR(__xludf.DUMMYFUNCTION("""COMPUTED_VALUE"""),"mapping, function")</f>
        <v>mapping, function</v>
      </c>
      <c r="C126" s="2" t="str">
        <f>IFERROR(__xludf.DUMMYFUNCTION("""COMPUTED_VALUE"""),"kuvaus, funktio")</f>
        <v>kuvaus, funktio</v>
      </c>
      <c r="D126" s="5"/>
      <c r="E126" s="5"/>
      <c r="F126" s="11"/>
      <c r="G126" s="11"/>
    </row>
    <row r="127">
      <c r="A127" s="2" t="str">
        <f>IFERROR(__xludf.DUMMYFUNCTION("""COMPUTED_VALUE"""),"avbildningscylinder")</f>
        <v>avbildningscylinder</v>
      </c>
      <c r="B127" s="2" t="str">
        <f>IFERROR(__xludf.DUMMYFUNCTION("""COMPUTED_VALUE"""),"mapping cylinder")</f>
        <v>mapping cylinder</v>
      </c>
      <c r="C127" s="2" t="str">
        <f>IFERROR(__xludf.DUMMYFUNCTION("""COMPUTED_VALUE"""),"kuvauslieriö")</f>
        <v>kuvauslieriö</v>
      </c>
      <c r="D127" s="5"/>
      <c r="E127" s="5"/>
      <c r="F127" s="11"/>
      <c r="G127" s="11"/>
    </row>
    <row r="128">
      <c r="A128" s="2" t="str">
        <f>IFERROR(__xludf.DUMMYFUNCTION("""COMPUTED_VALUE"""),"avbildningskon")</f>
        <v>avbildningskon</v>
      </c>
      <c r="B128" s="2" t="str">
        <f>IFERROR(__xludf.DUMMYFUNCTION("""COMPUTED_VALUE"""),"mapping cone")</f>
        <v>mapping cone</v>
      </c>
      <c r="C128" s="2" t="str">
        <f>IFERROR(__xludf.DUMMYFUNCTION("""COMPUTED_VALUE"""),"kuvauskartio")</f>
        <v>kuvauskartio</v>
      </c>
      <c r="D128" s="5"/>
      <c r="E128" s="5"/>
      <c r="F128" s="11"/>
      <c r="G128" s="11"/>
    </row>
    <row r="129">
      <c r="A129" s="2" t="str">
        <f>IFERROR(__xludf.DUMMYFUNCTION("""COMPUTED_VALUE"""),"avrundningsfel")</f>
        <v>avrundningsfel</v>
      </c>
      <c r="B129" s="2" t="str">
        <f>IFERROR(__xludf.DUMMYFUNCTION("""COMPUTED_VALUE"""),"roundoff error")</f>
        <v>roundoff error</v>
      </c>
      <c r="C129" s="2" t="str">
        <f>IFERROR(__xludf.DUMMYFUNCTION("""COMPUTED_VALUE"""),"pyöristysvirhe")</f>
        <v>pyöristysvirhe</v>
      </c>
      <c r="D129" s="5"/>
      <c r="E129" s="5"/>
      <c r="F129" s="11"/>
      <c r="G129" s="11"/>
    </row>
    <row r="130">
      <c r="A130" s="2" t="str">
        <f>IFERROR(__xludf.DUMMYFUNCTION("""COMPUTED_VALUE"""),"avtagande")</f>
        <v>avtagande</v>
      </c>
      <c r="B130" s="2" t="str">
        <f>IFERROR(__xludf.DUMMYFUNCTION("""COMPUTED_VALUE"""),"non-increasing, decreasing")</f>
        <v>non-increasing, decreasing</v>
      </c>
      <c r="C130" s="2" t="str">
        <f>IFERROR(__xludf.DUMMYFUNCTION("""COMPUTED_VALUE"""),"vähenevä")</f>
        <v>vähenevä</v>
      </c>
      <c r="D130" s="5"/>
      <c r="E130" s="5"/>
      <c r="F130" s="11"/>
      <c r="G130" s="11"/>
    </row>
    <row r="131">
      <c r="A131" s="2" t="str">
        <f>IFERROR(__xludf.DUMMYFUNCTION("""COMPUTED_VALUE"""),"axel")</f>
        <v>axel</v>
      </c>
      <c r="B131" s="2" t="str">
        <f>IFERROR(__xludf.DUMMYFUNCTION("""COMPUTED_VALUE"""),"axis")</f>
        <v>axis</v>
      </c>
      <c r="C131" s="2" t="str">
        <f>IFERROR(__xludf.DUMMYFUNCTION("""COMPUTED_VALUE"""),"akseli (x-, kartion, paraabelin,...)")</f>
        <v>akseli (x-, kartion, paraabelin,...)</v>
      </c>
      <c r="D131" s="5"/>
      <c r="E131" s="5"/>
      <c r="F131" s="11"/>
      <c r="G131" s="11"/>
    </row>
    <row r="132">
      <c r="A132" s="2" t="str">
        <f>IFERROR(__xludf.DUMMYFUNCTION("""COMPUTED_VALUE"""),"axiom")</f>
        <v>axiom</v>
      </c>
      <c r="B132" s="2" t="str">
        <f>IFERROR(__xludf.DUMMYFUNCTION("""COMPUTED_VALUE"""),"axiom")</f>
        <v>axiom</v>
      </c>
      <c r="C132" s="2" t="str">
        <f>IFERROR(__xludf.DUMMYFUNCTION("""COMPUTED_VALUE"""),"aksiooma")</f>
        <v>aksiooma</v>
      </c>
      <c r="D132" s="5"/>
      <c r="E132" s="5"/>
      <c r="F132" s="11"/>
      <c r="G132" s="11"/>
    </row>
    <row r="133">
      <c r="A133" s="2" t="str">
        <f>IFERROR(__xludf.DUMMYFUNCTION("""COMPUTED_VALUE"""),"balanserad")</f>
        <v>balanserad</v>
      </c>
      <c r="B133" s="2" t="str">
        <f>IFERROR(__xludf.DUMMYFUNCTION("""COMPUTED_VALUE"""),"balanced")</f>
        <v>balanced</v>
      </c>
      <c r="C133" s="2" t="str">
        <f>IFERROR(__xludf.DUMMYFUNCTION("""COMPUTED_VALUE"""),"balansoitu")</f>
        <v>balansoitu</v>
      </c>
      <c r="D133" s="5"/>
      <c r="E133" s="5"/>
      <c r="F133" s="11"/>
      <c r="G133" s="11"/>
    </row>
    <row r="134">
      <c r="A134" s="2" t="str">
        <f>IFERROR(__xludf.DUMMYFUNCTION("""COMPUTED_VALUE"""),"bana")</f>
        <v>bana</v>
      </c>
      <c r="B134" s="2" t="str">
        <f>IFERROR(__xludf.DUMMYFUNCTION("""COMPUTED_VALUE"""),"orbit")</f>
        <v>orbit</v>
      </c>
      <c r="C134" s="2" t="str">
        <f>IFERROR(__xludf.DUMMYFUNCTION("""COMPUTED_VALUE"""),"rata")</f>
        <v>rata</v>
      </c>
      <c r="D134" s="5"/>
      <c r="E134" s="5"/>
      <c r="F134" s="11"/>
      <c r="G134" s="11"/>
    </row>
    <row r="135">
      <c r="A135" s="2" t="str">
        <f>IFERROR(__xludf.DUMMYFUNCTION("""COMPUTED_VALUE"""),"bandmatris")</f>
        <v>bandmatris</v>
      </c>
      <c r="B135" s="2" t="str">
        <f>IFERROR(__xludf.DUMMYFUNCTION("""COMPUTED_VALUE"""),"band matrix")</f>
        <v>band matrix</v>
      </c>
      <c r="C135" s="2" t="str">
        <f>IFERROR(__xludf.DUMMYFUNCTION("""COMPUTED_VALUE"""),"nauhamatriisi")</f>
        <v>nauhamatriisi</v>
      </c>
      <c r="D135" s="5"/>
      <c r="E135" s="5"/>
      <c r="F135" s="11"/>
      <c r="G135" s="11"/>
    </row>
    <row r="136">
      <c r="A136" s="2" t="str">
        <f>IFERROR(__xludf.DUMMYFUNCTION("""COMPUTED_VALUE"""),"barycenter, tyngdpunkt")</f>
        <v>barycenter, tyngdpunkt</v>
      </c>
      <c r="B136" s="2" t="str">
        <f>IFERROR(__xludf.DUMMYFUNCTION("""COMPUTED_VALUE"""),"barycenter")</f>
        <v>barycenter</v>
      </c>
      <c r="C136" s="2" t="str">
        <f>IFERROR(__xludf.DUMMYFUNCTION("""COMPUTED_VALUE"""),"painopiste")</f>
        <v>painopiste</v>
      </c>
      <c r="D136" s="5"/>
      <c r="E136" s="5"/>
      <c r="F136" s="11"/>
      <c r="G136" s="11"/>
    </row>
    <row r="137">
      <c r="A137" s="2" t="str">
        <f>IFERROR(__xludf.DUMMYFUNCTION("""COMPUTED_VALUE"""),"barycentrisk, med avseende å tyngdpunkten")</f>
        <v>barycentrisk, med avseende å tyngdpunkten</v>
      </c>
      <c r="B137" s="2" t="str">
        <f>IFERROR(__xludf.DUMMYFUNCTION("""COMPUTED_VALUE"""),"barycentric")</f>
        <v>barycentric</v>
      </c>
      <c r="C137" s="2" t="str">
        <f>IFERROR(__xludf.DUMMYFUNCTION("""COMPUTED_VALUE"""),"barysentrinen, painopiste-")</f>
        <v>barysentrinen, painopiste-</v>
      </c>
      <c r="D137" s="5"/>
      <c r="E137" s="5"/>
      <c r="F137" s="11"/>
      <c r="G137" s="11"/>
    </row>
    <row r="138">
      <c r="A138" s="2" t="str">
        <f>IFERROR(__xludf.DUMMYFUNCTION("""COMPUTED_VALUE"""),"bas")</f>
        <v>bas</v>
      </c>
      <c r="B138" s="2" t="str">
        <f>IFERROR(__xludf.DUMMYFUNCTION("""COMPUTED_VALUE"""),"base, basis")</f>
        <v>base, basis</v>
      </c>
      <c r="C138" s="2" t="str">
        <f>IFERROR(__xludf.DUMMYFUNCTION("""COMPUTED_VALUE"""),"kanta (topologian/kolmion/lukujärjestelmän)")</f>
        <v>kanta (topologian/kolmion/lukujärjestelmän)</v>
      </c>
      <c r="D138" s="5"/>
      <c r="E138" s="5"/>
      <c r="F138" s="11"/>
      <c r="G138" s="11"/>
    </row>
    <row r="139">
      <c r="A139" s="2" t="str">
        <f>IFERROR(__xludf.DUMMYFUNCTION("""COMPUTED_VALUE"""),"bas")</f>
        <v>bas</v>
      </c>
      <c r="B139" s="2" t="str">
        <f>IFERROR(__xludf.DUMMYFUNCTION("""COMPUTED_VALUE"""),"basis, base")</f>
        <v>basis, base</v>
      </c>
      <c r="C139" s="2" t="str">
        <f>IFERROR(__xludf.DUMMYFUNCTION("""COMPUTED_VALUE"""),"kanta (vektori-)")</f>
        <v>kanta (vektori-)</v>
      </c>
      <c r="D139" s="5"/>
      <c r="E139" s="5"/>
      <c r="F139" s="11"/>
      <c r="G139" s="11"/>
    </row>
    <row r="140">
      <c r="A140" s="2" t="str">
        <f>IFERROR(__xludf.DUMMYFUNCTION("""COMPUTED_VALUE"""),"baspunkt")</f>
        <v>baspunkt</v>
      </c>
      <c r="B140" s="2" t="str">
        <f>IFERROR(__xludf.DUMMYFUNCTION("""COMPUTED_VALUE"""),"base point")</f>
        <v>base point</v>
      </c>
      <c r="C140" s="2" t="str">
        <f>IFERROR(__xludf.DUMMYFUNCTION("""COMPUTED_VALUE"""),"kantapiste")</f>
        <v>kantapiste</v>
      </c>
      <c r="D140" s="5"/>
      <c r="E140" s="5"/>
      <c r="F140" s="11"/>
      <c r="G140" s="11"/>
    </row>
    <row r="141">
      <c r="A141" s="2" t="str">
        <f>IFERROR(__xludf.DUMMYFUNCTION("""COMPUTED_VALUE"""),"begränsad")</f>
        <v>begränsad</v>
      </c>
      <c r="B141" s="2" t="str">
        <f>IFERROR(__xludf.DUMMYFUNCTION("""COMPUTED_VALUE"""),"bounded")</f>
        <v>bounded</v>
      </c>
      <c r="C141" s="2" t="str">
        <f>IFERROR(__xludf.DUMMYFUNCTION("""COMPUTED_VALUE"""),"rajoitettu, rajallinen")</f>
        <v>rajoitettu, rajallinen</v>
      </c>
      <c r="D141" s="5"/>
      <c r="E141" s="5"/>
      <c r="F141" s="11"/>
      <c r="G141" s="11"/>
    </row>
    <row r="142">
      <c r="A142" s="2" t="str">
        <f>IFERROR(__xludf.DUMMYFUNCTION("""COMPUTED_VALUE"""),"begynnelsevärde")</f>
        <v>begynnelsevärde</v>
      </c>
      <c r="B142" s="2" t="str">
        <f>IFERROR(__xludf.DUMMYFUNCTION("""COMPUTED_VALUE"""),"initial value")</f>
        <v>initial value</v>
      </c>
      <c r="C142" s="2" t="str">
        <f>IFERROR(__xludf.DUMMYFUNCTION("""COMPUTED_VALUE"""),"alkuarvo")</f>
        <v>alkuarvo</v>
      </c>
      <c r="D142" s="5"/>
      <c r="E142" s="5"/>
      <c r="F142" s="11"/>
      <c r="G142" s="11"/>
    </row>
    <row r="143">
      <c r="A143" s="2" t="str">
        <f>IFERROR(__xludf.DUMMYFUNCTION("""COMPUTED_VALUE"""),"beroende")</f>
        <v>beroende</v>
      </c>
      <c r="B143" s="2" t="str">
        <f>IFERROR(__xludf.DUMMYFUNCTION("""COMPUTED_VALUE"""),"dependent")</f>
        <v>dependent</v>
      </c>
      <c r="C143" s="2" t="str">
        <f>IFERROR(__xludf.DUMMYFUNCTION("""COMPUTED_VALUE"""),"riippuva")</f>
        <v>riippuva</v>
      </c>
      <c r="D143" s="5"/>
      <c r="E143" s="5"/>
      <c r="F143" s="11"/>
      <c r="G143" s="11"/>
    </row>
    <row r="144">
      <c r="A144" s="2" t="str">
        <f>IFERROR(__xludf.DUMMYFUNCTION("""COMPUTED_VALUE"""),"beräkna, kalkylera")</f>
        <v>beräkna, kalkylera</v>
      </c>
      <c r="B144" s="2" t="str">
        <f>IFERROR(__xludf.DUMMYFUNCTION("""COMPUTED_VALUE"""),"calculate")</f>
        <v>calculate</v>
      </c>
      <c r="C144" s="2" t="str">
        <f>IFERROR(__xludf.DUMMYFUNCTION("""COMPUTED_VALUE"""),"laskea, kalkyloida")</f>
        <v>laskea, kalkyloida</v>
      </c>
      <c r="D144" s="5"/>
      <c r="E144" s="5"/>
      <c r="F144" s="11"/>
      <c r="G144" s="11"/>
    </row>
    <row r="145">
      <c r="A145" s="2" t="str">
        <f>IFERROR(__xludf.DUMMYFUNCTION("""COMPUTED_VALUE"""),"beräkning")</f>
        <v>beräkning</v>
      </c>
      <c r="B145" s="2" t="str">
        <f>IFERROR(__xludf.DUMMYFUNCTION("""COMPUTED_VALUE"""),"evaluation")</f>
        <v>evaluation</v>
      </c>
      <c r="C145" s="2" t="str">
        <f>IFERROR(__xludf.DUMMYFUNCTION("""COMPUTED_VALUE"""),"laskeminen; arviointi, evaluaatio")</f>
        <v>laskeminen; arviointi, evaluaatio</v>
      </c>
      <c r="D145" s="5"/>
      <c r="E145" s="5"/>
      <c r="F145" s="11"/>
      <c r="G145" s="11"/>
    </row>
    <row r="146">
      <c r="A146" s="2" t="str">
        <f>IFERROR(__xludf.DUMMYFUNCTION("""COMPUTED_VALUE"""),"bestämd integral")</f>
        <v>bestämd integral</v>
      </c>
      <c r="B146" s="2" t="str">
        <f>IFERROR(__xludf.DUMMYFUNCTION("""COMPUTED_VALUE"""),"definite integral")</f>
        <v>definite integral</v>
      </c>
      <c r="C146" s="2" t="str">
        <f>IFERROR(__xludf.DUMMYFUNCTION("""COMPUTED_VALUE"""),"määrätty integraali")</f>
        <v>määrätty integraali</v>
      </c>
      <c r="D146" s="5"/>
      <c r="E146" s="5"/>
      <c r="F146" s="11"/>
      <c r="G146" s="11"/>
    </row>
    <row r="147">
      <c r="A147" s="2" t="str">
        <f>IFERROR(__xludf.DUMMYFUNCTION("""COMPUTED_VALUE"""),"betafunktion")</f>
        <v>betafunktion</v>
      </c>
      <c r="B147" s="2" t="str">
        <f>IFERROR(__xludf.DUMMYFUNCTION("""COMPUTED_VALUE"""),"beta function")</f>
        <v>beta function</v>
      </c>
      <c r="C147" s="2" t="str">
        <f>IFERROR(__xludf.DUMMYFUNCTION("""COMPUTED_VALUE"""),"beeta-funktio")</f>
        <v>beeta-funktio</v>
      </c>
      <c r="D147" s="5"/>
      <c r="E147" s="5"/>
      <c r="F147" s="11"/>
      <c r="G147" s="11"/>
    </row>
    <row r="148">
      <c r="A148" s="2" t="str">
        <f>IFERROR(__xludf.DUMMYFUNCTION("""COMPUTED_VALUE"""),"betingad konvergens")</f>
        <v>betingad konvergens</v>
      </c>
      <c r="B148" s="2" t="str">
        <f>IFERROR(__xludf.DUMMYFUNCTION("""COMPUTED_VALUE"""),"conditional convergence")</f>
        <v>conditional convergence</v>
      </c>
      <c r="C148" s="2" t="str">
        <f>IFERROR(__xludf.DUMMYFUNCTION("""COMPUTED_VALUE"""),"ehdollinen suppeneminen")</f>
        <v>ehdollinen suppeneminen</v>
      </c>
      <c r="D148" s="5"/>
      <c r="E148" s="5"/>
      <c r="F148" s="11"/>
      <c r="G148" s="11"/>
    </row>
    <row r="149">
      <c r="A149" s="2" t="str">
        <f>IFERROR(__xludf.DUMMYFUNCTION("""COMPUTED_VALUE"""),"bevis")</f>
        <v>bevis</v>
      </c>
      <c r="B149" s="2" t="str">
        <f>IFERROR(__xludf.DUMMYFUNCTION("""COMPUTED_VALUE"""),"proof")</f>
        <v>proof</v>
      </c>
      <c r="C149" s="2" t="str">
        <f>IFERROR(__xludf.DUMMYFUNCTION("""COMPUTED_VALUE"""),"todistus")</f>
        <v>todistus</v>
      </c>
      <c r="D149" s="5"/>
      <c r="E149" s="5"/>
      <c r="F149" s="11"/>
      <c r="G149" s="11"/>
    </row>
    <row r="150">
      <c r="A150" s="2" t="str">
        <f>IFERROR(__xludf.DUMMYFUNCTION("""COMPUTED_VALUE"""),"bevisa")</f>
        <v>bevisa</v>
      </c>
      <c r="B150" s="2" t="str">
        <f>IFERROR(__xludf.DUMMYFUNCTION("""COMPUTED_VALUE"""),"prove")</f>
        <v>prove</v>
      </c>
      <c r="C150" s="2" t="str">
        <f>IFERROR(__xludf.DUMMYFUNCTION("""COMPUTED_VALUE"""),"todistaa")</f>
        <v>todistaa</v>
      </c>
      <c r="D150" s="5"/>
      <c r="E150" s="5"/>
      <c r="F150" s="11"/>
      <c r="G150" s="11"/>
    </row>
    <row r="151">
      <c r="A151" s="2" t="str">
        <f>IFERROR(__xludf.DUMMYFUNCTION("""COMPUTED_VALUE"""),"bidual")</f>
        <v>bidual</v>
      </c>
      <c r="B151" s="2" t="str">
        <f>IFERROR(__xludf.DUMMYFUNCTION("""COMPUTED_VALUE"""),"bidual")</f>
        <v>bidual</v>
      </c>
      <c r="C151" s="2" t="str">
        <f>IFERROR(__xludf.DUMMYFUNCTION("""COMPUTED_VALUE"""),"biduaali, duaalin duaali")</f>
        <v>biduaali, duaalin duaali</v>
      </c>
      <c r="D151" s="5"/>
      <c r="E151" s="5"/>
      <c r="F151" s="11"/>
      <c r="G151" s="11"/>
    </row>
    <row r="152">
      <c r="A152" s="2" t="str">
        <f>IFERROR(__xludf.DUMMYFUNCTION("""COMPUTED_VALUE"""),"bijektion")</f>
        <v>bijektion</v>
      </c>
      <c r="B152" s="2" t="str">
        <f>IFERROR(__xludf.DUMMYFUNCTION("""COMPUTED_VALUE"""),"1-1 correspondence, bijection")</f>
        <v>1-1 correspondence, bijection</v>
      </c>
      <c r="C152" s="2" t="str">
        <f>IFERROR(__xludf.DUMMYFUNCTION("""COMPUTED_VALUE"""),"bijektio")</f>
        <v>bijektio</v>
      </c>
      <c r="D152" s="12" t="str">
        <f>IFERROR(__xludf.DUMMYFUNCTION("""COMPUTED_VALUE"""),"https://fi.wikipedia.org/wiki/Bijektio")</f>
        <v>https://fi.wikipedia.org/wiki/Bijektio</v>
      </c>
      <c r="E152" s="5"/>
      <c r="F152" s="11"/>
      <c r="G152" s="11"/>
    </row>
    <row r="153">
      <c r="A153" s="2" t="str">
        <f>IFERROR(__xludf.DUMMYFUNCTION("""COMPUTED_VALUE"""),"bijektion")</f>
        <v>bijektion</v>
      </c>
      <c r="B153" s="2" t="str">
        <f>IFERROR(__xludf.DUMMYFUNCTION("""COMPUTED_VALUE"""),"bijection, one-to-one and onto")</f>
        <v>bijection, one-to-one and onto</v>
      </c>
      <c r="C153" s="2" t="str">
        <f>IFERROR(__xludf.DUMMYFUNCTION("""COMPUTED_VALUE"""),"bijektio")</f>
        <v>bijektio</v>
      </c>
      <c r="D153" s="5"/>
      <c r="E153" s="5"/>
      <c r="F153" s="11"/>
      <c r="G153" s="11"/>
    </row>
    <row r="154">
      <c r="A154" s="2" t="str">
        <f>IFERROR(__xludf.DUMMYFUNCTION("""COMPUTED_VALUE"""),"bilaga, bihang")</f>
        <v>bilaga, bihang</v>
      </c>
      <c r="B154" s="2" t="str">
        <f>IFERROR(__xludf.DUMMYFUNCTION("""COMPUTED_VALUE"""),"appendix")</f>
        <v>appendix</v>
      </c>
      <c r="C154" s="2" t="str">
        <f>IFERROR(__xludf.DUMMYFUNCTION("""COMPUTED_VALUE"""),"liite")</f>
        <v>liite</v>
      </c>
      <c r="D154" s="5"/>
      <c r="E154" s="5"/>
      <c r="F154" s="11"/>
      <c r="G154" s="11"/>
    </row>
    <row r="155">
      <c r="A155" s="2" t="str">
        <f>IFERROR(__xludf.DUMMYFUNCTION("""COMPUTED_VALUE"""),"bild")</f>
        <v>bild</v>
      </c>
      <c r="B155" s="2" t="str">
        <f>IFERROR(__xludf.DUMMYFUNCTION("""COMPUTED_VALUE"""),"image")</f>
        <v>image</v>
      </c>
      <c r="C155" s="2" t="str">
        <f>IFERROR(__xludf.DUMMYFUNCTION("""COMPUTED_VALUE"""),"kuva")</f>
        <v>kuva</v>
      </c>
      <c r="D155" s="5"/>
      <c r="E155" s="5"/>
      <c r="F155" s="11"/>
      <c r="G155" s="11"/>
    </row>
    <row r="156">
      <c r="A156" s="2" t="str">
        <f>IFERROR(__xludf.DUMMYFUNCTION("""COMPUTED_VALUE"""),"bilineär")</f>
        <v>bilineär</v>
      </c>
      <c r="B156" s="2" t="str">
        <f>IFERROR(__xludf.DUMMYFUNCTION("""COMPUTED_VALUE"""),"bilinear")</f>
        <v>bilinear</v>
      </c>
      <c r="C156" s="2" t="str">
        <f>IFERROR(__xludf.DUMMYFUNCTION("""COMPUTED_VALUE"""),"bilineaarinen")</f>
        <v>bilineaarinen</v>
      </c>
      <c r="D156" s="5"/>
      <c r="E156" s="5"/>
      <c r="F156" s="11"/>
      <c r="G156" s="11"/>
    </row>
    <row r="157">
      <c r="A157" s="2" t="str">
        <f>IFERROR(__xludf.DUMMYFUNCTION("""COMPUTED_VALUE"""),"binomialfördelning")</f>
        <v>binomialfördelning</v>
      </c>
      <c r="B157" s="2" t="str">
        <f>IFERROR(__xludf.DUMMYFUNCTION("""COMPUTED_VALUE"""),"binomial distribution")</f>
        <v>binomial distribution</v>
      </c>
      <c r="C157" s="2" t="str">
        <f>IFERROR(__xludf.DUMMYFUNCTION("""COMPUTED_VALUE"""),"binomijakauma")</f>
        <v>binomijakauma</v>
      </c>
      <c r="D157" s="5"/>
      <c r="E157" s="5"/>
      <c r="F157" s="11"/>
      <c r="G157" s="11"/>
    </row>
    <row r="158">
      <c r="A158" s="2" t="str">
        <f>IFERROR(__xludf.DUMMYFUNCTION("""COMPUTED_VALUE"""),"binomialkoefficient")</f>
        <v>binomialkoefficient</v>
      </c>
      <c r="B158" s="2" t="str">
        <f>IFERROR(__xludf.DUMMYFUNCTION("""COMPUTED_VALUE"""),"binomial coefficient")</f>
        <v>binomial coefficient</v>
      </c>
      <c r="C158" s="2" t="str">
        <f>IFERROR(__xludf.DUMMYFUNCTION("""COMPUTED_VALUE"""),"binomikerroin")</f>
        <v>binomikerroin</v>
      </c>
      <c r="D158" s="5"/>
      <c r="E158" s="5"/>
      <c r="F158" s="11"/>
      <c r="G158" s="11"/>
    </row>
    <row r="159">
      <c r="A159" s="2" t="str">
        <f>IFERROR(__xludf.DUMMYFUNCTION("""COMPUTED_VALUE"""),"binomialteoremet")</f>
        <v>binomialteoremet</v>
      </c>
      <c r="B159" s="2" t="str">
        <f>IFERROR(__xludf.DUMMYFUNCTION("""COMPUTED_VALUE"""),"binomial theorem")</f>
        <v>binomial theorem</v>
      </c>
      <c r="C159" s="2" t="str">
        <f>IFERROR(__xludf.DUMMYFUNCTION("""COMPUTED_VALUE"""),"binomilause")</f>
        <v>binomilause</v>
      </c>
      <c r="D159" s="5"/>
      <c r="E159" s="5"/>
      <c r="F159" s="11"/>
      <c r="G159" s="11"/>
    </row>
    <row r="160">
      <c r="A160" s="2" t="str">
        <f>IFERROR(__xludf.DUMMYFUNCTION("""COMPUTED_VALUE"""),"binormal")</f>
        <v>binormal</v>
      </c>
      <c r="B160" s="2" t="str">
        <f>IFERROR(__xludf.DUMMYFUNCTION("""COMPUTED_VALUE"""),"binormal vector, binormal")</f>
        <v>binormal vector, binormal</v>
      </c>
      <c r="C160" s="2" t="str">
        <f>IFERROR(__xludf.DUMMYFUNCTION("""COMPUTED_VALUE"""),"sivunormaali")</f>
        <v>sivunormaali</v>
      </c>
      <c r="D160" s="5"/>
      <c r="E160" s="5"/>
      <c r="F160" s="11"/>
      <c r="G160" s="11"/>
    </row>
    <row r="161">
      <c r="A161" s="2" t="str">
        <f>IFERROR(__xludf.DUMMYFUNCTION("""COMPUTED_VALUE"""),"binärtal")</f>
        <v>binärtal</v>
      </c>
      <c r="B161" s="2" t="str">
        <f>IFERROR(__xludf.DUMMYFUNCTION("""COMPUTED_VALUE"""),"binary number")</f>
        <v>binary number</v>
      </c>
      <c r="C161" s="2" t="str">
        <f>IFERROR(__xludf.DUMMYFUNCTION("""COMPUTED_VALUE"""),"binääriluku")</f>
        <v>binääriluku</v>
      </c>
      <c r="D161" s="5"/>
      <c r="E161" s="5"/>
      <c r="F161" s="11"/>
      <c r="G161" s="11"/>
    </row>
    <row r="162">
      <c r="A162" s="2" t="str">
        <f>IFERROR(__xludf.DUMMYFUNCTION("""COMPUTED_VALUE"""),"bisektionsmetoden")</f>
        <v>bisektionsmetoden</v>
      </c>
      <c r="B162" s="2" t="str">
        <f>IFERROR(__xludf.DUMMYFUNCTION("""COMPUTED_VALUE"""),"bisection method")</f>
        <v>bisection method</v>
      </c>
      <c r="C162" s="2" t="str">
        <f>IFERROR(__xludf.DUMMYFUNCTION("""COMPUTED_VALUE"""),"puolitusmenetelmä (juuren määrityksessä)")</f>
        <v>puolitusmenetelmä (juuren määrityksessä)</v>
      </c>
      <c r="D162" s="5"/>
      <c r="E162" s="5"/>
      <c r="F162" s="11"/>
      <c r="G162" s="11"/>
    </row>
    <row r="163">
      <c r="A163" s="2" t="str">
        <f>IFERROR(__xludf.DUMMYFUNCTION("""COMPUTED_VALUE"""),"blandad partiell derivata")</f>
        <v>blandad partiell derivata</v>
      </c>
      <c r="B163" s="2" t="str">
        <f>IFERROR(__xludf.DUMMYFUNCTION("""COMPUTED_VALUE"""),"mixed partial derivative")</f>
        <v>mixed partial derivative</v>
      </c>
      <c r="C163" s="2" t="str">
        <f>IFERROR(__xludf.DUMMYFUNCTION("""COMPUTED_VALUE"""),"sekaderivaatta")</f>
        <v>sekaderivaatta</v>
      </c>
      <c r="D163" s="5"/>
      <c r="E163" s="5"/>
      <c r="F163" s="11"/>
      <c r="G163" s="11"/>
    </row>
    <row r="164">
      <c r="A164" s="2" t="str">
        <f>IFERROR(__xludf.DUMMYFUNCTION("""COMPUTED_VALUE"""),"blockmatris")</f>
        <v>blockmatris</v>
      </c>
      <c r="B164" s="2" t="str">
        <f>IFERROR(__xludf.DUMMYFUNCTION("""COMPUTED_VALUE"""),"block matrix")</f>
        <v>block matrix</v>
      </c>
      <c r="C164" s="2" t="str">
        <f>IFERROR(__xludf.DUMMYFUNCTION("""COMPUTED_VALUE"""),"lohkomatriisi, ositettu matriisi")</f>
        <v>lohkomatriisi, ositettu matriisi</v>
      </c>
      <c r="D164" s="5"/>
      <c r="E164" s="5"/>
      <c r="F164" s="11"/>
      <c r="G164" s="11"/>
    </row>
    <row r="165">
      <c r="A165" s="2" t="str">
        <f>IFERROR(__xludf.DUMMYFUNCTION("""COMPUTED_VALUE"""),"brytningspunkt")</f>
        <v>brytningspunkt</v>
      </c>
      <c r="B165" s="2" t="str">
        <f>IFERROR(__xludf.DUMMYFUNCTION("""COMPUTED_VALUE"""),"cut point")</f>
        <v>cut point</v>
      </c>
      <c r="C165" s="2" t="str">
        <f>IFERROR(__xludf.DUMMYFUNCTION("""COMPUTED_VALUE"""),"katkopiste")</f>
        <v>katkopiste</v>
      </c>
      <c r="D165" s="5"/>
      <c r="E165" s="5"/>
      <c r="F165" s="11"/>
      <c r="G165" s="11"/>
    </row>
    <row r="166">
      <c r="A166" s="2" t="str">
        <f>IFERROR(__xludf.DUMMYFUNCTION("""COMPUTED_VALUE"""),"brännpunkt, fokus")</f>
        <v>brännpunkt, fokus</v>
      </c>
      <c r="B166" s="2" t="str">
        <f>IFERROR(__xludf.DUMMYFUNCTION("""COMPUTED_VALUE"""),"focus")</f>
        <v>focus</v>
      </c>
      <c r="C166" s="2" t="str">
        <f>IFERROR(__xludf.DUMMYFUNCTION("""COMPUTED_VALUE"""),"polttopiste")</f>
        <v>polttopiste</v>
      </c>
      <c r="D166" s="5"/>
      <c r="E166" s="5"/>
      <c r="F166" s="11"/>
      <c r="G166" s="11"/>
    </row>
    <row r="167">
      <c r="A167" s="2" t="str">
        <f>IFERROR(__xludf.DUMMYFUNCTION("""COMPUTED_VALUE"""),"bunden variabel")</f>
        <v>bunden variabel</v>
      </c>
      <c r="B167" s="2" t="str">
        <f>IFERROR(__xludf.DUMMYFUNCTION("""COMPUTED_VALUE"""),"bounded variable, pivot variable")</f>
        <v>bounded variable, pivot variable</v>
      </c>
      <c r="C167" s="2" t="str">
        <f>IFERROR(__xludf.DUMMYFUNCTION("""COMPUTED_VALUE"""),"sidottu muuttuja")</f>
        <v>sidottu muuttuja</v>
      </c>
      <c r="D167" s="5"/>
      <c r="E167" s="5"/>
      <c r="F167" s="11"/>
      <c r="G167" s="11"/>
    </row>
    <row r="168">
      <c r="A168" s="2" t="str">
        <f>IFERROR(__xludf.DUMMYFUNCTION("""COMPUTED_VALUE"""),"bunden variabel")</f>
        <v>bunden variabel</v>
      </c>
      <c r="B168" s="2" t="str">
        <f>IFERROR(__xludf.DUMMYFUNCTION("""COMPUTED_VALUE"""),"pivot variable, bounded variable")</f>
        <v>pivot variable, bounded variable</v>
      </c>
      <c r="C168" s="2" t="str">
        <f>IFERROR(__xludf.DUMMYFUNCTION("""COMPUTED_VALUE"""),"sidottu muuttuja")</f>
        <v>sidottu muuttuja</v>
      </c>
      <c r="D168" s="5"/>
      <c r="E168" s="5"/>
      <c r="F168" s="11"/>
      <c r="G168" s="11"/>
    </row>
    <row r="169">
      <c r="A169" s="2" t="str">
        <f>IFERROR(__xludf.DUMMYFUNCTION("""COMPUTED_VALUE"""),"bunden variation")</f>
        <v>bunden variation</v>
      </c>
      <c r="B169" s="2" t="str">
        <f>IFERROR(__xludf.DUMMYFUNCTION("""COMPUTED_VALUE"""),"bounded variation (BV)")</f>
        <v>bounded variation (BV)</v>
      </c>
      <c r="C169" s="2" t="str">
        <f>IFERROR(__xludf.DUMMYFUNCTION("""COMPUTED_VALUE"""),"rajoitettu heilahtelu (BV) (mitta, funktio)")</f>
        <v>rajoitettu heilahtelu (BV) (mitta, funktio)</v>
      </c>
      <c r="D169" s="5"/>
      <c r="E169" s="5"/>
      <c r="F169" s="11"/>
      <c r="G169" s="11"/>
    </row>
    <row r="170">
      <c r="A170" s="2" t="str">
        <f>IFERROR(__xludf.DUMMYFUNCTION("""COMPUTED_VALUE"""),"bundet extremvärde")</f>
        <v>bundet extremvärde</v>
      </c>
      <c r="B170" s="2" t="str">
        <f>IFERROR(__xludf.DUMMYFUNCTION("""COMPUTED_VALUE"""),"constrained extreme value")</f>
        <v>constrained extreme value</v>
      </c>
      <c r="C170" s="2" t="str">
        <f>IFERROR(__xludf.DUMMYFUNCTION("""COMPUTED_VALUE"""),"sidottu ääriarvo")</f>
        <v>sidottu ääriarvo</v>
      </c>
      <c r="D170" s="5"/>
      <c r="E170" s="5"/>
      <c r="F170" s="11"/>
      <c r="G170" s="11"/>
    </row>
    <row r="171">
      <c r="A171" s="2" t="str">
        <f>IFERROR(__xludf.DUMMYFUNCTION("""COMPUTED_VALUE"""),"byte av variabler")</f>
        <v>byte av variabler</v>
      </c>
      <c r="B171" s="2" t="str">
        <f>IFERROR(__xludf.DUMMYFUNCTION("""COMPUTED_VALUE"""),"change of variables")</f>
        <v>change of variables</v>
      </c>
      <c r="C171" s="2" t="str">
        <f>IFERROR(__xludf.DUMMYFUNCTION("""COMPUTED_VALUE"""),"muuttujanvaihto")</f>
        <v>muuttujanvaihto</v>
      </c>
      <c r="D171" s="5"/>
      <c r="E171" s="5"/>
      <c r="F171" s="11"/>
      <c r="G171" s="11"/>
    </row>
    <row r="172">
      <c r="A172" s="2" t="str">
        <f>IFERROR(__xludf.DUMMYFUNCTION("""COMPUTED_VALUE"""),"båge")</f>
        <v>båge</v>
      </c>
      <c r="B172" s="2" t="str">
        <f>IFERROR(__xludf.DUMMYFUNCTION("""COMPUTED_VALUE"""),"arc")</f>
        <v>arc</v>
      </c>
      <c r="C172" s="2" t="str">
        <f>IFERROR(__xludf.DUMMYFUNCTION("""COMPUTED_VALUE"""),"kaari")</f>
        <v>kaari</v>
      </c>
      <c r="D172" s="5"/>
      <c r="E172" s="5"/>
      <c r="F172" s="11"/>
      <c r="G172" s="11"/>
    </row>
    <row r="173">
      <c r="A173" s="2" t="str">
        <f>IFERROR(__xludf.DUMMYFUNCTION("""COMPUTED_VALUE"""),"båglängd")</f>
        <v>båglängd</v>
      </c>
      <c r="B173" s="2" t="str">
        <f>IFERROR(__xludf.DUMMYFUNCTION("""COMPUTED_VALUE"""),"arc length")</f>
        <v>arc length</v>
      </c>
      <c r="C173" s="2" t="str">
        <f>IFERROR(__xludf.DUMMYFUNCTION("""COMPUTED_VALUE"""),"kaarenpituus")</f>
        <v>kaarenpituus</v>
      </c>
      <c r="D173" s="5"/>
      <c r="E173" s="5"/>
      <c r="F173" s="11"/>
      <c r="G173" s="11"/>
    </row>
    <row r="174">
      <c r="A174" s="2" t="str">
        <f>IFERROR(__xludf.DUMMYFUNCTION("""COMPUTED_VALUE"""),"bågvis sammanhängande")</f>
        <v>bågvis sammanhängande</v>
      </c>
      <c r="B174" s="2" t="str">
        <f>IFERROR(__xludf.DUMMYFUNCTION("""COMPUTED_VALUE"""),"pathwise connected, path connected")</f>
        <v>pathwise connected, path connected</v>
      </c>
      <c r="C174" s="2" t="str">
        <f>IFERROR(__xludf.DUMMYFUNCTION("""COMPUTED_VALUE"""),"polkuyhtenäinen")</f>
        <v>polkuyhtenäinen</v>
      </c>
      <c r="D174" s="5"/>
      <c r="E174" s="5"/>
      <c r="F174" s="11"/>
      <c r="G174" s="11"/>
    </row>
    <row r="175">
      <c r="A175" s="2" t="str">
        <f>IFERROR(__xludf.DUMMYFUNCTION("""COMPUTED_VALUE"""),"bärare")</f>
        <v>bärare</v>
      </c>
      <c r="B175" s="2" t="str">
        <f>IFERROR(__xludf.DUMMYFUNCTION("""COMPUTED_VALUE"""),"carrier, support")</f>
        <v>carrier, support</v>
      </c>
      <c r="C175" s="2" t="str">
        <f>IFERROR(__xludf.DUMMYFUNCTION("""COMPUTED_VALUE"""),"kantaja")</f>
        <v>kantaja</v>
      </c>
      <c r="D175" s="5"/>
      <c r="E175" s="5"/>
      <c r="F175" s="11"/>
      <c r="G175" s="11"/>
    </row>
    <row r="176">
      <c r="A176" s="2" t="str">
        <f>IFERROR(__xludf.DUMMYFUNCTION("""COMPUTED_VALUE"""),"bärare")</f>
        <v>bärare</v>
      </c>
      <c r="B176" s="2" t="str">
        <f>IFERROR(__xludf.DUMMYFUNCTION("""COMPUTED_VALUE"""),"support")</f>
        <v>support</v>
      </c>
      <c r="C176" s="2" t="str">
        <f>IFERROR(__xludf.DUMMYFUNCTION("""COMPUTED_VALUE"""),"kantaja (funktion tms.)")</f>
        <v>kantaja (funktion tms.)</v>
      </c>
      <c r="D176" s="5"/>
      <c r="E176" s="5"/>
      <c r="F176" s="11"/>
      <c r="G176" s="11"/>
    </row>
    <row r="177">
      <c r="A177" s="2" t="str">
        <f>IFERROR(__xludf.DUMMYFUNCTION("""COMPUTED_VALUE"""),"cell")</f>
        <v>cell</v>
      </c>
      <c r="B177" s="2" t="str">
        <f>IFERROR(__xludf.DUMMYFUNCTION("""COMPUTED_VALUE"""),"cell")</f>
        <v>cell</v>
      </c>
      <c r="C177" s="2" t="str">
        <f>IFERROR(__xludf.DUMMYFUNCTION("""COMPUTED_VALUE"""),"solu")</f>
        <v>solu</v>
      </c>
      <c r="D177" s="5"/>
      <c r="E177" s="5"/>
      <c r="F177" s="11"/>
      <c r="G177" s="11"/>
    </row>
    <row r="178">
      <c r="A178" s="2" t="str">
        <f>IFERROR(__xludf.DUMMYFUNCTION("""COMPUTED_VALUE"""),"centrifugalkraft")</f>
        <v>centrifugalkraft</v>
      </c>
      <c r="B178" s="2" t="str">
        <f>IFERROR(__xludf.DUMMYFUNCTION("""COMPUTED_VALUE"""),"centrifugal force")</f>
        <v>centrifugal force</v>
      </c>
      <c r="C178" s="2" t="str">
        <f>IFERROR(__xludf.DUMMYFUNCTION("""COMPUTED_VALUE"""),"keskipakovoima")</f>
        <v>keskipakovoima</v>
      </c>
      <c r="D178" s="5"/>
      <c r="E178" s="5"/>
      <c r="F178" s="11"/>
      <c r="G178" s="11"/>
    </row>
    <row r="179">
      <c r="A179" s="2" t="str">
        <f>IFERROR(__xludf.DUMMYFUNCTION("""COMPUTED_VALUE"""),"cirkel")</f>
        <v>cirkel</v>
      </c>
      <c r="B179" s="2" t="str">
        <f>IFERROR(__xludf.DUMMYFUNCTION("""COMPUTED_VALUE"""),"circle")</f>
        <v>circle</v>
      </c>
      <c r="C179" s="2" t="str">
        <f>IFERROR(__xludf.DUMMYFUNCTION("""COMPUTED_VALUE"""),"ympyrä")</f>
        <v>ympyrä</v>
      </c>
      <c r="D179" s="5"/>
      <c r="E179" s="5"/>
      <c r="F179" s="11"/>
      <c r="G179" s="11"/>
    </row>
    <row r="180">
      <c r="A180" s="2" t="str">
        <f>IFERROR(__xludf.DUMMYFUNCTION("""COMPUTED_VALUE"""),"cirkulation")</f>
        <v>cirkulation</v>
      </c>
      <c r="B180" s="2" t="str">
        <f>IFERROR(__xludf.DUMMYFUNCTION("""COMPUTED_VALUE"""),"circulation")</f>
        <v>circulation</v>
      </c>
      <c r="C180" s="2" t="str">
        <f>IFERROR(__xludf.DUMMYFUNCTION("""COMPUTED_VALUE"""),"kierto")</f>
        <v>kierto</v>
      </c>
      <c r="D180" s="5"/>
      <c r="E180" s="5"/>
      <c r="F180" s="11"/>
      <c r="G180" s="11"/>
    </row>
    <row r="181">
      <c r="A181" s="2" t="str">
        <f>IFERROR(__xludf.DUMMYFUNCTION("""COMPUTED_VALUE"""),"cosinus")</f>
        <v>cosinus</v>
      </c>
      <c r="B181" s="2" t="str">
        <f>IFERROR(__xludf.DUMMYFUNCTION("""COMPUTED_VALUE"""),"cosine, cos")</f>
        <v>cosine, cos</v>
      </c>
      <c r="C181" s="2" t="str">
        <f>IFERROR(__xludf.DUMMYFUNCTION("""COMPUTED_VALUE"""),"kosini, cos")</f>
        <v>kosini, cos</v>
      </c>
      <c r="D181" s="5"/>
      <c r="E181" s="5"/>
      <c r="F181" s="11"/>
      <c r="G181" s="11"/>
    </row>
    <row r="182">
      <c r="A182" s="2" t="str">
        <f>IFERROR(__xludf.DUMMYFUNCTION("""COMPUTED_VALUE"""),"cotangens")</f>
        <v>cotangens</v>
      </c>
      <c r="B182" s="2" t="str">
        <f>IFERROR(__xludf.DUMMYFUNCTION("""COMPUTED_VALUE"""),"cotangent, cot")</f>
        <v>cotangent, cot</v>
      </c>
      <c r="C182" s="2" t="str">
        <f>IFERROR(__xludf.DUMMYFUNCTION("""COMPUTED_VALUE"""),"kotangentti, cot")</f>
        <v>kotangentti, cot</v>
      </c>
      <c r="D182" s="5"/>
      <c r="E182" s="5"/>
      <c r="F182" s="11"/>
      <c r="G182" s="11"/>
    </row>
    <row r="183">
      <c r="A183" s="2" t="str">
        <f>IFERROR(__xludf.DUMMYFUNCTION("""COMPUTED_VALUE"""),"cykel")</f>
        <v>cykel</v>
      </c>
      <c r="B183" s="2" t="str">
        <f>IFERROR(__xludf.DUMMYFUNCTION("""COMPUTED_VALUE"""),"cycle")</f>
        <v>cycle</v>
      </c>
      <c r="C183" s="2" t="str">
        <f>IFERROR(__xludf.DUMMYFUNCTION("""COMPUTED_VALUE"""),"sykli")</f>
        <v>sykli</v>
      </c>
      <c r="D183" s="5"/>
      <c r="E183" s="5"/>
      <c r="F183" s="11"/>
      <c r="G183" s="11"/>
    </row>
    <row r="184">
      <c r="A184" s="2" t="str">
        <f>IFERROR(__xludf.DUMMYFUNCTION("""COMPUTED_VALUE"""),"cylinder")</f>
        <v>cylinder</v>
      </c>
      <c r="B184" s="2" t="str">
        <f>IFERROR(__xludf.DUMMYFUNCTION("""COMPUTED_VALUE"""),"cylinder")</f>
        <v>cylinder</v>
      </c>
      <c r="C184" s="2" t="str">
        <f>IFERROR(__xludf.DUMMYFUNCTION("""COMPUTED_VALUE"""),"lieriö")</f>
        <v>lieriö</v>
      </c>
      <c r="D184" s="5"/>
      <c r="E184" s="5"/>
      <c r="F184" s="11"/>
      <c r="G184" s="11"/>
    </row>
    <row r="185">
      <c r="A185" s="2" t="str">
        <f>IFERROR(__xludf.DUMMYFUNCTION("""COMPUTED_VALUE"""),"cylinderkoordinater")</f>
        <v>cylinderkoordinater</v>
      </c>
      <c r="B185" s="2" t="str">
        <f>IFERROR(__xludf.DUMMYFUNCTION("""COMPUTED_VALUE"""),"cylindrical coordinates")</f>
        <v>cylindrical coordinates</v>
      </c>
      <c r="C185" s="2" t="str">
        <f>IFERROR(__xludf.DUMMYFUNCTION("""COMPUTED_VALUE"""),"sylinterikoordinaatit, lieriökoordinaatit")</f>
        <v>sylinterikoordinaatit, lieriökoordinaatit</v>
      </c>
      <c r="D185" s="5"/>
      <c r="E185" s="5"/>
      <c r="F185" s="11"/>
      <c r="G185" s="11"/>
    </row>
    <row r="186">
      <c r="A186" s="2" t="str">
        <f>IFERROR(__xludf.DUMMYFUNCTION("""COMPUTED_VALUE"""),"decimaltal")</f>
        <v>decimaltal</v>
      </c>
      <c r="B186" s="2" t="str">
        <f>IFERROR(__xludf.DUMMYFUNCTION("""COMPUTED_VALUE"""),"decimal number")</f>
        <v>decimal number</v>
      </c>
      <c r="C186" s="2" t="str">
        <f>IFERROR(__xludf.DUMMYFUNCTION("""COMPUTED_VALUE"""),"kymmenjärjestelmän luku; desimaaliluku")</f>
        <v>kymmenjärjestelmän luku; desimaaliluku</v>
      </c>
      <c r="D186" s="5"/>
      <c r="E186" s="5"/>
      <c r="F186" s="11"/>
      <c r="G186" s="11"/>
    </row>
    <row r="187">
      <c r="A187" s="2" t="str">
        <f>IFERROR(__xludf.DUMMYFUNCTION("""COMPUTED_VALUE"""),"Dedekinds snitt")</f>
        <v>Dedekinds snitt</v>
      </c>
      <c r="B187" s="2" t="str">
        <f>IFERROR(__xludf.DUMMYFUNCTION("""COMPUTED_VALUE"""),"Dedekind cut")</f>
        <v>Dedekind cut</v>
      </c>
      <c r="C187" s="2" t="str">
        <f>IFERROR(__xludf.DUMMYFUNCTION("""COMPUTED_VALUE"""),"Dedekindin leikkaus")</f>
        <v>Dedekindin leikkaus</v>
      </c>
      <c r="D187" s="5"/>
      <c r="E187" s="5"/>
      <c r="F187" s="11"/>
      <c r="G187" s="11"/>
    </row>
    <row r="188">
      <c r="A188" s="2" t="str">
        <f>IFERROR(__xludf.DUMMYFUNCTION("""COMPUTED_VALUE"""),"defektiv")</f>
        <v>defektiv</v>
      </c>
      <c r="B188" s="2" t="str">
        <f>IFERROR(__xludf.DUMMYFUNCTION("""COMPUTED_VALUE"""),"defective")</f>
        <v>defective</v>
      </c>
      <c r="C188" s="2" t="str">
        <f>IFERROR(__xludf.DUMMYFUNCTION("""COMPUTED_VALUE"""),"defektiivinen")</f>
        <v>defektiivinen</v>
      </c>
      <c r="D188" s="5"/>
      <c r="E188" s="5"/>
      <c r="F188" s="11"/>
      <c r="G188" s="11"/>
    </row>
    <row r="189">
      <c r="A189" s="2" t="str">
        <f>IFERROR(__xludf.DUMMYFUNCTION("""COMPUTED_VALUE"""),"definit")</f>
        <v>definit</v>
      </c>
      <c r="B189" s="2" t="str">
        <f>IFERROR(__xludf.DUMMYFUNCTION("""COMPUTED_VALUE"""),"definite")</f>
        <v>definite</v>
      </c>
      <c r="C189" s="2" t="str">
        <f>IFERROR(__xludf.DUMMYFUNCTION("""COMPUTED_VALUE"""),"definiitti (matriisi, neliömuoto)")</f>
        <v>definiitti (matriisi, neliömuoto)</v>
      </c>
      <c r="D189" s="5"/>
      <c r="E189" s="5"/>
      <c r="F189" s="11"/>
      <c r="G189" s="11"/>
    </row>
    <row r="190">
      <c r="A190" s="2" t="str">
        <f>IFERROR(__xludf.DUMMYFUNCTION("""COMPUTED_VALUE"""),"definition")</f>
        <v>definition</v>
      </c>
      <c r="B190" s="2" t="str">
        <f>IFERROR(__xludf.DUMMYFUNCTION("""COMPUTED_VALUE"""),"definition")</f>
        <v>definition</v>
      </c>
      <c r="C190" s="2" t="str">
        <f>IFERROR(__xludf.DUMMYFUNCTION("""COMPUTED_VALUE"""),"määritelmä")</f>
        <v>määritelmä</v>
      </c>
      <c r="D190" s="5"/>
      <c r="E190" s="5"/>
      <c r="F190" s="11"/>
      <c r="G190" s="11"/>
    </row>
    <row r="191">
      <c r="A191" s="2" t="str">
        <f>IFERROR(__xludf.DUMMYFUNCTION("""COMPUTED_VALUE"""),"degenererad")</f>
        <v>degenererad</v>
      </c>
      <c r="B191" s="2" t="str">
        <f>IFERROR(__xludf.DUMMYFUNCTION("""COMPUTED_VALUE"""),"degenerate")</f>
        <v>degenerate</v>
      </c>
      <c r="C191" s="2" t="str">
        <f>IFERROR(__xludf.DUMMYFUNCTION("""COMPUTED_VALUE"""),"degeneroitunut")</f>
        <v>degeneroitunut</v>
      </c>
      <c r="D191" s="5"/>
      <c r="E191" s="5"/>
      <c r="F191" s="11"/>
      <c r="G191" s="11"/>
    </row>
    <row r="192">
      <c r="A192" s="2" t="str">
        <f>IFERROR(__xludf.DUMMYFUNCTION("""COMPUTED_VALUE"""),"delintervall")</f>
        <v>delintervall</v>
      </c>
      <c r="B192" s="2" t="str">
        <f>IFERROR(__xludf.DUMMYFUNCTION("""COMPUTED_VALUE"""),"subinterval")</f>
        <v>subinterval</v>
      </c>
      <c r="C192" s="2" t="str">
        <f>IFERROR(__xludf.DUMMYFUNCTION("""COMPUTED_VALUE"""),"osaväli")</f>
        <v>osaväli</v>
      </c>
      <c r="D192" s="5"/>
      <c r="E192" s="5"/>
      <c r="F192" s="11"/>
      <c r="G192" s="11"/>
    </row>
    <row r="193">
      <c r="A193" s="2" t="str">
        <f>IFERROR(__xludf.DUMMYFUNCTION("""COMPUTED_VALUE"""),"delmängd")</f>
        <v>delmängd</v>
      </c>
      <c r="B193" s="2" t="str">
        <f>IFERROR(__xludf.DUMMYFUNCTION("""COMPUTED_VALUE"""),"subset")</f>
        <v>subset</v>
      </c>
      <c r="C193" s="2" t="str">
        <f>IFERROR(__xludf.DUMMYFUNCTION("""COMPUTED_VALUE"""),"osajoukko")</f>
        <v>osajoukko</v>
      </c>
      <c r="D193" s="5"/>
      <c r="E193" s="5"/>
      <c r="F193" s="11"/>
      <c r="G193" s="11"/>
    </row>
    <row r="194">
      <c r="A194" s="2" t="str">
        <f>IFERROR(__xludf.DUMMYFUNCTION("""COMPUTED_VALUE"""),"delning")</f>
        <v>delning</v>
      </c>
      <c r="B194" s="2" t="str">
        <f>IFERROR(__xludf.DUMMYFUNCTION("""COMPUTED_VALUE"""),"partition")</f>
        <v>partition</v>
      </c>
      <c r="C194" s="2" t="str">
        <f>IFERROR(__xludf.DUMMYFUNCTION("""COMPUTED_VALUE"""),"ositus")</f>
        <v>ositus</v>
      </c>
      <c r="D194" s="5"/>
      <c r="E194" s="5"/>
      <c r="F194" s="11"/>
      <c r="G194" s="11"/>
    </row>
    <row r="195">
      <c r="A195" s="2" t="str">
        <f>IFERROR(__xludf.DUMMYFUNCTION("""COMPUTED_VALUE"""),"delsumma")</f>
        <v>delsumma</v>
      </c>
      <c r="B195" s="2" t="str">
        <f>IFERROR(__xludf.DUMMYFUNCTION("""COMPUTED_VALUE"""),"partial sum")</f>
        <v>partial sum</v>
      </c>
      <c r="C195" s="2" t="str">
        <f>IFERROR(__xludf.DUMMYFUNCTION("""COMPUTED_VALUE"""),"osasumma")</f>
        <v>osasumma</v>
      </c>
      <c r="D195" s="5"/>
      <c r="E195" s="5"/>
      <c r="F195" s="11"/>
      <c r="G195" s="11"/>
    </row>
    <row r="196">
      <c r="A196" s="2" t="str">
        <f>IFERROR(__xludf.DUMMYFUNCTION("""COMPUTED_VALUE"""),"deltäcke")</f>
        <v>deltäcke</v>
      </c>
      <c r="B196" s="2" t="str">
        <f>IFERROR(__xludf.DUMMYFUNCTION("""COMPUTED_VALUE"""),"subcover")</f>
        <v>subcover</v>
      </c>
      <c r="C196" s="2" t="str">
        <f>IFERROR(__xludf.DUMMYFUNCTION("""COMPUTED_VALUE"""),"osapeite")</f>
        <v>osapeite</v>
      </c>
      <c r="D196" s="5"/>
      <c r="E196" s="5"/>
      <c r="F196" s="11"/>
      <c r="G196" s="11"/>
    </row>
    <row r="197">
      <c r="A197" s="2" t="str">
        <f>IFERROR(__xludf.DUMMYFUNCTION("""COMPUTED_VALUE"""),"derivata")</f>
        <v>derivata</v>
      </c>
      <c r="B197" s="2" t="str">
        <f>IFERROR(__xludf.DUMMYFUNCTION("""COMPUTED_VALUE"""),"derivative")</f>
        <v>derivative</v>
      </c>
      <c r="C197" s="2" t="str">
        <f>IFERROR(__xludf.DUMMYFUNCTION("""COMPUTED_VALUE"""),"derivaatta")</f>
        <v>derivaatta</v>
      </c>
      <c r="D197" s="5"/>
      <c r="E197" s="5"/>
      <c r="F197" s="11"/>
      <c r="G197" s="11"/>
    </row>
    <row r="198">
      <c r="A198" s="2" t="str">
        <f>IFERROR(__xludf.DUMMYFUNCTION("""COMPUTED_VALUE"""),"determinant")</f>
        <v>determinant</v>
      </c>
      <c r="B198" s="2" t="str">
        <f>IFERROR(__xludf.DUMMYFUNCTION("""COMPUTED_VALUE"""),"determinant")</f>
        <v>determinant</v>
      </c>
      <c r="C198" s="2" t="str">
        <f>IFERROR(__xludf.DUMMYFUNCTION("""COMPUTED_VALUE"""),"determinantti")</f>
        <v>determinantti</v>
      </c>
      <c r="D198" s="5"/>
      <c r="E198" s="5"/>
      <c r="F198" s="11"/>
      <c r="G198" s="11"/>
    </row>
    <row r="199">
      <c r="A199" s="2" t="str">
        <f>IFERROR(__xludf.DUMMYFUNCTION("""COMPUTED_VALUE"""),"diagonal")</f>
        <v>diagonal</v>
      </c>
      <c r="B199" s="2" t="str">
        <f>IFERROR(__xludf.DUMMYFUNCTION("""COMPUTED_VALUE"""),"diagonal")</f>
        <v>diagonal</v>
      </c>
      <c r="C199" s="2" t="str">
        <f>IFERROR(__xludf.DUMMYFUNCTION("""COMPUTED_VALUE"""),"lävistäjä, diagonaali")</f>
        <v>lävistäjä, diagonaali</v>
      </c>
      <c r="D199" s="5"/>
      <c r="E199" s="5"/>
      <c r="F199" s="11"/>
      <c r="G199" s="11"/>
    </row>
    <row r="200">
      <c r="A200" s="2" t="str">
        <f>IFERROR(__xludf.DUMMYFUNCTION("""COMPUTED_VALUE"""),"diagonaliserbar")</f>
        <v>diagonaliserbar</v>
      </c>
      <c r="B200" s="2" t="str">
        <f>IFERROR(__xludf.DUMMYFUNCTION("""COMPUTED_VALUE"""),"diagonalizable")</f>
        <v>diagonalizable</v>
      </c>
      <c r="C200" s="2" t="str">
        <f>IFERROR(__xludf.DUMMYFUNCTION("""COMPUTED_VALUE"""),"diagonalisoituva")</f>
        <v>diagonalisoituva</v>
      </c>
      <c r="D200" s="5"/>
      <c r="E200" s="5"/>
      <c r="F200" s="11"/>
      <c r="G200" s="11"/>
    </row>
    <row r="201">
      <c r="A201" s="2" t="str">
        <f>IFERROR(__xludf.DUMMYFUNCTION("""COMPUTED_VALUE"""),"diagonalmatris")</f>
        <v>diagonalmatris</v>
      </c>
      <c r="B201" s="2" t="str">
        <f>IFERROR(__xludf.DUMMYFUNCTION("""COMPUTED_VALUE"""),"diagonal matrix")</f>
        <v>diagonal matrix</v>
      </c>
      <c r="C201" s="2" t="str">
        <f>IFERROR(__xludf.DUMMYFUNCTION("""COMPUTED_VALUE"""),"lävistäjämatriisi")</f>
        <v>lävistäjämatriisi</v>
      </c>
      <c r="D201" s="5"/>
      <c r="E201" s="5"/>
      <c r="F201" s="11"/>
      <c r="G201" s="11"/>
    </row>
    <row r="202">
      <c r="A202" s="2" t="str">
        <f>IFERROR(__xludf.DUMMYFUNCTION("""COMPUTED_VALUE"""),"diameter")</f>
        <v>diameter</v>
      </c>
      <c r="B202" s="2" t="str">
        <f>IFERROR(__xludf.DUMMYFUNCTION("""COMPUTED_VALUE"""),"diameter")</f>
        <v>diameter</v>
      </c>
      <c r="C202" s="2" t="str">
        <f>IFERROR(__xludf.DUMMYFUNCTION("""COMPUTED_VALUE"""),"halkaisija, läpimitta")</f>
        <v>halkaisija, läpimitta</v>
      </c>
      <c r="D202" s="5"/>
      <c r="E202" s="5"/>
      <c r="F202" s="11"/>
      <c r="G202" s="11"/>
    </row>
    <row r="203">
      <c r="A203" s="2" t="str">
        <f>IFERROR(__xludf.DUMMYFUNCTION("""COMPUTED_VALUE"""),"differens")</f>
        <v>differens</v>
      </c>
      <c r="B203" s="2" t="str">
        <f>IFERROR(__xludf.DUMMYFUNCTION("""COMPUTED_VALUE"""),"difference")</f>
        <v>difference</v>
      </c>
      <c r="C203" s="2" t="str">
        <f>IFERROR(__xludf.DUMMYFUNCTION("""COMPUTED_VALUE"""),"erotus")</f>
        <v>erotus</v>
      </c>
      <c r="D203" s="5"/>
      <c r="E203" s="5"/>
      <c r="F203" s="11"/>
      <c r="G203" s="11"/>
    </row>
    <row r="204">
      <c r="A204" s="2" t="str">
        <f>IFERROR(__xludf.DUMMYFUNCTION("""COMPUTED_VALUE"""),"differensekvation")</f>
        <v>differensekvation</v>
      </c>
      <c r="B204" s="2" t="str">
        <f>IFERROR(__xludf.DUMMYFUNCTION("""COMPUTED_VALUE"""),"difference equation")</f>
        <v>difference equation</v>
      </c>
      <c r="C204" s="2" t="str">
        <f>IFERROR(__xludf.DUMMYFUNCTION("""COMPUTED_VALUE"""),"differenssiyhtälö")</f>
        <v>differenssiyhtälö</v>
      </c>
      <c r="D204" s="5"/>
      <c r="E204" s="5"/>
      <c r="F204" s="11"/>
      <c r="G204" s="11"/>
    </row>
    <row r="205">
      <c r="A205" s="2" t="str">
        <f>IFERROR(__xludf.DUMMYFUNCTION("""COMPUTED_VALUE"""),"differential- och integralräkning, kalkyl")</f>
        <v>differential- och integralräkning, kalkyl</v>
      </c>
      <c r="B205" s="2" t="str">
        <f>IFERROR(__xludf.DUMMYFUNCTION("""COMPUTED_VALUE"""),"calculus")</f>
        <v>calculus</v>
      </c>
      <c r="C205" s="2" t="str">
        <f>IFERROR(__xludf.DUMMYFUNCTION("""COMPUTED_VALUE"""),"differentiaali- ja integraalilaskenta; laskento, kalkyyli")</f>
        <v>differentiaali- ja integraalilaskenta; laskento, kalkyyli</v>
      </c>
      <c r="D205" s="5"/>
      <c r="E205" s="5"/>
      <c r="F205" s="11"/>
      <c r="G205" s="11"/>
    </row>
    <row r="206">
      <c r="A206" s="2" t="str">
        <f>IFERROR(__xludf.DUMMYFUNCTION("""COMPUTED_VALUE"""),"differentialekvation")</f>
        <v>differentialekvation</v>
      </c>
      <c r="B206" s="2" t="str">
        <f>IFERROR(__xludf.DUMMYFUNCTION("""COMPUTED_VALUE"""),"differential equation")</f>
        <v>differential equation</v>
      </c>
      <c r="C206" s="2" t="str">
        <f>IFERROR(__xludf.DUMMYFUNCTION("""COMPUTED_VALUE"""),"differentiaaliyhtälö")</f>
        <v>differentiaaliyhtälö</v>
      </c>
      <c r="D206" s="5"/>
      <c r="E206" s="5"/>
      <c r="F206" s="11"/>
      <c r="G206" s="11"/>
    </row>
    <row r="207">
      <c r="A207" s="2" t="str">
        <f>IFERROR(__xludf.DUMMYFUNCTION("""COMPUTED_VALUE"""),"differentialekvation av första graden")</f>
        <v>differentialekvation av första graden</v>
      </c>
      <c r="B207" s="2" t="str">
        <f>IFERROR(__xludf.DUMMYFUNCTION("""COMPUTED_VALUE"""),"first-order differential equation")</f>
        <v>first-order differential equation</v>
      </c>
      <c r="C207" s="2" t="str">
        <f>IFERROR(__xludf.DUMMYFUNCTION("""COMPUTED_VALUE"""),"ensimmäisen kertaluvun differentiaaliyhtälö")</f>
        <v>ensimmäisen kertaluvun differentiaaliyhtälö</v>
      </c>
      <c r="D207" s="5"/>
      <c r="E207" s="5"/>
      <c r="F207" s="11"/>
      <c r="G207" s="11"/>
    </row>
    <row r="208">
      <c r="A208" s="2" t="str">
        <f>IFERROR(__xludf.DUMMYFUNCTION("""COMPUTED_VALUE"""),"differentialekvation med konstanta koefficienter")</f>
        <v>differentialekvation med konstanta koefficienter</v>
      </c>
      <c r="B208" s="2" t="str">
        <f>IFERROR(__xludf.DUMMYFUNCTION("""COMPUTED_VALUE"""),"differential equation with constant coefficients")</f>
        <v>differential equation with constant coefficients</v>
      </c>
      <c r="C208" s="2" t="str">
        <f>IFERROR(__xludf.DUMMYFUNCTION("""COMPUTED_VALUE"""),"vakiokertoiminen differentiaaliyhtälö")</f>
        <v>vakiokertoiminen differentiaaliyhtälö</v>
      </c>
      <c r="D208" s="5"/>
      <c r="E208" s="5"/>
      <c r="F208" s="11"/>
      <c r="G208" s="11"/>
    </row>
    <row r="209">
      <c r="A209" s="2" t="str">
        <f>IFERROR(__xludf.DUMMYFUNCTION("""COMPUTED_VALUE"""),"differentialkalkyl")</f>
        <v>differentialkalkyl</v>
      </c>
      <c r="B209" s="2" t="str">
        <f>IFERROR(__xludf.DUMMYFUNCTION("""COMPUTED_VALUE"""),"differential calculus")</f>
        <v>differential calculus</v>
      </c>
      <c r="C209" s="2" t="str">
        <f>IFERROR(__xludf.DUMMYFUNCTION("""COMPUTED_VALUE"""),"differentiaalilaskenta")</f>
        <v>differentiaalilaskenta</v>
      </c>
      <c r="D209" s="5"/>
      <c r="E209" s="5"/>
      <c r="F209" s="11"/>
      <c r="G209" s="11"/>
    </row>
    <row r="210">
      <c r="A210" s="2" t="str">
        <f>IFERROR(__xludf.DUMMYFUNCTION("""COMPUTED_VALUE"""),"differentierbar")</f>
        <v>differentierbar</v>
      </c>
      <c r="B210" s="2" t="str">
        <f>IFERROR(__xludf.DUMMYFUNCTION("""COMPUTED_VALUE"""),"differentiable")</f>
        <v>differentiable</v>
      </c>
      <c r="C210" s="2" t="str">
        <f>IFERROR(__xludf.DUMMYFUNCTION("""COMPUTED_VALUE"""),"differentioituva")</f>
        <v>differentioituva</v>
      </c>
      <c r="D210" s="5"/>
      <c r="E210" s="5"/>
      <c r="F210" s="11"/>
      <c r="G210" s="11"/>
    </row>
    <row r="211">
      <c r="A211" s="2" t="str">
        <f>IFERROR(__xludf.DUMMYFUNCTION("""COMPUTED_VALUE"""),"diffusion")</f>
        <v>diffusion</v>
      </c>
      <c r="B211" s="2" t="str">
        <f>IFERROR(__xludf.DUMMYFUNCTION("""COMPUTED_VALUE"""),"diffusion")</f>
        <v>diffusion</v>
      </c>
      <c r="C211" s="2" t="str">
        <f>IFERROR(__xludf.DUMMYFUNCTION("""COMPUTED_VALUE"""),"diffuusio")</f>
        <v>diffuusio</v>
      </c>
      <c r="D211" s="5"/>
      <c r="E211" s="5"/>
      <c r="F211" s="11"/>
      <c r="G211" s="11"/>
    </row>
    <row r="212">
      <c r="A212" s="2" t="str">
        <f>IFERROR(__xludf.DUMMYFUNCTION("""COMPUTED_VALUE"""),"dimension")</f>
        <v>dimension</v>
      </c>
      <c r="B212" s="2" t="str">
        <f>IFERROR(__xludf.DUMMYFUNCTION("""COMPUTED_VALUE"""),"dimension")</f>
        <v>dimension</v>
      </c>
      <c r="C212" s="2" t="str">
        <f>IFERROR(__xludf.DUMMYFUNCTION("""COMPUTED_VALUE"""),"ulottuvuus, dimensio")</f>
        <v>ulottuvuus, dimensio</v>
      </c>
      <c r="D212" s="5"/>
      <c r="E212" s="5"/>
      <c r="F212" s="11"/>
      <c r="G212" s="11"/>
    </row>
    <row r="213">
      <c r="A213" s="2" t="str">
        <f>IFERROR(__xludf.DUMMYFUNCTION("""COMPUTED_VALUE"""),"direkt gränsvärde")</f>
        <v>direkt gränsvärde</v>
      </c>
      <c r="B213" s="2" t="str">
        <f>IFERROR(__xludf.DUMMYFUNCTION("""COMPUTED_VALUE"""),"direct limit")</f>
        <v>direct limit</v>
      </c>
      <c r="C213" s="2" t="str">
        <f>IFERROR(__xludf.DUMMYFUNCTION("""COMPUTED_VALUE"""),"suora raja-arvo, suora raja")</f>
        <v>suora raja-arvo, suora raja</v>
      </c>
      <c r="D213" s="5"/>
      <c r="E213" s="5"/>
      <c r="F213" s="11"/>
      <c r="G213" s="11"/>
    </row>
    <row r="214">
      <c r="A214" s="2" t="str">
        <f>IFERROR(__xludf.DUMMYFUNCTION("""COMPUTED_VALUE"""),"direktris, styrlinje")</f>
        <v>direktris, styrlinje</v>
      </c>
      <c r="B214" s="2" t="str">
        <f>IFERROR(__xludf.DUMMYFUNCTION("""COMPUTED_VALUE"""),"directrix")</f>
        <v>directrix</v>
      </c>
      <c r="C214" s="2" t="str">
        <f>IFERROR(__xludf.DUMMYFUNCTION("""COMPUTED_VALUE"""),"johtosuora")</f>
        <v>johtosuora</v>
      </c>
      <c r="D214" s="5"/>
      <c r="E214" s="5"/>
      <c r="F214" s="11"/>
      <c r="G214" s="11"/>
    </row>
    <row r="215">
      <c r="A215" s="2" t="str">
        <f>IFERROR(__xludf.DUMMYFUNCTION("""COMPUTED_VALUE"""),"disjunkta mängder")</f>
        <v>disjunkta mängder</v>
      </c>
      <c r="B215" s="2" t="str">
        <f>IFERROR(__xludf.DUMMYFUNCTION("""COMPUTED_VALUE"""),"disjoint sets")</f>
        <v>disjoint sets</v>
      </c>
      <c r="C215" s="2" t="str">
        <f>IFERROR(__xludf.DUMMYFUNCTION("""COMPUTED_VALUE"""),"erilliset joukot, pistevieraat joukot")</f>
        <v>erilliset joukot, pistevieraat joukot</v>
      </c>
      <c r="D215" s="5"/>
      <c r="E215" s="5"/>
      <c r="F215" s="11"/>
      <c r="G215" s="11"/>
    </row>
    <row r="216">
      <c r="A216" s="2" t="str">
        <f>IFERROR(__xludf.DUMMYFUNCTION("""COMPUTED_VALUE"""),"diskontinuitet")</f>
        <v>diskontinuitet</v>
      </c>
      <c r="B216" s="2" t="str">
        <f>IFERROR(__xludf.DUMMYFUNCTION("""COMPUTED_VALUE"""),"discontinuity")</f>
        <v>discontinuity</v>
      </c>
      <c r="C216" s="2" t="str">
        <f>IFERROR(__xludf.DUMMYFUNCTION("""COMPUTED_VALUE"""),"epäjatkuvuus; epäjatkuvuuspiste")</f>
        <v>epäjatkuvuus; epäjatkuvuuspiste</v>
      </c>
      <c r="D216" s="5"/>
      <c r="E216" s="5"/>
      <c r="F216" s="11"/>
      <c r="G216" s="11"/>
    </row>
    <row r="217">
      <c r="A217" s="2" t="str">
        <f>IFERROR(__xludf.DUMMYFUNCTION("""COMPUTED_VALUE"""),"diskontinuitetspunkt")</f>
        <v>diskontinuitetspunkt</v>
      </c>
      <c r="B217" s="2" t="str">
        <f>IFERROR(__xludf.DUMMYFUNCTION("""COMPUTED_VALUE"""),"point of discontinuity")</f>
        <v>point of discontinuity</v>
      </c>
      <c r="C217" s="2" t="str">
        <f>IFERROR(__xludf.DUMMYFUNCTION("""COMPUTED_VALUE"""),"epäjatkuvuuspiste, -kohta")</f>
        <v>epäjatkuvuuspiste, -kohta</v>
      </c>
      <c r="D217" s="5"/>
      <c r="E217" s="5"/>
      <c r="F217" s="11"/>
      <c r="G217" s="11"/>
    </row>
    <row r="218">
      <c r="A218" s="2" t="str">
        <f>IFERROR(__xludf.DUMMYFUNCTION("""COMPUTED_VALUE"""),"diskret")</f>
        <v>diskret</v>
      </c>
      <c r="B218" s="2" t="str">
        <f>IFERROR(__xludf.DUMMYFUNCTION("""COMPUTED_VALUE"""),"discrete")</f>
        <v>discrete</v>
      </c>
      <c r="C218" s="2" t="str">
        <f>IFERROR(__xludf.DUMMYFUNCTION("""COMPUTED_VALUE"""),"diskreetti")</f>
        <v>diskreetti</v>
      </c>
      <c r="D218" s="5"/>
      <c r="E218" s="5"/>
      <c r="F218" s="11"/>
      <c r="G218" s="11"/>
    </row>
    <row r="219">
      <c r="A219" s="2" t="str">
        <f>IFERROR(__xludf.DUMMYFUNCTION("""COMPUTED_VALUE"""),"diskriminant")</f>
        <v>diskriminant</v>
      </c>
      <c r="B219" s="2" t="str">
        <f>IFERROR(__xludf.DUMMYFUNCTION("""COMPUTED_VALUE"""),"discriminant")</f>
        <v>discriminant</v>
      </c>
      <c r="C219" s="2" t="str">
        <f>IFERROR(__xludf.DUMMYFUNCTION("""COMPUTED_VALUE"""),"diskriminantti (b^2-4ac)")</f>
        <v>diskriminantti (b^2-4ac)</v>
      </c>
      <c r="D219" s="5"/>
      <c r="E219" s="5"/>
      <c r="F219" s="11"/>
      <c r="G219" s="11"/>
    </row>
    <row r="220">
      <c r="A220" s="2" t="str">
        <f>IFERROR(__xludf.DUMMYFUNCTION("""COMPUTED_VALUE"""),"dissipativ")</f>
        <v>dissipativ</v>
      </c>
      <c r="B220" s="2" t="str">
        <f>IFERROR(__xludf.DUMMYFUNCTION("""COMPUTED_VALUE"""),"dissipative")</f>
        <v>dissipative</v>
      </c>
      <c r="C220" s="2" t="str">
        <f>IFERROR(__xludf.DUMMYFUNCTION("""COMPUTED_VALUE"""),"dissipatiivinen")</f>
        <v>dissipatiivinen</v>
      </c>
      <c r="D220" s="5"/>
      <c r="E220" s="5"/>
      <c r="F220" s="11"/>
      <c r="G220" s="11"/>
    </row>
    <row r="221">
      <c r="A221" s="2" t="str">
        <f>IFERROR(__xludf.DUMMYFUNCTION("""COMPUTED_VALUE"""),"distans")</f>
        <v>distans</v>
      </c>
      <c r="B221" s="2" t="str">
        <f>IFERROR(__xludf.DUMMYFUNCTION("""COMPUTED_VALUE"""),"distance")</f>
        <v>distance</v>
      </c>
      <c r="C221" s="2" t="str">
        <f>IFERROR(__xludf.DUMMYFUNCTION("""COMPUTED_VALUE"""),"etäisyys")</f>
        <v>etäisyys</v>
      </c>
      <c r="D221" s="5"/>
      <c r="E221" s="5"/>
      <c r="F221" s="11"/>
      <c r="G221" s="11"/>
    </row>
    <row r="222">
      <c r="A222" s="2" t="str">
        <f>IFERROR(__xludf.DUMMYFUNCTION("""COMPUTED_VALUE"""),"distributionslag")</f>
        <v>distributionslag</v>
      </c>
      <c r="B222" s="2" t="str">
        <f>IFERROR(__xludf.DUMMYFUNCTION("""COMPUTED_VALUE"""),"distributive law")</f>
        <v>distributive law</v>
      </c>
      <c r="C222" s="2" t="str">
        <f>IFERROR(__xludf.DUMMYFUNCTION("""COMPUTED_VALUE"""),"osittelulaki")</f>
        <v>osittelulaki</v>
      </c>
      <c r="D222" s="5"/>
      <c r="E222" s="5"/>
      <c r="F222" s="11"/>
      <c r="G222" s="11"/>
    </row>
    <row r="223">
      <c r="A223" s="2" t="str">
        <f>IFERROR(__xludf.DUMMYFUNCTION("""COMPUTED_VALUE"""),"divergens")</f>
        <v>divergens</v>
      </c>
      <c r="B223" s="2" t="str">
        <f>IFERROR(__xludf.DUMMYFUNCTION("""COMPUTED_VALUE"""),"divergence")</f>
        <v>divergence</v>
      </c>
      <c r="C223" s="2" t="str">
        <f>IFERROR(__xludf.DUMMYFUNCTION("""COMPUTED_VALUE"""),"hajaantuminen; divergenssi (div f eli nabla.f)")</f>
        <v>hajaantuminen; divergenssi (div f eli nabla.f)</v>
      </c>
      <c r="D223" s="5"/>
      <c r="E223" s="5"/>
      <c r="F223" s="11"/>
      <c r="G223" s="11"/>
    </row>
    <row r="224">
      <c r="A224" s="2" t="str">
        <f>IFERROR(__xludf.DUMMYFUNCTION("""COMPUTED_VALUE"""),"dividera")</f>
        <v>dividera</v>
      </c>
      <c r="B224" s="2" t="str">
        <f>IFERROR(__xludf.DUMMYFUNCTION("""COMPUTED_VALUE"""),"divide")</f>
        <v>divide</v>
      </c>
      <c r="C224" s="2" t="str">
        <f>IFERROR(__xludf.DUMMYFUNCTION("""COMPUTED_VALUE"""),"jakaa")</f>
        <v>jakaa</v>
      </c>
      <c r="D224" s="5"/>
      <c r="E224" s="5"/>
      <c r="F224" s="11"/>
      <c r="G224" s="11"/>
    </row>
    <row r="225">
      <c r="A225" s="2" t="str">
        <f>IFERROR(__xludf.DUMMYFUNCTION("""COMPUTED_VALUE"""),"division")</f>
        <v>division</v>
      </c>
      <c r="B225" s="2" t="str">
        <f>IFERROR(__xludf.DUMMYFUNCTION("""COMPUTED_VALUE"""),"division")</f>
        <v>division</v>
      </c>
      <c r="C225" s="2" t="str">
        <f>IFERROR(__xludf.DUMMYFUNCTION("""COMPUTED_VALUE"""),"jakolasku, jakaminen")</f>
        <v>jakolasku, jakaminen</v>
      </c>
      <c r="D225" s="5"/>
      <c r="E225" s="5"/>
      <c r="F225" s="11"/>
      <c r="G225" s="11"/>
    </row>
    <row r="226">
      <c r="A226" s="2" t="str">
        <f>IFERROR(__xludf.DUMMYFUNCTION("""COMPUTED_VALUE"""),"dragningskraft, attraktion")</f>
        <v>dragningskraft, attraktion</v>
      </c>
      <c r="B226" s="2" t="str">
        <f>IFERROR(__xludf.DUMMYFUNCTION("""COMPUTED_VALUE"""),"attraction")</f>
        <v>attraction</v>
      </c>
      <c r="C226" s="2" t="str">
        <f>IFERROR(__xludf.DUMMYFUNCTION("""COMPUTED_VALUE"""),"vetovoima, attraktio")</f>
        <v>vetovoima, attraktio</v>
      </c>
      <c r="D226" s="5"/>
      <c r="E226" s="5"/>
      <c r="F226" s="11"/>
      <c r="G226" s="11"/>
    </row>
    <row r="227">
      <c r="A227" s="2" t="str">
        <f>IFERROR(__xludf.DUMMYFUNCTION("""COMPUTED_VALUE"""),"dual, dualrum")</f>
        <v>dual, dualrum</v>
      </c>
      <c r="B227" s="2" t="str">
        <f>IFERROR(__xludf.DUMMYFUNCTION("""COMPUTED_VALUE"""),"dual, dual space")</f>
        <v>dual, dual space</v>
      </c>
      <c r="C227" s="2" t="str">
        <f>IFERROR(__xludf.DUMMYFUNCTION("""COMPUTED_VALUE"""),"duaali, duaaliavaruus")</f>
        <v>duaali, duaaliavaruus</v>
      </c>
      <c r="D227" s="5"/>
      <c r="E227" s="5"/>
      <c r="F227" s="11"/>
      <c r="G227" s="11"/>
    </row>
    <row r="228">
      <c r="A228" s="2" t="str">
        <f>IFERROR(__xludf.DUMMYFUNCTION("""COMPUTED_VALUE"""),"dualproblem")</f>
        <v>dualproblem</v>
      </c>
      <c r="B228" s="2" t="str">
        <f>IFERROR(__xludf.DUMMYFUNCTION("""COMPUTED_VALUE"""),"dual problem")</f>
        <v>dual problem</v>
      </c>
      <c r="C228" s="2" t="str">
        <f>IFERROR(__xludf.DUMMYFUNCTION("""COMPUTED_VALUE"""),"duaaliongelma")</f>
        <v>duaaliongelma</v>
      </c>
      <c r="D228" s="5"/>
      <c r="E228" s="5"/>
      <c r="F228" s="11"/>
      <c r="G228" s="11"/>
    </row>
    <row r="229">
      <c r="A229" s="2" t="str">
        <f>IFERROR(__xludf.DUMMYFUNCTION("""COMPUTED_VALUE"""),"dualrum")</f>
        <v>dualrum</v>
      </c>
      <c r="B229" s="2" t="str">
        <f>IFERROR(__xludf.DUMMYFUNCTION("""COMPUTED_VALUE"""),"adjoint space, dual space, conjugate space")</f>
        <v>adjoint space, dual space, conjugate space</v>
      </c>
      <c r="C229" s="2" t="str">
        <f>IFERROR(__xludf.DUMMYFUNCTION("""COMPUTED_VALUE"""),"duaali(avaruus)")</f>
        <v>duaali(avaruus)</v>
      </c>
      <c r="D229" s="5"/>
      <c r="E229" s="5"/>
      <c r="F229" s="11"/>
      <c r="G229" s="11"/>
    </row>
    <row r="230">
      <c r="A230" s="2" t="str">
        <f>IFERROR(__xludf.DUMMYFUNCTION("""COMPUTED_VALUE"""),"dubbelintegral")</f>
        <v>dubbelintegral</v>
      </c>
      <c r="B230" s="2" t="str">
        <f>IFERROR(__xludf.DUMMYFUNCTION("""COMPUTED_VALUE"""),"double integral")</f>
        <v>double integral</v>
      </c>
      <c r="C230" s="2" t="str">
        <f>IFERROR(__xludf.DUMMYFUNCTION("""COMPUTED_VALUE"""),"kaksoisintegraali")</f>
        <v>kaksoisintegraali</v>
      </c>
      <c r="D230" s="5"/>
      <c r="E230" s="5"/>
      <c r="F230" s="11"/>
      <c r="G230" s="11"/>
    </row>
    <row r="231">
      <c r="A231" s="2" t="str">
        <f>IFERROR(__xludf.DUMMYFUNCTION("""COMPUTED_VALUE"""),"efteråt")</f>
        <v>efteråt</v>
      </c>
      <c r="B231" s="2" t="str">
        <f>IFERROR(__xludf.DUMMYFUNCTION("""COMPUTED_VALUE"""),"a posteriori (""aa posteri'oorii"", lat.)")</f>
        <v>a posteriori ("aa posteri'oorii", lat.)</v>
      </c>
      <c r="C231" s="2" t="str">
        <f>IFERROR(__xludf.DUMMYFUNCTION("""COMPUTED_VALUE"""),"jälkeenpäin")</f>
        <v>jälkeenpäin</v>
      </c>
      <c r="D231" s="5"/>
      <c r="E231" s="5"/>
      <c r="F231" s="11"/>
      <c r="G231" s="11"/>
    </row>
    <row r="232">
      <c r="A232" s="2" t="str">
        <f>IFERROR(__xludf.DUMMYFUNCTION("""COMPUTED_VALUE"""),"efteråt")</f>
        <v>efteråt</v>
      </c>
      <c r="B232" s="2" t="str">
        <f>IFERROR(__xludf.DUMMYFUNCTION("""COMPUTED_VALUE"""),"posteriori")</f>
        <v>posteriori</v>
      </c>
      <c r="C232" s="2" t="str">
        <f>IFERROR(__xludf.DUMMYFUNCTION("""COMPUTED_VALUE"""),"jälkeenpäin")</f>
        <v>jälkeenpäin</v>
      </c>
      <c r="D232" s="5"/>
      <c r="E232" s="5"/>
      <c r="F232" s="11"/>
      <c r="G232" s="11"/>
    </row>
    <row r="233">
      <c r="A233" s="2" t="str">
        <f>IFERROR(__xludf.DUMMYFUNCTION("""COMPUTED_VALUE"""),"egenrum")</f>
        <v>egenrum</v>
      </c>
      <c r="B233" s="2" t="str">
        <f>IFERROR(__xludf.DUMMYFUNCTION("""COMPUTED_VALUE"""),"eigenspace")</f>
        <v>eigenspace</v>
      </c>
      <c r="C233" s="2" t="str">
        <f>IFERROR(__xludf.DUMMYFUNCTION("""COMPUTED_VALUE"""),"ominaisavaruus")</f>
        <v>ominaisavaruus</v>
      </c>
      <c r="D233" s="5"/>
      <c r="E233" s="5"/>
      <c r="F233" s="11"/>
      <c r="G233" s="11"/>
    </row>
    <row r="234">
      <c r="A234" s="2" t="str">
        <f>IFERROR(__xludf.DUMMYFUNCTION("""COMPUTED_VALUE"""),"egenvektor")</f>
        <v>egenvektor</v>
      </c>
      <c r="B234" s="2" t="str">
        <f>IFERROR(__xludf.DUMMYFUNCTION("""COMPUTED_VALUE"""),"eigenvector")</f>
        <v>eigenvector</v>
      </c>
      <c r="C234" s="2" t="str">
        <f>IFERROR(__xludf.DUMMYFUNCTION("""COMPUTED_VALUE"""),"ominaisvektori")</f>
        <v>ominaisvektori</v>
      </c>
      <c r="D234" s="5"/>
      <c r="E234" s="5"/>
      <c r="F234" s="11"/>
      <c r="G234" s="11"/>
    </row>
    <row r="235">
      <c r="A235" s="2" t="str">
        <f>IFERROR(__xludf.DUMMYFUNCTION("""COMPUTED_VALUE"""),"egenvärde")</f>
        <v>egenvärde</v>
      </c>
      <c r="B235" s="2" t="str">
        <f>IFERROR(__xludf.DUMMYFUNCTION("""COMPUTED_VALUE"""),"eigenvalue")</f>
        <v>eigenvalue</v>
      </c>
      <c r="C235" s="2" t="str">
        <f>IFERROR(__xludf.DUMMYFUNCTION("""COMPUTED_VALUE"""),"ominaisarvo")</f>
        <v>ominaisarvo</v>
      </c>
      <c r="D235" s="5"/>
      <c r="E235" s="5"/>
      <c r="F235" s="11"/>
      <c r="G235" s="11"/>
    </row>
    <row r="236">
      <c r="A236" s="2" t="str">
        <f>IFERROR(__xludf.DUMMYFUNCTION("""COMPUTED_VALUE"""),"ekvation")</f>
        <v>ekvation</v>
      </c>
      <c r="B236" s="2" t="str">
        <f>IFERROR(__xludf.DUMMYFUNCTION("""COMPUTED_VALUE"""),"equation")</f>
        <v>equation</v>
      </c>
      <c r="C236" s="2" t="str">
        <f>IFERROR(__xludf.DUMMYFUNCTION("""COMPUTED_VALUE"""),"yhtälö")</f>
        <v>yhtälö</v>
      </c>
      <c r="D236" s="5"/>
      <c r="E236" s="5"/>
      <c r="F236" s="11"/>
      <c r="G236" s="11"/>
    </row>
    <row r="237">
      <c r="A237" s="2" t="str">
        <f>IFERROR(__xludf.DUMMYFUNCTION("""COMPUTED_VALUE"""),"ekvationssystem")</f>
        <v>ekvationssystem</v>
      </c>
      <c r="B237" s="2" t="str">
        <f>IFERROR(__xludf.DUMMYFUNCTION("""COMPUTED_VALUE"""),"system of equations")</f>
        <v>system of equations</v>
      </c>
      <c r="C237" s="2" t="str">
        <f>IFERROR(__xludf.DUMMYFUNCTION("""COMPUTED_VALUE"""),"yhtälöryhmä")</f>
        <v>yhtälöryhmä</v>
      </c>
      <c r="D237" s="5"/>
      <c r="E237" s="5"/>
      <c r="F237" s="11"/>
      <c r="G237" s="11"/>
    </row>
    <row r="238">
      <c r="A238" s="2" t="str">
        <f>IFERROR(__xludf.DUMMYFUNCTION("""COMPUTED_VALUE"""),"ekvivalens")</f>
        <v>ekvivalens</v>
      </c>
      <c r="B238" s="2" t="str">
        <f>IFERROR(__xludf.DUMMYFUNCTION("""COMPUTED_VALUE"""),"equivalence")</f>
        <v>equivalence</v>
      </c>
      <c r="C238" s="2" t="str">
        <f>IFERROR(__xludf.DUMMYFUNCTION("""COMPUTED_VALUE"""),"ekvivalenssi")</f>
        <v>ekvivalenssi</v>
      </c>
      <c r="D238" s="5"/>
      <c r="E238" s="5"/>
      <c r="F238" s="11"/>
      <c r="G238" s="11"/>
    </row>
    <row r="239">
      <c r="A239" s="2" t="str">
        <f>IFERROR(__xludf.DUMMYFUNCTION("""COMPUTED_VALUE"""),"ekvivalent")</f>
        <v>ekvivalent</v>
      </c>
      <c r="B239" s="2" t="str">
        <f>IFERROR(__xludf.DUMMYFUNCTION("""COMPUTED_VALUE"""),"equivalent")</f>
        <v>equivalent</v>
      </c>
      <c r="C239" s="2" t="str">
        <f>IFERROR(__xludf.DUMMYFUNCTION("""COMPUTED_VALUE"""),"ekvivalentti, yhtäpitävä")</f>
        <v>ekvivalentti, yhtäpitävä</v>
      </c>
      <c r="D239" s="5"/>
      <c r="E239" s="5"/>
      <c r="F239" s="11"/>
      <c r="G239" s="11"/>
    </row>
    <row r="240">
      <c r="A240" s="2" t="str">
        <f>IFERROR(__xludf.DUMMYFUNCTION("""COMPUTED_VALUE"""),"elakartad")</f>
        <v>elakartad</v>
      </c>
      <c r="B240" s="2" t="str">
        <f>IFERROR(__xludf.DUMMYFUNCTION("""COMPUTED_VALUE"""),"ill-posed")</f>
        <v>ill-posed</v>
      </c>
      <c r="C240" s="2" t="str">
        <f>IFERROR(__xludf.DUMMYFUNCTION("""COMPUTED_VALUE"""),"pahanlaatuinen")</f>
        <v>pahanlaatuinen</v>
      </c>
      <c r="D240" s="5"/>
      <c r="E240" s="5"/>
      <c r="F240" s="11"/>
      <c r="G240" s="11"/>
    </row>
    <row r="241">
      <c r="A241" s="2" t="str">
        <f>IFERROR(__xludf.DUMMYFUNCTION("""COMPUTED_VALUE"""),"element")</f>
        <v>element</v>
      </c>
      <c r="B241" s="2" t="str">
        <f>IFERROR(__xludf.DUMMYFUNCTION("""COMPUTED_VALUE"""),"element, member")</f>
        <v>element, member</v>
      </c>
      <c r="C241" s="2" t="str">
        <f>IFERROR(__xludf.DUMMYFUNCTION("""COMPUTED_VALUE"""),"alkio, jäsen")</f>
        <v>alkio, jäsen</v>
      </c>
      <c r="D241" s="5"/>
      <c r="E241" s="5"/>
      <c r="F241" s="11"/>
      <c r="G241" s="11"/>
    </row>
    <row r="242">
      <c r="A242" s="2" t="str">
        <f>IFERROR(__xludf.DUMMYFUNCTION("""COMPUTED_VALUE"""),"element")</f>
        <v>element</v>
      </c>
      <c r="B242" s="2" t="str">
        <f>IFERROR(__xludf.DUMMYFUNCTION("""COMPUTED_VALUE"""),"entry, element")</f>
        <v>entry, element</v>
      </c>
      <c r="C242" s="2" t="str">
        <f>IFERROR(__xludf.DUMMYFUNCTION("""COMPUTED_VALUE"""),"alkio (matriisin)")</f>
        <v>alkio (matriisin)</v>
      </c>
      <c r="D242" s="5"/>
      <c r="E242" s="5"/>
      <c r="F242" s="11"/>
      <c r="G242" s="11"/>
    </row>
    <row r="243">
      <c r="A243" s="2" t="str">
        <f>IFERROR(__xludf.DUMMYFUNCTION("""COMPUTED_VALUE"""),"element")</f>
        <v>element</v>
      </c>
      <c r="B243" s="2" t="str">
        <f>IFERROR(__xludf.DUMMYFUNCTION("""COMPUTED_VALUE"""),"member, element")</f>
        <v>member, element</v>
      </c>
      <c r="C243" s="2" t="str">
        <f>IFERROR(__xludf.DUMMYFUNCTION("""COMPUTED_VALUE"""),"alkio (joukon), jäsen")</f>
        <v>alkio (joukon), jäsen</v>
      </c>
      <c r="D243" s="5"/>
      <c r="E243" s="5"/>
      <c r="F243" s="11"/>
      <c r="G243" s="11"/>
    </row>
    <row r="244">
      <c r="A244" s="2" t="str">
        <f>IFERROR(__xludf.DUMMYFUNCTION("""COMPUTED_VALUE"""),"elementärmatris")</f>
        <v>elementärmatris</v>
      </c>
      <c r="B244" s="2" t="str">
        <f>IFERROR(__xludf.DUMMYFUNCTION("""COMPUTED_VALUE"""),"elementary matrix")</f>
        <v>elementary matrix</v>
      </c>
      <c r="C244" s="2" t="str">
        <f>IFERROR(__xludf.DUMMYFUNCTION("""COMPUTED_VALUE"""),"alkeismatriisi")</f>
        <v>alkeismatriisi</v>
      </c>
      <c r="D244" s="5"/>
      <c r="E244" s="5"/>
      <c r="F244" s="11"/>
      <c r="G244" s="11"/>
    </row>
    <row r="245">
      <c r="A245" s="2" t="str">
        <f>IFERROR(__xludf.DUMMYFUNCTION("""COMPUTED_VALUE"""),"eliminering")</f>
        <v>eliminering</v>
      </c>
      <c r="B245" s="2" t="str">
        <f>IFERROR(__xludf.DUMMYFUNCTION("""COMPUTED_VALUE"""),"elimination")</f>
        <v>elimination</v>
      </c>
      <c r="C245" s="2" t="str">
        <f>IFERROR(__xludf.DUMMYFUNCTION("""COMPUTED_VALUE"""),"eliminointi")</f>
        <v>eliminointi</v>
      </c>
      <c r="D245" s="5"/>
      <c r="E245" s="5"/>
      <c r="F245" s="11"/>
      <c r="G245" s="11"/>
    </row>
    <row r="246">
      <c r="A246" s="2" t="str">
        <f>IFERROR(__xludf.DUMMYFUNCTION("""COMPUTED_VALUE"""),"ellips")</f>
        <v>ellips</v>
      </c>
      <c r="B246" s="2" t="str">
        <f>IFERROR(__xludf.DUMMYFUNCTION("""COMPUTED_VALUE"""),"ellipse")</f>
        <v>ellipse</v>
      </c>
      <c r="C246" s="2" t="str">
        <f>IFERROR(__xludf.DUMMYFUNCTION("""COMPUTED_VALUE"""),"ellipsi")</f>
        <v>ellipsi</v>
      </c>
      <c r="D246" s="5"/>
      <c r="E246" s="5"/>
      <c r="F246" s="11"/>
      <c r="G246" s="11"/>
    </row>
    <row r="247">
      <c r="A247" s="2" t="str">
        <f>IFERROR(__xludf.DUMMYFUNCTION("""COMPUTED_VALUE"""),"ellipsoid")</f>
        <v>ellipsoid</v>
      </c>
      <c r="B247" s="2" t="str">
        <f>IFERROR(__xludf.DUMMYFUNCTION("""COMPUTED_VALUE"""),"ellipsoid")</f>
        <v>ellipsoid</v>
      </c>
      <c r="C247" s="2" t="str">
        <f>IFERROR(__xludf.DUMMYFUNCTION("""COMPUTED_VALUE"""),"ellipsoidi")</f>
        <v>ellipsoidi</v>
      </c>
      <c r="D247" s="5"/>
      <c r="E247" s="5"/>
      <c r="F247" s="11"/>
      <c r="G247" s="11"/>
    </row>
    <row r="248">
      <c r="A248" s="2" t="str">
        <f>IFERROR(__xludf.DUMMYFUNCTION("""COMPUTED_VALUE"""),"elliptisk")</f>
        <v>elliptisk</v>
      </c>
      <c r="B248" s="2" t="str">
        <f>IFERROR(__xludf.DUMMYFUNCTION("""COMPUTED_VALUE"""),"elliptic")</f>
        <v>elliptic</v>
      </c>
      <c r="C248" s="2" t="str">
        <f>IFERROR(__xludf.DUMMYFUNCTION("""COMPUTED_VALUE"""),"elliptinen")</f>
        <v>elliptinen</v>
      </c>
      <c r="D248" s="5"/>
      <c r="E248" s="5"/>
      <c r="F248" s="11"/>
      <c r="G248" s="11"/>
    </row>
    <row r="249">
      <c r="A249" s="2" t="str">
        <f>IFERROR(__xludf.DUMMYFUNCTION("""COMPUTED_VALUE"""),"empirisk, erfarenhetsbaserad")</f>
        <v>empirisk, erfarenhetsbaserad</v>
      </c>
      <c r="B249" s="2" t="str">
        <f>IFERROR(__xludf.DUMMYFUNCTION("""COMPUTED_VALUE"""),"empirical")</f>
        <v>empirical</v>
      </c>
      <c r="C249" s="2" t="str">
        <f>IFERROR(__xludf.DUMMYFUNCTION("""COMPUTED_VALUE"""),"empiirinen, kokeellinen")</f>
        <v>empiirinen, kokeellinen</v>
      </c>
      <c r="D249" s="5"/>
      <c r="E249" s="5"/>
      <c r="F249" s="11"/>
      <c r="G249" s="11"/>
    </row>
    <row r="250">
      <c r="A250" s="2" t="str">
        <f>IFERROR(__xludf.DUMMYFUNCTION("""COMPUTED_VALUE"""),"enhet")</f>
        <v>enhet</v>
      </c>
      <c r="B250" s="2" t="str">
        <f>IFERROR(__xludf.DUMMYFUNCTION("""COMPUTED_VALUE"""),"unit")</f>
        <v>unit</v>
      </c>
      <c r="C250" s="2" t="str">
        <f>IFERROR(__xludf.DUMMYFUNCTION("""COMPUTED_VALUE"""),"yksikkö (mittayksikkö; renkaan)")</f>
        <v>yksikkö (mittayksikkö; renkaan)</v>
      </c>
      <c r="D250" s="5"/>
      <c r="E250" s="5"/>
      <c r="F250" s="11"/>
      <c r="G250" s="11"/>
    </row>
    <row r="251">
      <c r="A251" s="2" t="str">
        <f>IFERROR(__xludf.DUMMYFUNCTION("""COMPUTED_VALUE"""),"enhet")</f>
        <v>enhet</v>
      </c>
      <c r="B251" s="2" t="str">
        <f>IFERROR(__xludf.DUMMYFUNCTION("""COMPUTED_VALUE"""),"unit, unit element")</f>
        <v>unit, unit element</v>
      </c>
      <c r="C251" s="2" t="str">
        <f>IFERROR(__xludf.DUMMYFUNCTION("""COMPUTED_VALUE"""),"yksikkö (alkio jolla on käänteisalkio)")</f>
        <v>yksikkö (alkio jolla on käänteisalkio)</v>
      </c>
      <c r="D251" s="5"/>
      <c r="E251" s="5"/>
      <c r="F251" s="11"/>
      <c r="G251" s="11"/>
    </row>
    <row r="252">
      <c r="A252" s="2" t="str">
        <f>IFERROR(__xludf.DUMMYFUNCTION("""COMPUTED_VALUE"""),"enhet")</f>
        <v>enhet</v>
      </c>
      <c r="B252" s="2" t="str">
        <f>IFERROR(__xludf.DUMMYFUNCTION("""COMPUTED_VALUE"""),"unity")</f>
        <v>unity</v>
      </c>
      <c r="C252" s="2" t="str">
        <f>IFERROR(__xludf.DUMMYFUNCTION("""COMPUTED_VALUE"""),"ykkönen")</f>
        <v>ykkönen</v>
      </c>
      <c r="D252" s="5"/>
      <c r="E252" s="5"/>
      <c r="F252" s="11"/>
      <c r="G252" s="11"/>
    </row>
    <row r="253">
      <c r="A253" s="2" t="str">
        <f>IFERROR(__xludf.DUMMYFUNCTION("""COMPUTED_VALUE"""),"enhetligt")</f>
        <v>enhetligt</v>
      </c>
      <c r="B253" s="2" t="str">
        <f>IFERROR(__xludf.DUMMYFUNCTION("""COMPUTED_VALUE"""),"uniformly")</f>
        <v>uniformly</v>
      </c>
      <c r="C253" s="2" t="str">
        <f>IFERROR(__xludf.DUMMYFUNCTION("""COMPUTED_VALUE"""),"tasaisesti")</f>
        <v>tasaisesti</v>
      </c>
      <c r="D253" s="5"/>
      <c r="E253" s="5"/>
      <c r="F253" s="11"/>
      <c r="G253" s="11"/>
    </row>
    <row r="254">
      <c r="A254" s="2" t="str">
        <f>IFERROR(__xludf.DUMMYFUNCTION("""COMPUTED_VALUE"""),"enhetligt rum")</f>
        <v>enhetligt rum</v>
      </c>
      <c r="B254" s="2" t="str">
        <f>IFERROR(__xludf.DUMMYFUNCTION("""COMPUTED_VALUE"""),"uniform space")</f>
        <v>uniform space</v>
      </c>
      <c r="C254" s="2" t="str">
        <f>IFERROR(__xludf.DUMMYFUNCTION("""COMPUTED_VALUE"""),"uniforminen avaruus")</f>
        <v>uniforminen avaruus</v>
      </c>
      <c r="D254" s="5"/>
      <c r="E254" s="5"/>
      <c r="F254" s="11"/>
      <c r="G254" s="11"/>
    </row>
    <row r="255">
      <c r="A255" s="2" t="str">
        <f>IFERROR(__xludf.DUMMYFUNCTION("""COMPUTED_VALUE"""),"enhetsklot")</f>
        <v>enhetsklot</v>
      </c>
      <c r="B255" s="2" t="str">
        <f>IFERROR(__xludf.DUMMYFUNCTION("""COMPUTED_VALUE"""),"unit ball")</f>
        <v>unit ball</v>
      </c>
      <c r="C255" s="2" t="str">
        <f>IFERROR(__xludf.DUMMYFUNCTION("""COMPUTED_VALUE"""),"yksikköpallo")</f>
        <v>yksikköpallo</v>
      </c>
      <c r="D255" s="5"/>
      <c r="E255" s="5"/>
      <c r="F255" s="11"/>
      <c r="G255" s="11"/>
    </row>
    <row r="256">
      <c r="A256" s="2" t="str">
        <f>IFERROR(__xludf.DUMMYFUNCTION("""COMPUTED_VALUE"""),"enhetskub")</f>
        <v>enhetskub</v>
      </c>
      <c r="B256" s="2" t="str">
        <f>IFERROR(__xludf.DUMMYFUNCTION("""COMPUTED_VALUE"""),"unit cube")</f>
        <v>unit cube</v>
      </c>
      <c r="C256" s="2" t="str">
        <f>IFERROR(__xludf.DUMMYFUNCTION("""COMPUTED_VALUE"""),"yksikkökuutio")</f>
        <v>yksikkökuutio</v>
      </c>
      <c r="D256" s="5"/>
      <c r="E256" s="5"/>
      <c r="F256" s="11"/>
      <c r="G256" s="11"/>
    </row>
    <row r="257">
      <c r="A257" s="2" t="str">
        <f>IFERROR(__xludf.DUMMYFUNCTION("""COMPUTED_VALUE"""),"enhetsmatris")</f>
        <v>enhetsmatris</v>
      </c>
      <c r="B257" s="2" t="str">
        <f>IFERROR(__xludf.DUMMYFUNCTION("""COMPUTED_VALUE"""),"identity matrix")</f>
        <v>identity matrix</v>
      </c>
      <c r="C257" s="2" t="str">
        <f>IFERROR(__xludf.DUMMYFUNCTION("""COMPUTED_VALUE"""),"identiteettimatriisi, yksikkömatriisi")</f>
        <v>identiteettimatriisi, yksikkömatriisi</v>
      </c>
      <c r="D257" s="5"/>
      <c r="E257" s="5"/>
      <c r="F257" s="11"/>
      <c r="G257" s="11"/>
    </row>
    <row r="258">
      <c r="A258" s="2" t="str">
        <f>IFERROR(__xludf.DUMMYFUNCTION("""COMPUTED_VALUE"""),"enhetssfär")</f>
        <v>enhetssfär</v>
      </c>
      <c r="B258" s="2" t="str">
        <f>IFERROR(__xludf.DUMMYFUNCTION("""COMPUTED_VALUE"""),"unit circle")</f>
        <v>unit circle</v>
      </c>
      <c r="C258" s="2" t="str">
        <f>IFERROR(__xludf.DUMMYFUNCTION("""COMPUTED_VALUE"""),"yksikköympyrä")</f>
        <v>yksikköympyrä</v>
      </c>
      <c r="D258" s="5"/>
      <c r="E258" s="5"/>
      <c r="F258" s="11"/>
      <c r="G258" s="11"/>
    </row>
    <row r="259">
      <c r="A259" s="2" t="str">
        <f>IFERROR(__xludf.DUMMYFUNCTION("""COMPUTED_VALUE"""),"enhetsvektor")</f>
        <v>enhetsvektor</v>
      </c>
      <c r="B259" s="2" t="str">
        <f>IFERROR(__xludf.DUMMYFUNCTION("""COMPUTED_VALUE"""),"unit vector")</f>
        <v>unit vector</v>
      </c>
      <c r="C259" s="2" t="str">
        <f>IFERROR(__xludf.DUMMYFUNCTION("""COMPUTED_VALUE"""),"yksikkövektori")</f>
        <v>yksikkövektori</v>
      </c>
      <c r="D259" s="5"/>
      <c r="E259" s="5"/>
      <c r="F259" s="11"/>
      <c r="G259" s="11"/>
    </row>
    <row r="260">
      <c r="A260" s="2" t="str">
        <f>IFERROR(__xludf.DUMMYFUNCTION("""COMPUTED_VALUE"""),"enkel funktion")</f>
        <v>enkel funktion</v>
      </c>
      <c r="B260" s="2" t="str">
        <f>IFERROR(__xludf.DUMMYFUNCTION("""COMPUTED_VALUE"""),"simple function")</f>
        <v>simple function</v>
      </c>
      <c r="C260" s="2" t="str">
        <f>IFERROR(__xludf.DUMMYFUNCTION("""COMPUTED_VALUE"""),"yksinkertainen funktio")</f>
        <v>yksinkertainen funktio</v>
      </c>
      <c r="D260" s="5"/>
      <c r="E260" s="5"/>
      <c r="F260" s="11"/>
      <c r="G260" s="11"/>
    </row>
    <row r="261">
      <c r="A261" s="2" t="str">
        <f>IFERROR(__xludf.DUMMYFUNCTION("""COMPUTED_VALUE"""),"enkelt sammanhängande")</f>
        <v>enkelt sammanhängande</v>
      </c>
      <c r="B261" s="2" t="str">
        <f>IFERROR(__xludf.DUMMYFUNCTION("""COMPUTED_VALUE"""),"simply connected")</f>
        <v>simply connected</v>
      </c>
      <c r="C261" s="2" t="str">
        <f>IFERROR(__xludf.DUMMYFUNCTION("""COMPUTED_VALUE"""),"yhdesti yhtenäinen")</f>
        <v>yhdesti yhtenäinen</v>
      </c>
      <c r="D261" s="5"/>
      <c r="E261" s="5"/>
      <c r="F261" s="11"/>
      <c r="G261" s="11"/>
    </row>
    <row r="262">
      <c r="A262" s="2" t="str">
        <f>IFERROR(__xludf.DUMMYFUNCTION("""COMPUTED_VALUE"""),"ensidig derivata")</f>
        <v>ensidig derivata</v>
      </c>
      <c r="B262" s="2" t="str">
        <f>IFERROR(__xludf.DUMMYFUNCTION("""COMPUTED_VALUE"""),"one-sided derivative")</f>
        <v>one-sided derivative</v>
      </c>
      <c r="C262" s="2" t="str">
        <f>IFERROR(__xludf.DUMMYFUNCTION("""COMPUTED_VALUE"""),"toispuolinen derivaatta")</f>
        <v>toispuolinen derivaatta</v>
      </c>
      <c r="D262" s="5"/>
      <c r="E262" s="5"/>
      <c r="F262" s="11"/>
      <c r="G262" s="11"/>
    </row>
    <row r="263">
      <c r="A263" s="2" t="str">
        <f>IFERROR(__xludf.DUMMYFUNCTION("""COMPUTED_VALUE"""),"ensidigt gränsvärde")</f>
        <v>ensidigt gränsvärde</v>
      </c>
      <c r="B263" s="2" t="str">
        <f>IFERROR(__xludf.DUMMYFUNCTION("""COMPUTED_VALUE"""),"one-sided limit")</f>
        <v>one-sided limit</v>
      </c>
      <c r="C263" s="2" t="str">
        <f>IFERROR(__xludf.DUMMYFUNCTION("""COMPUTED_VALUE"""),"toispuolinen raja-arvo")</f>
        <v>toispuolinen raja-arvo</v>
      </c>
      <c r="D263" s="5"/>
      <c r="E263" s="5"/>
      <c r="F263" s="11"/>
      <c r="G263" s="11"/>
    </row>
    <row r="264">
      <c r="A264" s="2" t="str">
        <f>IFERROR(__xludf.DUMMYFUNCTION("""COMPUTED_VALUE"""),"entydig")</f>
        <v>entydig</v>
      </c>
      <c r="B264" s="2" t="str">
        <f>IFERROR(__xludf.DUMMYFUNCTION("""COMPUTED_VALUE"""),"unique")</f>
        <v>unique</v>
      </c>
      <c r="C264" s="2" t="str">
        <f>IFERROR(__xludf.DUMMYFUNCTION("""COMPUTED_VALUE"""),"yksikäsitteinen")</f>
        <v>yksikäsitteinen</v>
      </c>
      <c r="D264" s="5"/>
      <c r="E264" s="5"/>
      <c r="F264" s="11"/>
      <c r="G264" s="11"/>
    </row>
    <row r="265">
      <c r="A265" s="2" t="str">
        <f>IFERROR(__xludf.DUMMYFUNCTION("""COMPUTED_VALUE"""),"entydighet")</f>
        <v>entydighet</v>
      </c>
      <c r="B265" s="2" t="str">
        <f>IFERROR(__xludf.DUMMYFUNCTION("""COMPUTED_VALUE"""),"uniqueness")</f>
        <v>uniqueness</v>
      </c>
      <c r="C265" s="2" t="str">
        <f>IFERROR(__xludf.DUMMYFUNCTION("""COMPUTED_VALUE"""),"yksikäsitteisyys")</f>
        <v>yksikäsitteisyys</v>
      </c>
      <c r="D265" s="5"/>
      <c r="E265" s="5"/>
      <c r="F265" s="11"/>
      <c r="G265" s="11"/>
    </row>
    <row r="266">
      <c r="A266" s="2" t="str">
        <f>IFERROR(__xludf.DUMMYFUNCTION("""COMPUTED_VALUE"""),"envelopp")</f>
        <v>envelopp</v>
      </c>
      <c r="B266" s="2" t="str">
        <f>IFERROR(__xludf.DUMMYFUNCTION("""COMPUTED_VALUE"""),"envelope")</f>
        <v>envelope</v>
      </c>
      <c r="C266" s="2" t="str">
        <f>IFERROR(__xludf.DUMMYFUNCTION("""COMPUTED_VALUE"""),"verho, verhokäyrä (käyräparven)")</f>
        <v>verho, verhokäyrä (käyräparven)</v>
      </c>
      <c r="D266" s="5"/>
      <c r="E266" s="5"/>
      <c r="F266" s="11"/>
      <c r="G266" s="11"/>
    </row>
    <row r="267">
      <c r="A267" s="2" t="str">
        <f>IFERROR(__xludf.DUMMYFUNCTION("""COMPUTED_VALUE"""),"estimat")</f>
        <v>estimat</v>
      </c>
      <c r="B267" s="2" t="str">
        <f>IFERROR(__xludf.DUMMYFUNCTION("""COMPUTED_VALUE"""),"estimation")</f>
        <v>estimation</v>
      </c>
      <c r="C267" s="2" t="str">
        <f>IFERROR(__xludf.DUMMYFUNCTION("""COMPUTED_VALUE"""),"estimaatio; estimointi")</f>
        <v>estimaatio; estimointi</v>
      </c>
      <c r="D267" s="5"/>
      <c r="E267" s="5"/>
      <c r="F267" s="11"/>
      <c r="G267" s="11"/>
    </row>
    <row r="268">
      <c r="A268" s="2" t="str">
        <f>IFERROR(__xludf.DUMMYFUNCTION("""COMPUTED_VALUE"""),"estimera, estimat")</f>
        <v>estimera, estimat</v>
      </c>
      <c r="B268" s="2" t="str">
        <f>IFERROR(__xludf.DUMMYFUNCTION("""COMPUTED_VALUE"""),"estimate")</f>
        <v>estimate</v>
      </c>
      <c r="C268" s="2" t="str">
        <f>IFERROR(__xludf.DUMMYFUNCTION("""COMPUTED_VALUE"""),"estimoida, arvioida, estimaatti, arvio")</f>
        <v>estimoida, arvioida, estimaatti, arvio</v>
      </c>
      <c r="D268" s="5"/>
      <c r="E268" s="5"/>
      <c r="F268" s="11"/>
      <c r="G268" s="11"/>
    </row>
    <row r="269">
      <c r="A269" s="2" t="str">
        <f>IFERROR(__xludf.DUMMYFUNCTION("""COMPUTED_VALUE"""),"Euklidiskt rum")</f>
        <v>Euklidiskt rum</v>
      </c>
      <c r="B269" s="2" t="str">
        <f>IFERROR(__xludf.DUMMYFUNCTION("""COMPUTED_VALUE"""),"Euclidean space")</f>
        <v>Euclidean space</v>
      </c>
      <c r="C269" s="2" t="str">
        <f>IFERROR(__xludf.DUMMYFUNCTION("""COMPUTED_VALUE"""),"euklidinen avaruus")</f>
        <v>euklidinen avaruus</v>
      </c>
      <c r="D269" s="5"/>
      <c r="E269" s="5"/>
      <c r="F269" s="11"/>
      <c r="G269" s="11"/>
    </row>
    <row r="270">
      <c r="A270" s="2" t="str">
        <f>IFERROR(__xludf.DUMMYFUNCTION("""COMPUTED_VALUE"""),"evaluering, uträkning")</f>
        <v>evaluering, uträkning</v>
      </c>
      <c r="B270" s="2" t="str">
        <f>IFERROR(__xludf.DUMMYFUNCTION("""COMPUTED_VALUE"""),"evaluation")</f>
        <v>evaluation</v>
      </c>
      <c r="C270" s="2" t="str">
        <f>IFERROR(__xludf.DUMMYFUNCTION("""COMPUTED_VALUE"""),"evaluaatio, laskeminen")</f>
        <v>evaluaatio, laskeminen</v>
      </c>
      <c r="D270" s="5"/>
      <c r="E270" s="5"/>
      <c r="F270" s="11"/>
      <c r="G270" s="11"/>
    </row>
    <row r="271">
      <c r="A271" s="2" t="str">
        <f>IFERROR(__xludf.DUMMYFUNCTION("""COMPUTED_VALUE"""),"exakt")</f>
        <v>exakt</v>
      </c>
      <c r="B271" s="2" t="str">
        <f>IFERROR(__xludf.DUMMYFUNCTION("""COMPUTED_VALUE"""),"exact")</f>
        <v>exact</v>
      </c>
      <c r="C271" s="2" t="str">
        <f>IFERROR(__xludf.DUMMYFUNCTION("""COMPUTED_VALUE"""),"eksakti")</f>
        <v>eksakti</v>
      </c>
      <c r="D271" s="5"/>
      <c r="E271" s="5"/>
      <c r="F271" s="11"/>
      <c r="G271" s="11"/>
    </row>
    <row r="272">
      <c r="A272" s="2" t="str">
        <f>IFERROR(__xludf.DUMMYFUNCTION("""COMPUTED_VALUE"""),"exakt sekvens")</f>
        <v>exakt sekvens</v>
      </c>
      <c r="B272" s="2" t="str">
        <f>IFERROR(__xludf.DUMMYFUNCTION("""COMPUTED_VALUE"""),"exact sequence")</f>
        <v>exact sequence</v>
      </c>
      <c r="C272" s="2" t="str">
        <f>IFERROR(__xludf.DUMMYFUNCTION("""COMPUTED_VALUE"""),"eksakti jono")</f>
        <v>eksakti jono</v>
      </c>
      <c r="D272" s="5"/>
      <c r="E272" s="5"/>
      <c r="F272" s="11"/>
      <c r="G272" s="11"/>
    </row>
    <row r="273">
      <c r="A273" s="2" t="str">
        <f>IFERROR(__xludf.DUMMYFUNCTION("""COMPUTED_VALUE"""),"excentricitet")</f>
        <v>excentricitet</v>
      </c>
      <c r="B273" s="2" t="str">
        <f>IFERROR(__xludf.DUMMYFUNCTION("""COMPUTED_VALUE"""),"eccentricity")</f>
        <v>eccentricity</v>
      </c>
      <c r="C273" s="2" t="str">
        <f>IFERROR(__xludf.DUMMYFUNCTION("""COMPUTED_VALUE"""),"eksentrisyys")</f>
        <v>eksentrisyys</v>
      </c>
      <c r="D273" s="5"/>
      <c r="E273" s="5"/>
      <c r="F273" s="11"/>
      <c r="G273" s="11"/>
    </row>
    <row r="274">
      <c r="A274" s="2" t="str">
        <f>IFERROR(__xludf.DUMMYFUNCTION("""COMPUTED_VALUE"""),"exempel")</f>
        <v>exempel</v>
      </c>
      <c r="B274" s="2" t="str">
        <f>IFERROR(__xludf.DUMMYFUNCTION("""COMPUTED_VALUE"""),"example")</f>
        <v>example</v>
      </c>
      <c r="C274" s="2" t="str">
        <f>IFERROR(__xludf.DUMMYFUNCTION("""COMPUTED_VALUE"""),"esimerkki")</f>
        <v>esimerkki</v>
      </c>
      <c r="D274" s="5"/>
      <c r="E274" s="5"/>
      <c r="F274" s="11"/>
      <c r="G274" s="11"/>
    </row>
    <row r="275">
      <c r="A275" s="2" t="str">
        <f>IFERROR(__xludf.DUMMYFUNCTION("""COMPUTED_VALUE"""),"existens")</f>
        <v>existens</v>
      </c>
      <c r="B275" s="2" t="str">
        <f>IFERROR(__xludf.DUMMYFUNCTION("""COMPUTED_VALUE"""),"existence")</f>
        <v>existence</v>
      </c>
      <c r="C275" s="2" t="str">
        <f>IFERROR(__xludf.DUMMYFUNCTION("""COMPUTED_VALUE"""),"olemassaolo")</f>
        <v>olemassaolo</v>
      </c>
      <c r="D275" s="5"/>
      <c r="E275" s="5"/>
      <c r="F275" s="11"/>
      <c r="G275" s="11"/>
    </row>
    <row r="276">
      <c r="A276" s="2" t="str">
        <f>IFERROR(__xludf.DUMMYFUNCTION("""COMPUTED_VALUE"""),"existera")</f>
        <v>existera</v>
      </c>
      <c r="B276" s="2" t="str">
        <f>IFERROR(__xludf.DUMMYFUNCTION("""COMPUTED_VALUE"""),"exists")</f>
        <v>exists</v>
      </c>
      <c r="C276" s="2" t="str">
        <f>IFERROR(__xludf.DUMMYFUNCTION("""COMPUTED_VALUE"""),"olla olemassa")</f>
        <v>olla olemassa</v>
      </c>
      <c r="D276" s="5"/>
      <c r="E276" s="5"/>
      <c r="F276" s="11"/>
      <c r="G276" s="11"/>
    </row>
    <row r="277">
      <c r="A277" s="2" t="str">
        <f>IFERROR(__xludf.DUMMYFUNCTION("""COMPUTED_VALUE"""),"exponentfunktion")</f>
        <v>exponentfunktion</v>
      </c>
      <c r="B277" s="2" t="str">
        <f>IFERROR(__xludf.DUMMYFUNCTION("""COMPUTED_VALUE"""),"exponential function")</f>
        <v>exponential function</v>
      </c>
      <c r="C277" s="2" t="str">
        <f>IFERROR(__xludf.DUMMYFUNCTION("""COMPUTED_VALUE"""),"eksponenttifunktio")</f>
        <v>eksponenttifunktio</v>
      </c>
      <c r="D277" s="5"/>
      <c r="E277" s="5"/>
      <c r="F277" s="11"/>
      <c r="G277" s="11"/>
    </row>
    <row r="278">
      <c r="A278" s="2" t="str">
        <f>IFERROR(__xludf.DUMMYFUNCTION("""COMPUTED_VALUE"""),"exponentiell ökning")</f>
        <v>exponentiell ökning</v>
      </c>
      <c r="B278" s="2" t="str">
        <f>IFERROR(__xludf.DUMMYFUNCTION("""COMPUTED_VALUE"""),"exponential growth")</f>
        <v>exponential growth</v>
      </c>
      <c r="C278" s="2" t="str">
        <f>IFERROR(__xludf.DUMMYFUNCTION("""COMPUTED_VALUE"""),"eksponentiaalinen kasvu")</f>
        <v>eksponentiaalinen kasvu</v>
      </c>
      <c r="D278" s="5"/>
      <c r="E278" s="5"/>
      <c r="F278" s="11"/>
      <c r="G278" s="11"/>
    </row>
    <row r="279">
      <c r="A279" s="2" t="str">
        <f>IFERROR(__xludf.DUMMYFUNCTION("""COMPUTED_VALUE"""),"exteriör")</f>
        <v>exteriör</v>
      </c>
      <c r="B279" s="2" t="str">
        <f>IFERROR(__xludf.DUMMYFUNCTION("""COMPUTED_VALUE"""),"exterior")</f>
        <v>exterior</v>
      </c>
      <c r="C279" s="2" t="str">
        <f>IFERROR(__xludf.DUMMYFUNCTION("""COMPUTED_VALUE"""),"ulkoinen, ulko-, ulkopuoli")</f>
        <v>ulkoinen, ulko-, ulkopuoli</v>
      </c>
      <c r="D279" s="5"/>
      <c r="E279" s="5"/>
      <c r="F279" s="11"/>
      <c r="G279" s="11"/>
    </row>
    <row r="280">
      <c r="A280" s="2" t="str">
        <f>IFERROR(__xludf.DUMMYFUNCTION("""COMPUTED_VALUE"""),"extrempunkt")</f>
        <v>extrempunkt</v>
      </c>
      <c r="B280" s="2" t="str">
        <f>IFERROR(__xludf.DUMMYFUNCTION("""COMPUTED_VALUE"""),"extremum point, extreme point")</f>
        <v>extremum point, extreme point</v>
      </c>
      <c r="C280" s="2" t="str">
        <f>IFERROR(__xludf.DUMMYFUNCTION("""COMPUTED_VALUE"""),"ääriarvopiste")</f>
        <v>ääriarvopiste</v>
      </c>
      <c r="D280" s="5"/>
      <c r="E280" s="5"/>
      <c r="F280" s="11"/>
      <c r="G280" s="11"/>
    </row>
    <row r="281">
      <c r="A281" s="2" t="str">
        <f>IFERROR(__xludf.DUMMYFUNCTION("""COMPUTED_VALUE"""),"extremvärde")</f>
        <v>extremvärde</v>
      </c>
      <c r="B281" s="2" t="str">
        <f>IFERROR(__xludf.DUMMYFUNCTION("""COMPUTED_VALUE"""),"extremum, extreme value")</f>
        <v>extremum, extreme value</v>
      </c>
      <c r="C281" s="2" t="str">
        <f>IFERROR(__xludf.DUMMYFUNCTION("""COMPUTED_VALUE"""),"ääriarvo")</f>
        <v>ääriarvo</v>
      </c>
      <c r="D281" s="5"/>
      <c r="E281" s="5"/>
      <c r="F281" s="11"/>
      <c r="G281" s="11"/>
    </row>
    <row r="282">
      <c r="A282" s="2" t="str">
        <f>IFERROR(__xludf.DUMMYFUNCTION("""COMPUTED_VALUE"""),"facett")</f>
        <v>facett</v>
      </c>
      <c r="B282" s="2" t="str">
        <f>IFERROR(__xludf.DUMMYFUNCTION("""COMPUTED_VALUE"""),"face")</f>
        <v>face</v>
      </c>
      <c r="C282" s="2" t="str">
        <f>IFERROR(__xludf.DUMMYFUNCTION("""COMPUTED_VALUE"""),"tahko; lärvi (ei vak.)")</f>
        <v>tahko; lärvi (ei vak.)</v>
      </c>
      <c r="D282" s="5"/>
      <c r="E282" s="5"/>
      <c r="F282" s="11"/>
      <c r="G282" s="11"/>
    </row>
    <row r="283">
      <c r="A283" s="2" t="str">
        <f>IFERROR(__xludf.DUMMYFUNCTION("""COMPUTED_VALUE"""),"faktor")</f>
        <v>faktor</v>
      </c>
      <c r="B283" s="2" t="str">
        <f>IFERROR(__xludf.DUMMYFUNCTION("""COMPUTED_VALUE"""),"factor")</f>
        <v>factor</v>
      </c>
      <c r="C283" s="2" t="str">
        <f>IFERROR(__xludf.DUMMYFUNCTION("""COMPUTED_VALUE"""),"tekijä; faktori")</f>
        <v>tekijä; faktori</v>
      </c>
      <c r="D283" s="5"/>
      <c r="E283" s="5"/>
      <c r="F283" s="11"/>
      <c r="G283" s="11"/>
    </row>
    <row r="284">
      <c r="A284" s="2" t="str">
        <f>IFERROR(__xludf.DUMMYFUNCTION("""COMPUTED_VALUE"""),"faktor")</f>
        <v>faktor</v>
      </c>
      <c r="B284" s="2" t="str">
        <f>IFERROR(__xludf.DUMMYFUNCTION("""COMPUTED_VALUE"""),"factor(subst.)")</f>
        <v>factor(subst.)</v>
      </c>
      <c r="C284" s="2" t="str">
        <f>IFERROR(__xludf.DUMMYFUNCTION("""COMPUTED_VALUE"""),"tekijä")</f>
        <v>tekijä</v>
      </c>
      <c r="D284" s="5"/>
      <c r="E284" s="5"/>
      <c r="F284" s="11"/>
      <c r="G284" s="11"/>
    </row>
    <row r="285">
      <c r="A285" s="2" t="str">
        <f>IFERROR(__xludf.DUMMYFUNCTION("""COMPUTED_VALUE"""),"faktor")</f>
        <v>faktor</v>
      </c>
      <c r="B285" s="2" t="str">
        <f>IFERROR(__xludf.DUMMYFUNCTION("""COMPUTED_VALUE"""),"multiplier")</f>
        <v>multiplier</v>
      </c>
      <c r="C285" s="2" t="str">
        <f>IFERROR(__xludf.DUMMYFUNCTION("""COMPUTED_VALUE"""),"kerroin")</f>
        <v>kerroin</v>
      </c>
      <c r="D285" s="5"/>
      <c r="E285" s="5"/>
      <c r="F285" s="11"/>
      <c r="G285" s="11"/>
    </row>
    <row r="286">
      <c r="A286" s="2" t="str">
        <f>IFERROR(__xludf.DUMMYFUNCTION("""COMPUTED_VALUE"""),"faktorisera")</f>
        <v>faktorisera</v>
      </c>
      <c r="B286" s="2" t="str">
        <f>IFERROR(__xludf.DUMMYFUNCTION("""COMPUTED_VALUE"""),"factor(verbi)")</f>
        <v>factor(verbi)</v>
      </c>
      <c r="C286" s="2" t="str">
        <f>IFERROR(__xludf.DUMMYFUNCTION("""COMPUTED_VALUE"""),"jakaa tekijöihin")</f>
        <v>jakaa tekijöihin</v>
      </c>
      <c r="D286" s="5"/>
      <c r="E286" s="5"/>
      <c r="F286" s="11"/>
      <c r="G286" s="11"/>
    </row>
    <row r="287">
      <c r="A287" s="2" t="str">
        <f>IFERROR(__xludf.DUMMYFUNCTION("""COMPUTED_VALUE"""),"faktorisering")</f>
        <v>faktorisering</v>
      </c>
      <c r="B287" s="2" t="str">
        <f>IFERROR(__xludf.DUMMYFUNCTION("""COMPUTED_VALUE"""),"factorization; decomposition")</f>
        <v>factorization; decomposition</v>
      </c>
      <c r="C287" s="2" t="str">
        <f>IFERROR(__xludf.DUMMYFUNCTION("""COMPUTED_VALUE"""),"tekijöihinjako; hajotelma")</f>
        <v>tekijöihinjako; hajotelma</v>
      </c>
      <c r="D287" s="5"/>
      <c r="E287" s="5"/>
      <c r="F287" s="11"/>
      <c r="G287" s="11"/>
    </row>
    <row r="288">
      <c r="A288" s="2" t="str">
        <f>IFERROR(__xludf.DUMMYFUNCTION("""COMPUTED_VALUE"""),"fakultet")</f>
        <v>fakultet</v>
      </c>
      <c r="B288" s="2" t="str">
        <f>IFERROR(__xludf.DUMMYFUNCTION("""COMPUTED_VALUE"""),"factorial")</f>
        <v>factorial</v>
      </c>
      <c r="C288" s="2" t="str">
        <f>IFERROR(__xludf.DUMMYFUNCTION("""COMPUTED_VALUE"""),"kertoma (n!)")</f>
        <v>kertoma (n!)</v>
      </c>
      <c r="D288" s="5"/>
      <c r="E288" s="5"/>
      <c r="F288" s="11"/>
      <c r="G288" s="11"/>
    </row>
    <row r="289">
      <c r="A289" s="2" t="str">
        <f>IFERROR(__xludf.DUMMYFUNCTION("""COMPUTED_VALUE"""),"familj")</f>
        <v>familj</v>
      </c>
      <c r="B289" s="2" t="str">
        <f>IFERROR(__xludf.DUMMYFUNCTION("""COMPUTED_VALUE"""),"family")</f>
        <v>family</v>
      </c>
      <c r="C289" s="2" t="str">
        <f>IFERROR(__xludf.DUMMYFUNCTION("""COMPUTED_VALUE"""),"perhe")</f>
        <v>perhe</v>
      </c>
      <c r="D289" s="5"/>
      <c r="E289" s="5"/>
      <c r="F289" s="11"/>
      <c r="G289" s="11"/>
    </row>
    <row r="290">
      <c r="A290" s="2" t="str">
        <f>IFERROR(__xludf.DUMMYFUNCTION("""COMPUTED_VALUE"""),"fart")</f>
        <v>fart</v>
      </c>
      <c r="B290" s="2" t="str">
        <f>IFERROR(__xludf.DUMMYFUNCTION("""COMPUTED_VALUE"""),"speed")</f>
        <v>speed</v>
      </c>
      <c r="C290" s="2" t="str">
        <f>IFERROR(__xludf.DUMMYFUNCTION("""COMPUTED_VALUE"""),"vauhti")</f>
        <v>vauhti</v>
      </c>
      <c r="D290" s="5"/>
      <c r="E290" s="5"/>
      <c r="F290" s="11"/>
      <c r="G290" s="11"/>
    </row>
    <row r="291">
      <c r="A291" s="2" t="str">
        <f>IFERROR(__xludf.DUMMYFUNCTION("""COMPUTED_VALUE"""),"fas")</f>
        <v>fas</v>
      </c>
      <c r="B291" s="2" t="str">
        <f>IFERROR(__xludf.DUMMYFUNCTION("""COMPUTED_VALUE"""),"phase")</f>
        <v>phase</v>
      </c>
      <c r="C291" s="2" t="str">
        <f>IFERROR(__xludf.DUMMYFUNCTION("""COMPUTED_VALUE"""),"vaihe(kulma)")</f>
        <v>vaihe(kulma)</v>
      </c>
      <c r="D291" s="5"/>
      <c r="E291" s="5"/>
      <c r="F291" s="11"/>
      <c r="G291" s="11"/>
    </row>
    <row r="292">
      <c r="A292" s="2" t="str">
        <f>IFERROR(__xludf.DUMMYFUNCTION("""COMPUTED_VALUE"""),"fasplan")</f>
        <v>fasplan</v>
      </c>
      <c r="B292" s="2" t="str">
        <f>IFERROR(__xludf.DUMMYFUNCTION("""COMPUTED_VALUE"""),"phase plane")</f>
        <v>phase plane</v>
      </c>
      <c r="C292" s="2" t="str">
        <f>IFERROR(__xludf.DUMMYFUNCTION("""COMPUTED_VALUE"""),"faasitaso")</f>
        <v>faasitaso</v>
      </c>
      <c r="D292" s="5"/>
      <c r="E292" s="5"/>
      <c r="F292" s="11"/>
      <c r="G292" s="11"/>
    </row>
    <row r="293">
      <c r="A293" s="2" t="str">
        <f>IFERROR(__xludf.DUMMYFUNCTION("""COMPUTED_VALUE"""),"fasvinkel")</f>
        <v>fasvinkel</v>
      </c>
      <c r="B293" s="2" t="str">
        <f>IFERROR(__xludf.DUMMYFUNCTION("""COMPUTED_VALUE"""),"phase angle")</f>
        <v>phase angle</v>
      </c>
      <c r="C293" s="2" t="str">
        <f>IFERROR(__xludf.DUMMYFUNCTION("""COMPUTED_VALUE"""),"vaihekulma")</f>
        <v>vaihekulma</v>
      </c>
      <c r="D293" s="5"/>
      <c r="E293" s="5"/>
      <c r="F293" s="11"/>
      <c r="G293" s="11"/>
    </row>
    <row r="294">
      <c r="A294" s="2" t="str">
        <f>IFERROR(__xludf.DUMMYFUNCTION("""COMPUTED_VALUE"""),"fasvinkel, argumentet")</f>
        <v>fasvinkel, argumentet</v>
      </c>
      <c r="B294" s="2" t="str">
        <f>IFERROR(__xludf.DUMMYFUNCTION("""COMPUTED_VALUE"""),"argument")</f>
        <v>argument</v>
      </c>
      <c r="C294" s="2" t="str">
        <f>IFERROR(__xludf.DUMMYFUNCTION("""COMPUTED_VALUE"""),"vaihekulma, argumentti (kompleksiluvun)")</f>
        <v>vaihekulma, argumentti (kompleksiluvun)</v>
      </c>
      <c r="D294" s="5"/>
      <c r="E294" s="5"/>
      <c r="F294" s="11"/>
      <c r="G294" s="11"/>
    </row>
    <row r="295">
      <c r="A295" s="2" t="str">
        <f>IFERROR(__xludf.DUMMYFUNCTION("""COMPUTED_VALUE"""),"fel")</f>
        <v>fel</v>
      </c>
      <c r="B295" s="2" t="str">
        <f>IFERROR(__xludf.DUMMYFUNCTION("""COMPUTED_VALUE"""),"error")</f>
        <v>error</v>
      </c>
      <c r="C295" s="2" t="str">
        <f>IFERROR(__xludf.DUMMYFUNCTION("""COMPUTED_VALUE"""),"virhe")</f>
        <v>virhe</v>
      </c>
      <c r="D295" s="5"/>
      <c r="E295" s="5"/>
      <c r="F295" s="11"/>
      <c r="G295" s="11"/>
    </row>
    <row r="296">
      <c r="A296" s="2" t="str">
        <f>IFERROR(__xludf.DUMMYFUNCTION("""COMPUTED_VALUE"""),"felestimat")</f>
        <v>felestimat</v>
      </c>
      <c r="B296" s="2" t="str">
        <f>IFERROR(__xludf.DUMMYFUNCTION("""COMPUTED_VALUE"""),"error estimate")</f>
        <v>error estimate</v>
      </c>
      <c r="C296" s="2" t="str">
        <f>IFERROR(__xludf.DUMMYFUNCTION("""COMPUTED_VALUE"""),"virhearvio")</f>
        <v>virhearvio</v>
      </c>
      <c r="D296" s="5"/>
      <c r="E296" s="5"/>
      <c r="F296" s="11"/>
      <c r="G296" s="11"/>
    </row>
    <row r="297">
      <c r="A297" s="2" t="str">
        <f>IFERROR(__xludf.DUMMYFUNCTION("""COMPUTED_VALUE"""),"fiber")</f>
        <v>fiber</v>
      </c>
      <c r="B297" s="2" t="str">
        <f>IFERROR(__xludf.DUMMYFUNCTION("""COMPUTED_VALUE"""),"fiber")</f>
        <v>fiber</v>
      </c>
      <c r="C297" s="2" t="str">
        <f>IFERROR(__xludf.DUMMYFUNCTION("""COMPUTED_VALUE"""),"säie")</f>
        <v>säie</v>
      </c>
      <c r="D297" s="5"/>
      <c r="E297" s="5"/>
      <c r="F297" s="11"/>
      <c r="G297" s="11"/>
    </row>
    <row r="298">
      <c r="A298" s="2" t="str">
        <f>IFERROR(__xludf.DUMMYFUNCTION("""COMPUTED_VALUE"""),"filter")</f>
        <v>filter</v>
      </c>
      <c r="B298" s="2" t="str">
        <f>IFERROR(__xludf.DUMMYFUNCTION("""COMPUTED_VALUE"""),"filter")</f>
        <v>filter</v>
      </c>
      <c r="C298" s="2" t="str">
        <f>IFERROR(__xludf.DUMMYFUNCTION("""COMPUTED_VALUE"""),"filtteri; suodatin")</f>
        <v>filtteri; suodatin</v>
      </c>
      <c r="D298" s="5"/>
      <c r="E298" s="5"/>
      <c r="F298" s="11"/>
      <c r="G298" s="11"/>
    </row>
    <row r="299">
      <c r="A299" s="2" t="str">
        <f>IFERROR(__xludf.DUMMYFUNCTION("""COMPUTED_VALUE"""),"finare topologi")</f>
        <v>finare topologi</v>
      </c>
      <c r="B299" s="2" t="str">
        <f>IFERROR(__xludf.DUMMYFUNCTION("""COMPUTED_VALUE"""),"finer topology")</f>
        <v>finer topology</v>
      </c>
      <c r="C299" s="2" t="str">
        <f>IFERROR(__xludf.DUMMYFUNCTION("""COMPUTED_VALUE"""),"hienompi topologia")</f>
        <v>hienompi topologia</v>
      </c>
      <c r="D299" s="5"/>
      <c r="E299" s="5"/>
      <c r="F299" s="11"/>
      <c r="G299" s="11"/>
    </row>
    <row r="300">
      <c r="A300" s="2" t="str">
        <f>IFERROR(__xludf.DUMMYFUNCTION("""COMPUTED_VALUE"""),"fixpunkt")</f>
        <v>fixpunkt</v>
      </c>
      <c r="B300" s="2" t="str">
        <f>IFERROR(__xludf.DUMMYFUNCTION("""COMPUTED_VALUE"""),"fixed point")</f>
        <v>fixed point</v>
      </c>
      <c r="C300" s="2" t="str">
        <f>IFERROR(__xludf.DUMMYFUNCTION("""COMPUTED_VALUE"""),"kiintopiste")</f>
        <v>kiintopiste</v>
      </c>
      <c r="D300" s="5"/>
      <c r="E300" s="5"/>
      <c r="F300" s="11"/>
      <c r="G300" s="11"/>
    </row>
    <row r="301">
      <c r="A301" s="2" t="str">
        <f>IFERROR(__xludf.DUMMYFUNCTION("""COMPUTED_VALUE"""),"flerfaldig integral")</f>
        <v>flerfaldig integral</v>
      </c>
      <c r="B301" s="2" t="str">
        <f>IFERROR(__xludf.DUMMYFUNCTION("""COMPUTED_VALUE"""),"multiple integral")</f>
        <v>multiple integral</v>
      </c>
      <c r="C301" s="2" t="str">
        <f>IFERROR(__xludf.DUMMYFUNCTION("""COMPUTED_VALUE"""),"moninkertainen integraali")</f>
        <v>moninkertainen integraali</v>
      </c>
      <c r="D301" s="5"/>
      <c r="E301" s="5"/>
      <c r="F301" s="11"/>
      <c r="G301" s="11"/>
    </row>
    <row r="302">
      <c r="A302" s="2" t="str">
        <f>IFERROR(__xludf.DUMMYFUNCTION("""COMPUTED_VALUE"""),"flöd")</f>
        <v>flöd</v>
      </c>
      <c r="B302" s="2" t="str">
        <f>IFERROR(__xludf.DUMMYFUNCTION("""COMPUTED_VALUE"""),"flux, flow")</f>
        <v>flux, flow</v>
      </c>
      <c r="C302" s="2" t="str">
        <f>IFERROR(__xludf.DUMMYFUNCTION("""COMPUTED_VALUE"""),"vuo")</f>
        <v>vuo</v>
      </c>
      <c r="D302" s="5"/>
      <c r="E302" s="5"/>
      <c r="F302" s="11"/>
      <c r="G302" s="11"/>
    </row>
    <row r="303">
      <c r="A303" s="2" t="str">
        <f>IFERROR(__xludf.DUMMYFUNCTION("""COMPUTED_VALUE"""),"form")</f>
        <v>form</v>
      </c>
      <c r="B303" s="2" t="str">
        <f>IFERROR(__xludf.DUMMYFUNCTION("""COMPUTED_VALUE"""),"shape")</f>
        <v>shape</v>
      </c>
      <c r="C303" s="2" t="str">
        <f>IFERROR(__xludf.DUMMYFUNCTION("""COMPUTED_VALUE"""),"hahmo")</f>
        <v>hahmo</v>
      </c>
      <c r="D303" s="5"/>
      <c r="E303" s="5"/>
      <c r="F303" s="11"/>
      <c r="G303" s="11"/>
    </row>
    <row r="304">
      <c r="A304" s="2" t="str">
        <f>IFERROR(__xludf.DUMMYFUNCTION("""COMPUTED_VALUE"""),"formel")</f>
        <v>formel</v>
      </c>
      <c r="B304" s="2" t="str">
        <f>IFERROR(__xludf.DUMMYFUNCTION("""COMPUTED_VALUE"""),"formula")</f>
        <v>formula</v>
      </c>
      <c r="C304" s="2" t="str">
        <f>IFERROR(__xludf.DUMMYFUNCTION("""COMPUTED_VALUE"""),"kaava")</f>
        <v>kaava</v>
      </c>
      <c r="D304" s="5"/>
      <c r="E304" s="5"/>
      <c r="F304" s="11"/>
      <c r="G304" s="11"/>
    </row>
    <row r="305">
      <c r="A305" s="2" t="str">
        <f>IFERROR(__xludf.DUMMYFUNCTION("""COMPUTED_VALUE"""),"Fourier serie")</f>
        <v>Fourier serie</v>
      </c>
      <c r="B305" s="2" t="str">
        <f>IFERROR(__xludf.DUMMYFUNCTION("""COMPUTED_VALUE"""),"Fourier series")</f>
        <v>Fourier series</v>
      </c>
      <c r="C305" s="2" t="str">
        <f>IFERROR(__xludf.DUMMYFUNCTION("""COMPUTED_VALUE"""),"Fourier-sarja")</f>
        <v>Fourier-sarja</v>
      </c>
      <c r="D305" s="5"/>
      <c r="E305" s="5"/>
      <c r="F305" s="11"/>
      <c r="G305" s="11"/>
    </row>
    <row r="306">
      <c r="A306" s="2" t="str">
        <f>IFERROR(__xludf.DUMMYFUNCTION("""COMPUTED_VALUE"""),"Fouriertransformation")</f>
        <v>Fouriertransformation</v>
      </c>
      <c r="B306" s="2" t="str">
        <f>IFERROR(__xludf.DUMMYFUNCTION("""COMPUTED_VALUE"""),"Fourier transform")</f>
        <v>Fourier transform</v>
      </c>
      <c r="C306" s="2" t="str">
        <f>IFERROR(__xludf.DUMMYFUNCTION("""COMPUTED_VALUE"""),"Fourier-muunnos")</f>
        <v>Fourier-muunnos</v>
      </c>
      <c r="D306" s="5"/>
      <c r="E306" s="5"/>
      <c r="F306" s="11"/>
      <c r="G306" s="11"/>
    </row>
    <row r="307">
      <c r="A307" s="2" t="str">
        <f>IFERROR(__xludf.DUMMYFUNCTION("""COMPUTED_VALUE"""),"fraktion, bråkutveckling")</f>
        <v>fraktion, bråkutveckling</v>
      </c>
      <c r="B307" s="2" t="str">
        <f>IFERROR(__xludf.DUMMYFUNCTION("""COMPUTED_VALUE"""),"fraction")</f>
        <v>fraction</v>
      </c>
      <c r="C307" s="2" t="str">
        <f>IFERROR(__xludf.DUMMYFUNCTION("""COMPUTED_VALUE"""),"murtokehitelma")</f>
        <v>murtokehitelma</v>
      </c>
      <c r="D307" s="5"/>
      <c r="E307" s="5"/>
      <c r="F307" s="11"/>
      <c r="G307" s="11"/>
    </row>
    <row r="308">
      <c r="A308" s="2" t="str">
        <f>IFERROR(__xludf.DUMMYFUNCTION("""COMPUTED_VALUE"""),"framställning, representation")</f>
        <v>framställning, representation</v>
      </c>
      <c r="B308" s="2" t="str">
        <f>IFERROR(__xludf.DUMMYFUNCTION("""COMPUTED_VALUE"""),"representation")</f>
        <v>representation</v>
      </c>
      <c r="C308" s="2" t="str">
        <f>IFERROR(__xludf.DUMMYFUNCTION("""COMPUTED_VALUE"""),"esitys")</f>
        <v>esitys</v>
      </c>
      <c r="D308" s="5"/>
      <c r="E308" s="5"/>
      <c r="F308" s="11"/>
      <c r="G308" s="11"/>
    </row>
    <row r="309">
      <c r="A309" s="2" t="str">
        <f>IFERROR(__xludf.DUMMYFUNCTION("""COMPUTED_VALUE"""),"frekvens")</f>
        <v>frekvens</v>
      </c>
      <c r="B309" s="2" t="str">
        <f>IFERROR(__xludf.DUMMYFUNCTION("""COMPUTED_VALUE"""),"frequency")</f>
        <v>frequency</v>
      </c>
      <c r="C309" s="2" t="str">
        <f>IFERROR(__xludf.DUMMYFUNCTION("""COMPUTED_VALUE"""),"taajuus; frekvenssi")</f>
        <v>taajuus; frekvenssi</v>
      </c>
      <c r="D309" s="5"/>
      <c r="E309" s="5"/>
      <c r="F309" s="11"/>
      <c r="G309" s="11"/>
    </row>
    <row r="310">
      <c r="A310" s="2" t="str">
        <f>IFERROR(__xludf.DUMMYFUNCTION("""COMPUTED_VALUE"""),"fri variabel")</f>
        <v>fri variabel</v>
      </c>
      <c r="B310" s="2" t="str">
        <f>IFERROR(__xludf.DUMMYFUNCTION("""COMPUTED_VALUE"""),"free variable")</f>
        <v>free variable</v>
      </c>
      <c r="C310" s="2" t="str">
        <f>IFERROR(__xludf.DUMMYFUNCTION("""COMPUTED_VALUE"""),"vapaa muuttuja")</f>
        <v>vapaa muuttuja</v>
      </c>
      <c r="D310" s="5"/>
      <c r="E310" s="5"/>
      <c r="F310" s="11"/>
      <c r="G310" s="11"/>
    </row>
    <row r="311">
      <c r="A311" s="2" t="str">
        <f>IFERROR(__xludf.DUMMYFUNCTION("""COMPUTED_VALUE"""),"frihetsgrad")</f>
        <v>frihetsgrad</v>
      </c>
      <c r="B311" s="2" t="str">
        <f>IFERROR(__xludf.DUMMYFUNCTION("""COMPUTED_VALUE"""),"degree of freedom")</f>
        <v>degree of freedom</v>
      </c>
      <c r="C311" s="2" t="str">
        <f>IFERROR(__xludf.DUMMYFUNCTION("""COMPUTED_VALUE"""),"vapausaste")</f>
        <v>vapausaste</v>
      </c>
      <c r="D311" s="5"/>
      <c r="E311" s="5"/>
      <c r="F311" s="11"/>
      <c r="G311" s="11"/>
    </row>
    <row r="312">
      <c r="A312" s="2" t="str">
        <f>IFERROR(__xludf.DUMMYFUNCTION("""COMPUTED_VALUE"""),"full rang")</f>
        <v>full rang</v>
      </c>
      <c r="B312" s="2" t="str">
        <f>IFERROR(__xludf.DUMMYFUNCTION("""COMPUTED_VALUE"""),"full rank")</f>
        <v>full rank</v>
      </c>
      <c r="C312" s="2" t="str">
        <f>IFERROR(__xludf.DUMMYFUNCTION("""COMPUTED_VALUE"""),"täysi rangi (yms., ks. rank)")</f>
        <v>täysi rangi (yms., ks. rank)</v>
      </c>
      <c r="D312" s="5"/>
      <c r="E312" s="5"/>
      <c r="F312" s="11"/>
      <c r="G312" s="11"/>
    </row>
    <row r="313">
      <c r="A313" s="2" t="str">
        <f>IFERROR(__xludf.DUMMYFUNCTION("""COMPUTED_VALUE"""),"fullständig")</f>
        <v>fullständig</v>
      </c>
      <c r="B313" s="2" t="str">
        <f>IFERROR(__xludf.DUMMYFUNCTION("""COMPUTED_VALUE"""),"complete")</f>
        <v>complete</v>
      </c>
      <c r="C313" s="2" t="str">
        <f>IFERROR(__xludf.DUMMYFUNCTION("""COMPUTED_VALUE"""),"täydellinen (metriikka, mitta, avaruus)")</f>
        <v>täydellinen (metriikka, mitta, avaruus)</v>
      </c>
      <c r="D313" s="5"/>
      <c r="E313" s="5"/>
      <c r="F313" s="11"/>
      <c r="G313" s="11"/>
    </row>
    <row r="314">
      <c r="A314" s="2" t="str">
        <f>IFERROR(__xludf.DUMMYFUNCTION("""COMPUTED_VALUE"""),"fullständighet")</f>
        <v>fullständighet</v>
      </c>
      <c r="B314" s="2" t="str">
        <f>IFERROR(__xludf.DUMMYFUNCTION("""COMPUTED_VALUE"""),"completeness")</f>
        <v>completeness</v>
      </c>
      <c r="C314" s="2" t="str">
        <f>IFERROR(__xludf.DUMMYFUNCTION("""COMPUTED_VALUE"""),"täydellisyys")</f>
        <v>täydellisyys</v>
      </c>
      <c r="D314" s="5"/>
      <c r="E314" s="5"/>
      <c r="F314" s="11"/>
      <c r="G314" s="11"/>
    </row>
    <row r="315">
      <c r="A315" s="2" t="str">
        <f>IFERROR(__xludf.DUMMYFUNCTION("""COMPUTED_VALUE"""),"fundamentallösning")</f>
        <v>fundamentallösning</v>
      </c>
      <c r="B315" s="2" t="str">
        <f>IFERROR(__xludf.DUMMYFUNCTION("""COMPUTED_VALUE"""),"fundamental solution")</f>
        <v>fundamental solution</v>
      </c>
      <c r="C315" s="2" t="str">
        <f>IFERROR(__xludf.DUMMYFUNCTION("""COMPUTED_VALUE"""),"perusratkaisu")</f>
        <v>perusratkaisu</v>
      </c>
      <c r="D315" s="5"/>
      <c r="E315" s="5"/>
      <c r="F315" s="11"/>
      <c r="G315" s="11"/>
    </row>
    <row r="316">
      <c r="A316" s="2" t="str">
        <f>IFERROR(__xludf.DUMMYFUNCTION("""COMPUTED_VALUE"""),"fundamentalsats")</f>
        <v>fundamentalsats</v>
      </c>
      <c r="B316" s="2" t="str">
        <f>IFERROR(__xludf.DUMMYFUNCTION("""COMPUTED_VALUE"""),"fundamental theorem")</f>
        <v>fundamental theorem</v>
      </c>
      <c r="C316" s="2" t="str">
        <f>IFERROR(__xludf.DUMMYFUNCTION("""COMPUTED_VALUE"""),"peruslause")</f>
        <v>peruslause</v>
      </c>
      <c r="D316" s="5"/>
      <c r="E316" s="5"/>
      <c r="F316" s="11"/>
      <c r="G316" s="11"/>
    </row>
    <row r="317">
      <c r="A317" s="2" t="str">
        <f>IFERROR(__xludf.DUMMYFUNCTION("""COMPUTED_VALUE"""),"funktion")</f>
        <v>funktion</v>
      </c>
      <c r="B317" s="2" t="str">
        <f>IFERROR(__xludf.DUMMYFUNCTION("""COMPUTED_VALUE"""),"function")</f>
        <v>function</v>
      </c>
      <c r="C317" s="2" t="str">
        <f>IFERROR(__xludf.DUMMYFUNCTION("""COMPUTED_VALUE"""),"funktio")</f>
        <v>funktio</v>
      </c>
      <c r="D317" s="5"/>
      <c r="E317" s="5"/>
      <c r="F317" s="11"/>
      <c r="G317" s="11"/>
    </row>
    <row r="318">
      <c r="A318" s="2" t="str">
        <f>IFERROR(__xludf.DUMMYFUNCTION("""COMPUTED_VALUE"""),"funktional")</f>
        <v>funktional</v>
      </c>
      <c r="B318" s="2" t="str">
        <f>IFERROR(__xludf.DUMMYFUNCTION("""COMPUTED_VALUE"""),"functional")</f>
        <v>functional</v>
      </c>
      <c r="C318" s="2" t="str">
        <f>IFERROR(__xludf.DUMMYFUNCTION("""COMPUTED_VALUE"""),"funktionaali")</f>
        <v>funktionaali</v>
      </c>
      <c r="D318" s="5"/>
      <c r="E318" s="5"/>
      <c r="F318" s="11"/>
      <c r="G318" s="11"/>
    </row>
    <row r="319">
      <c r="A319" s="2" t="str">
        <f>IFERROR(__xludf.DUMMYFUNCTION("""COMPUTED_VALUE"""),"fyrsiding")</f>
        <v>fyrsiding</v>
      </c>
      <c r="B319" s="2" t="str">
        <f>IFERROR(__xludf.DUMMYFUNCTION("""COMPUTED_VALUE"""),"quadrilateral")</f>
        <v>quadrilateral</v>
      </c>
      <c r="C319" s="2" t="str">
        <f>IFERROR(__xludf.DUMMYFUNCTION("""COMPUTED_VALUE"""),"nelikulmio")</f>
        <v>nelikulmio</v>
      </c>
      <c r="D319" s="5"/>
      <c r="E319" s="5"/>
      <c r="F319" s="11"/>
      <c r="G319" s="11"/>
    </row>
    <row r="320">
      <c r="A320" s="2" t="str">
        <f>IFERROR(__xludf.DUMMYFUNCTION("""COMPUTED_VALUE"""),"fält")</f>
        <v>fält</v>
      </c>
      <c r="B320" s="2" t="str">
        <f>IFERROR(__xludf.DUMMYFUNCTION("""COMPUTED_VALUE"""),"field")</f>
        <v>field</v>
      </c>
      <c r="C320" s="2" t="str">
        <f>IFERROR(__xludf.DUMMYFUNCTION("""COMPUTED_VALUE"""),"kenttä (vektori-); kunta (algebrassa)")</f>
        <v>kenttä (vektori-); kunta (algebrassa)</v>
      </c>
      <c r="D320" s="5"/>
      <c r="E320" s="5"/>
      <c r="F320" s="11"/>
      <c r="G320" s="11"/>
    </row>
    <row r="321">
      <c r="A321" s="2" t="str">
        <f>IFERROR(__xludf.DUMMYFUNCTION("""COMPUTED_VALUE"""),"följd")</f>
        <v>följd</v>
      </c>
      <c r="B321" s="2" t="str">
        <f>IFERROR(__xludf.DUMMYFUNCTION("""COMPUTED_VALUE"""),"sequence")</f>
        <v>sequence</v>
      </c>
      <c r="C321" s="2" t="str">
        <f>IFERROR(__xludf.DUMMYFUNCTION("""COMPUTED_VALUE"""),"jono (lukujono)")</f>
        <v>jono (lukujono)</v>
      </c>
      <c r="D321" s="5"/>
      <c r="E321" s="5"/>
      <c r="F321" s="11"/>
      <c r="G321" s="11"/>
    </row>
    <row r="322">
      <c r="A322" s="2" t="str">
        <f>IFERROR(__xludf.DUMMYFUNCTION("""COMPUTED_VALUE"""),"för ändamålet")</f>
        <v>för ändamålet</v>
      </c>
      <c r="B322" s="2" t="str">
        <f>IFERROR(__xludf.DUMMYFUNCTION("""COMPUTED_VALUE"""),"ad hoc (""ad hok"", lat.)")</f>
        <v>ad hoc ("ad hok", lat.)</v>
      </c>
      <c r="C322" s="2" t="str">
        <f>IFERROR(__xludf.DUMMYFUNCTION("""COMPUTED_VALUE"""),"tätä varten, vartavasten")</f>
        <v>tätä varten, vartavasten</v>
      </c>
      <c r="D322" s="5"/>
      <c r="E322" s="5"/>
      <c r="F322" s="11"/>
      <c r="G322" s="11"/>
    </row>
    <row r="323">
      <c r="A323" s="2" t="str">
        <f>IFERROR(__xludf.DUMMYFUNCTION("""COMPUTED_VALUE"""),"fördelning")</f>
        <v>fördelning</v>
      </c>
      <c r="B323" s="2" t="str">
        <f>IFERROR(__xludf.DUMMYFUNCTION("""COMPUTED_VALUE"""),"distribution")</f>
        <v>distribution</v>
      </c>
      <c r="C323" s="2" t="str">
        <f>IFERROR(__xludf.DUMMYFUNCTION("""COMPUTED_VALUE"""),"distribuutio; jakauma")</f>
        <v>distribuutio; jakauma</v>
      </c>
      <c r="D323" s="5"/>
      <c r="E323" s="5"/>
      <c r="F323" s="11"/>
      <c r="G323" s="11"/>
    </row>
    <row r="324">
      <c r="A324" s="2" t="str">
        <f>IFERROR(__xludf.DUMMYFUNCTION("""COMPUTED_VALUE"""),"fördelningsfunktion")</f>
        <v>fördelningsfunktion</v>
      </c>
      <c r="B324" s="2" t="str">
        <f>IFERROR(__xludf.DUMMYFUNCTION("""COMPUTED_VALUE"""),"distribution function")</f>
        <v>distribution function</v>
      </c>
      <c r="C324" s="2" t="str">
        <f>IFERROR(__xludf.DUMMYFUNCTION("""COMPUTED_VALUE"""),"jakaumafunktio")</f>
        <v>jakaumafunktio</v>
      </c>
      <c r="D324" s="5"/>
      <c r="E324" s="5"/>
      <c r="F324" s="11"/>
      <c r="G324" s="11"/>
    </row>
    <row r="325">
      <c r="A325" s="2" t="str">
        <f>IFERROR(__xludf.DUMMYFUNCTION("""COMPUTED_VALUE"""),"fördelningsfunktion")</f>
        <v>fördelningsfunktion</v>
      </c>
      <c r="B325" s="2" t="str">
        <f>IFERROR(__xludf.DUMMYFUNCTION("""COMPUTED_VALUE"""),"probability integral")</f>
        <v>probability integral</v>
      </c>
      <c r="C325" s="2" t="str">
        <f>IFERROR(__xludf.DUMMYFUNCTION("""COMPUTED_VALUE"""),"kertymäfunktio")</f>
        <v>kertymäfunktio</v>
      </c>
      <c r="D325" s="5"/>
      <c r="E325" s="5"/>
      <c r="F325" s="11"/>
      <c r="G325" s="11"/>
    </row>
    <row r="326">
      <c r="A326" s="2" t="str">
        <f>IFERROR(__xludf.DUMMYFUNCTION("""COMPUTED_VALUE"""),"förenkla")</f>
        <v>förenkla</v>
      </c>
      <c r="B326" s="2" t="str">
        <f>IFERROR(__xludf.DUMMYFUNCTION("""COMPUTED_VALUE"""),"simplify")</f>
        <v>simplify</v>
      </c>
      <c r="C326" s="2" t="str">
        <f>IFERROR(__xludf.DUMMYFUNCTION("""COMPUTED_VALUE"""),"sieventää")</f>
        <v>sieventää</v>
      </c>
      <c r="D326" s="5"/>
      <c r="E326" s="5"/>
      <c r="F326" s="11"/>
      <c r="G326" s="11"/>
    </row>
    <row r="327">
      <c r="A327" s="2" t="str">
        <f>IFERROR(__xludf.DUMMYFUNCTION("""COMPUTED_VALUE"""),"förkorta")</f>
        <v>förkorta</v>
      </c>
      <c r="B327" s="2" t="str">
        <f>IFERROR(__xludf.DUMMYFUNCTION("""COMPUTED_VALUE"""),"cancel")</f>
        <v>cancel</v>
      </c>
      <c r="C327" s="2" t="str">
        <f>IFERROR(__xludf.DUMMYFUNCTION("""COMPUTED_VALUE"""),"supistaa")</f>
        <v>supistaa</v>
      </c>
      <c r="D327" s="5"/>
      <c r="E327" s="5"/>
      <c r="F327" s="11"/>
      <c r="G327" s="11"/>
    </row>
    <row r="328">
      <c r="A328" s="2" t="str">
        <f>IFERROR(__xludf.DUMMYFUNCTION("""COMPUTED_VALUE"""),"förmodan")</f>
        <v>förmodan</v>
      </c>
      <c r="B328" s="2" t="str">
        <f>IFERROR(__xludf.DUMMYFUNCTION("""COMPUTED_VALUE"""),"conjecture")</f>
        <v>conjecture</v>
      </c>
      <c r="C328" s="2" t="str">
        <f>IFERROR(__xludf.DUMMYFUNCTION("""COMPUTED_VALUE"""),"konjektuuri, otaksuma")</f>
        <v>konjektuuri, otaksuma</v>
      </c>
      <c r="D328" s="5"/>
      <c r="E328" s="5"/>
      <c r="F328" s="11"/>
      <c r="G328" s="11"/>
    </row>
    <row r="329">
      <c r="A329" s="2" t="str">
        <f>IFERROR(__xludf.DUMMYFUNCTION("""COMPUTED_VALUE"""),"förskjutning")</f>
        <v>förskjutning</v>
      </c>
      <c r="B329" s="2" t="str">
        <f>IFERROR(__xludf.DUMMYFUNCTION("""COMPUTED_VALUE"""),"shift")</f>
        <v>shift</v>
      </c>
      <c r="C329" s="2" t="str">
        <f>IFERROR(__xludf.DUMMYFUNCTION("""COMPUTED_VALUE"""),"siirto")</f>
        <v>siirto</v>
      </c>
      <c r="D329" s="5"/>
      <c r="E329" s="5"/>
      <c r="F329" s="11"/>
      <c r="G329" s="11"/>
    </row>
    <row r="330">
      <c r="A330" s="2" t="str">
        <f>IFERROR(__xludf.DUMMYFUNCTION("""COMPUTED_VALUE"""),"förslutning")</f>
        <v>förslutning</v>
      </c>
      <c r="B330" s="2" t="str">
        <f>IFERROR(__xludf.DUMMYFUNCTION("""COMPUTED_VALUE"""),"closure")</f>
        <v>closure</v>
      </c>
      <c r="C330" s="2" t="str">
        <f>IFERROR(__xludf.DUMMYFUNCTION("""COMPUTED_VALUE"""),"sulkeuma (joukon, ...)")</f>
        <v>sulkeuma (joukon, ...)</v>
      </c>
      <c r="D330" s="5"/>
      <c r="E330" s="5"/>
      <c r="F330" s="11"/>
      <c r="G330" s="11"/>
    </row>
    <row r="331">
      <c r="A331" s="2" t="str">
        <f>IFERROR(__xludf.DUMMYFUNCTION("""COMPUTED_VALUE"""),"försvinna")</f>
        <v>försvinna</v>
      </c>
      <c r="B331" s="2" t="str">
        <f>IFERROR(__xludf.DUMMYFUNCTION("""COMPUTED_VALUE"""),"vanish")</f>
        <v>vanish</v>
      </c>
      <c r="C331" s="2" t="str">
        <f>IFERROR(__xludf.DUMMYFUNCTION("""COMPUTED_VALUE"""),"hävitä")</f>
        <v>hävitä</v>
      </c>
      <c r="D331" s="5"/>
      <c r="E331" s="5"/>
      <c r="F331" s="11"/>
      <c r="G331" s="11"/>
    </row>
    <row r="332">
      <c r="A332" s="2" t="str">
        <f>IFERROR(__xludf.DUMMYFUNCTION("""COMPUTED_VALUE"""),"förtätning")</f>
        <v>förtätning</v>
      </c>
      <c r="B332" s="2" t="str">
        <f>IFERROR(__xludf.DUMMYFUNCTION("""COMPUTED_VALUE"""),"refinement")</f>
        <v>refinement</v>
      </c>
      <c r="C332" s="2" t="str">
        <f>IFERROR(__xludf.DUMMYFUNCTION("""COMPUTED_VALUE"""),"tihennys")</f>
        <v>tihennys</v>
      </c>
      <c r="D332" s="5"/>
      <c r="E332" s="5"/>
      <c r="F332" s="11"/>
      <c r="G332" s="11"/>
    </row>
    <row r="333">
      <c r="A333" s="2" t="str">
        <f>IFERROR(__xludf.DUMMYFUNCTION("""COMPUTED_VALUE"""),"förväntningsrätt")</f>
        <v>förväntningsrätt</v>
      </c>
      <c r="B333" s="2" t="str">
        <f>IFERROR(__xludf.DUMMYFUNCTION("""COMPUTED_VALUE"""),"unbiased")</f>
        <v>unbiased</v>
      </c>
      <c r="C333" s="2" t="str">
        <f>IFERROR(__xludf.DUMMYFUNCTION("""COMPUTED_VALUE"""),"harhaton")</f>
        <v>harhaton</v>
      </c>
      <c r="D333" s="5"/>
      <c r="E333" s="5"/>
      <c r="F333" s="11"/>
      <c r="G333" s="11"/>
    </row>
    <row r="334">
      <c r="A334" s="2" t="str">
        <f>IFERROR(__xludf.DUMMYFUNCTION("""COMPUTED_VALUE"""),"förväntningsskev")</f>
        <v>förväntningsskev</v>
      </c>
      <c r="B334" s="2" t="str">
        <f>IFERROR(__xludf.DUMMYFUNCTION("""COMPUTED_VALUE"""),"biased")</f>
        <v>biased</v>
      </c>
      <c r="C334" s="2" t="str">
        <f>IFERROR(__xludf.DUMMYFUNCTION("""COMPUTED_VALUE"""),"harhainen")</f>
        <v>harhainen</v>
      </c>
      <c r="D334" s="5"/>
      <c r="E334" s="5"/>
      <c r="F334" s="11"/>
      <c r="G334" s="11"/>
    </row>
    <row r="335">
      <c r="A335" s="2" t="str">
        <f>IFERROR(__xludf.DUMMYFUNCTION("""COMPUTED_VALUE"""),"förändringshastighet")</f>
        <v>förändringshastighet</v>
      </c>
      <c r="B335" s="2" t="str">
        <f>IFERROR(__xludf.DUMMYFUNCTION("""COMPUTED_VALUE"""),"rate of change")</f>
        <v>rate of change</v>
      </c>
      <c r="C335" s="2" t="str">
        <f>IFERROR(__xludf.DUMMYFUNCTION("""COMPUTED_VALUE"""),"muutosnopeus")</f>
        <v>muutosnopeus</v>
      </c>
      <c r="D335" s="5"/>
      <c r="E335" s="5"/>
      <c r="F335" s="11"/>
      <c r="G335" s="11"/>
    </row>
    <row r="336">
      <c r="A336" s="2" t="str">
        <f>IFERROR(__xludf.DUMMYFUNCTION("""COMPUTED_VALUE"""),"gammafunktion")</f>
        <v>gammafunktion</v>
      </c>
      <c r="B336" s="2" t="str">
        <f>IFERROR(__xludf.DUMMYFUNCTION("""COMPUTED_VALUE"""),"gamma function")</f>
        <v>gamma function</v>
      </c>
      <c r="C336" s="2" t="str">
        <f>IFERROR(__xludf.DUMMYFUNCTION("""COMPUTED_VALUE"""),"gamma-funktio")</f>
        <v>gamma-funktio</v>
      </c>
      <c r="D336" s="5"/>
      <c r="E336" s="5"/>
      <c r="F336" s="11"/>
      <c r="G336" s="11"/>
    </row>
    <row r="337">
      <c r="A337" s="2" t="str">
        <f>IFERROR(__xludf.DUMMYFUNCTION("""COMPUTED_VALUE"""),"generaliserad funktion, distribution")</f>
        <v>generaliserad funktion, distribution</v>
      </c>
      <c r="B337" s="2" t="str">
        <f>IFERROR(__xludf.DUMMYFUNCTION("""COMPUTED_VALUE"""),"generalized function, distribution")</f>
        <v>generalized function, distribution</v>
      </c>
      <c r="C337" s="2" t="str">
        <f>IFERROR(__xludf.DUMMYFUNCTION("""COMPUTED_VALUE"""),"distribuutio, yleistetty funktio")</f>
        <v>distribuutio, yleistetty funktio</v>
      </c>
      <c r="D337" s="5"/>
      <c r="E337" s="5"/>
      <c r="F337" s="11"/>
      <c r="G337" s="11"/>
    </row>
    <row r="338">
      <c r="A338" s="2" t="str">
        <f>IFERROR(__xludf.DUMMYFUNCTION("""COMPUTED_VALUE"""),"generalisering")</f>
        <v>generalisering</v>
      </c>
      <c r="B338" s="2" t="str">
        <f>IFERROR(__xludf.DUMMYFUNCTION("""COMPUTED_VALUE"""),"generalization")</f>
        <v>generalization</v>
      </c>
      <c r="C338" s="2" t="str">
        <f>IFERROR(__xludf.DUMMYFUNCTION("""COMPUTED_VALUE"""),"yleistys")</f>
        <v>yleistys</v>
      </c>
      <c r="D338" s="5"/>
      <c r="E338" s="5"/>
      <c r="F338" s="11"/>
      <c r="G338" s="11"/>
    </row>
    <row r="339">
      <c r="A339" s="2" t="str">
        <f>IFERROR(__xludf.DUMMYFUNCTION("""COMPUTED_VALUE"""),"generatris")</f>
        <v>generatris</v>
      </c>
      <c r="B339" s="2" t="str">
        <f>IFERROR(__xludf.DUMMYFUNCTION("""COMPUTED_VALUE"""),"generator")</f>
        <v>generator</v>
      </c>
      <c r="C339" s="2" t="str">
        <f>IFERROR(__xludf.DUMMYFUNCTION("""COMPUTED_VALUE"""),"emäsuora (kartion)")</f>
        <v>emäsuora (kartion)</v>
      </c>
      <c r="D339" s="5"/>
      <c r="E339" s="5"/>
      <c r="F339" s="11"/>
      <c r="G339" s="11"/>
    </row>
    <row r="340">
      <c r="A340" s="2" t="str">
        <f>IFERROR(__xludf.DUMMYFUNCTION("""COMPUTED_VALUE"""),"generatris")</f>
        <v>generatris</v>
      </c>
      <c r="B340" s="2" t="str">
        <f>IFERROR(__xludf.DUMMYFUNCTION("""COMPUTED_VALUE"""),"generator")</f>
        <v>generator</v>
      </c>
      <c r="C340" s="2" t="str">
        <f>IFERROR(__xludf.DUMMYFUNCTION("""COMPUTED_VALUE"""),"generaattori (infinitesimaalinen)")</f>
        <v>generaattori (infinitesimaalinen)</v>
      </c>
      <c r="D340" s="5"/>
      <c r="E340" s="5"/>
      <c r="F340" s="11"/>
      <c r="G340" s="11"/>
    </row>
    <row r="341">
      <c r="A341" s="2" t="str">
        <f>IFERROR(__xludf.DUMMYFUNCTION("""COMPUTED_VALUE"""),"genomsnitt")</f>
        <v>genomsnitt</v>
      </c>
      <c r="B341" s="2" t="str">
        <f>IFERROR(__xludf.DUMMYFUNCTION("""COMPUTED_VALUE"""),"average")</f>
        <v>average</v>
      </c>
      <c r="C341" s="2" t="str">
        <f>IFERROR(__xludf.DUMMYFUNCTION("""COMPUTED_VALUE"""),"keskiarvo")</f>
        <v>keskiarvo</v>
      </c>
      <c r="D341" s="5"/>
      <c r="E341" s="5"/>
      <c r="F341" s="11"/>
      <c r="G341" s="11"/>
    </row>
    <row r="342">
      <c r="A342" s="2" t="str">
        <f>IFERROR(__xludf.DUMMYFUNCTION("""COMPUTED_VALUE"""),"geometrisk mångfald")</f>
        <v>geometrisk mångfald</v>
      </c>
      <c r="B342" s="2" t="str">
        <f>IFERROR(__xludf.DUMMYFUNCTION("""COMPUTED_VALUE"""),"geometric multiplicity")</f>
        <v>geometric multiplicity</v>
      </c>
      <c r="C342" s="2" t="str">
        <f>IFERROR(__xludf.DUMMYFUNCTION("""COMPUTED_VALUE"""),"geometrinen kertaluku")</f>
        <v>geometrinen kertaluku</v>
      </c>
      <c r="D342" s="5"/>
      <c r="E342" s="5"/>
      <c r="F342" s="11"/>
      <c r="G342" s="11"/>
    </row>
    <row r="343">
      <c r="A343" s="2" t="str">
        <f>IFERROR(__xludf.DUMMYFUNCTION("""COMPUTED_VALUE"""),"geometrisk serie")</f>
        <v>geometrisk serie</v>
      </c>
      <c r="B343" s="2" t="str">
        <f>IFERROR(__xludf.DUMMYFUNCTION("""COMPUTED_VALUE"""),"geometric series")</f>
        <v>geometric series</v>
      </c>
      <c r="C343" s="2" t="str">
        <f>IFERROR(__xludf.DUMMYFUNCTION("""COMPUTED_VALUE"""),"geometrinen sarja")</f>
        <v>geometrinen sarja</v>
      </c>
      <c r="D343" s="5"/>
      <c r="E343" s="5"/>
      <c r="F343" s="11"/>
      <c r="G343" s="11"/>
    </row>
    <row r="344">
      <c r="A344" s="2" t="str">
        <f>IFERROR(__xludf.DUMMYFUNCTION("""COMPUTED_VALUE"""),"geometriskt medelvärde")</f>
        <v>geometriskt medelvärde</v>
      </c>
      <c r="B344" s="2" t="str">
        <f>IFERROR(__xludf.DUMMYFUNCTION("""COMPUTED_VALUE"""),"geometric mean")</f>
        <v>geometric mean</v>
      </c>
      <c r="C344" s="2" t="str">
        <f>IFERROR(__xludf.DUMMYFUNCTION("""COMPUTED_VALUE"""),"geometrinen keskiarvo")</f>
        <v>geometrinen keskiarvo</v>
      </c>
      <c r="D344" s="5"/>
      <c r="E344" s="5"/>
      <c r="F344" s="11"/>
      <c r="G344" s="11"/>
    </row>
    <row r="345">
      <c r="A345" s="2" t="str">
        <f>IFERROR(__xludf.DUMMYFUNCTION("""COMPUTED_VALUE"""),"giltig, gångbar")</f>
        <v>giltig, gångbar</v>
      </c>
      <c r="B345" s="2" t="str">
        <f>IFERROR(__xludf.DUMMYFUNCTION("""COMPUTED_VALUE"""),"feasible")</f>
        <v>feasible</v>
      </c>
      <c r="C345" s="2" t="str">
        <f>IFERROR(__xludf.DUMMYFUNCTION("""COMPUTED_VALUE"""),"käypä")</f>
        <v>käypä</v>
      </c>
      <c r="D345" s="5"/>
      <c r="E345" s="5"/>
      <c r="F345" s="11"/>
      <c r="G345" s="11"/>
    </row>
    <row r="346">
      <c r="A346" s="2" t="str">
        <f>IFERROR(__xludf.DUMMYFUNCTION("""COMPUTED_VALUE"""),"gitter")</f>
        <v>gitter</v>
      </c>
      <c r="B346" s="2" t="str">
        <f>IFERROR(__xludf.DUMMYFUNCTION("""COMPUTED_VALUE"""),"grid, lattice")</f>
        <v>grid, lattice</v>
      </c>
      <c r="C346" s="2" t="str">
        <f>IFERROR(__xludf.DUMMYFUNCTION("""COMPUTED_VALUE"""),"hila; verkko")</f>
        <v>hila; verkko</v>
      </c>
      <c r="D346" s="5"/>
      <c r="E346" s="5"/>
      <c r="F346" s="11"/>
      <c r="G346" s="11"/>
    </row>
    <row r="347">
      <c r="A347" s="2" t="str">
        <f>IFERROR(__xludf.DUMMYFUNCTION("""COMPUTED_VALUE"""),"gitter")</f>
        <v>gitter</v>
      </c>
      <c r="B347" s="2" t="str">
        <f>IFERROR(__xludf.DUMMYFUNCTION("""COMPUTED_VALUE"""),"lattice, grid")</f>
        <v>lattice, grid</v>
      </c>
      <c r="C347" s="2" t="str">
        <f>IFERROR(__xludf.DUMMYFUNCTION("""COMPUTED_VALUE"""),"hila; verkko")</f>
        <v>hila; verkko</v>
      </c>
      <c r="D347" s="5"/>
      <c r="E347" s="5"/>
      <c r="F347" s="11"/>
      <c r="G347" s="11"/>
    </row>
    <row r="348">
      <c r="A348" s="2" t="str">
        <f>IFERROR(__xludf.DUMMYFUNCTION("""COMPUTED_VALUE"""),"gles")</f>
        <v>gles</v>
      </c>
      <c r="B348" s="2" t="str">
        <f>IFERROR(__xludf.DUMMYFUNCTION("""COMPUTED_VALUE"""),"nowhere dense")</f>
        <v>nowhere dense</v>
      </c>
      <c r="C348" s="2" t="str">
        <f>IFERROR(__xludf.DUMMYFUNCTION("""COMPUTED_VALUE"""),"harva (Baire)")</f>
        <v>harva (Baire)</v>
      </c>
      <c r="D348" s="5"/>
      <c r="E348" s="5"/>
      <c r="F348" s="11"/>
      <c r="G348" s="11"/>
    </row>
    <row r="349">
      <c r="A349" s="2" t="str">
        <f>IFERROR(__xludf.DUMMYFUNCTION("""COMPUTED_VALUE"""),"gles matris")</f>
        <v>gles matris</v>
      </c>
      <c r="B349" s="2" t="str">
        <f>IFERROR(__xludf.DUMMYFUNCTION("""COMPUTED_VALUE"""),"sparse matrix")</f>
        <v>sparse matrix</v>
      </c>
      <c r="C349" s="2" t="str">
        <f>IFERROR(__xludf.DUMMYFUNCTION("""COMPUTED_VALUE"""),"harva matriisi")</f>
        <v>harva matriisi</v>
      </c>
      <c r="D349" s="5"/>
      <c r="E349" s="5"/>
      <c r="F349" s="11"/>
      <c r="G349" s="11"/>
    </row>
    <row r="350">
      <c r="A350" s="2" t="str">
        <f>IFERROR(__xludf.DUMMYFUNCTION("""COMPUTED_VALUE"""),"globalt extremvärde")</f>
        <v>globalt extremvärde</v>
      </c>
      <c r="B350" s="2" t="str">
        <f>IFERROR(__xludf.DUMMYFUNCTION("""COMPUTED_VALUE"""),"global extremum")</f>
        <v>global extremum</v>
      </c>
      <c r="C350" s="2" t="str">
        <f>IFERROR(__xludf.DUMMYFUNCTION("""COMPUTED_VALUE"""),"globaali ääriarvo")</f>
        <v>globaali ääriarvo</v>
      </c>
      <c r="D350" s="5"/>
      <c r="E350" s="5"/>
      <c r="F350" s="11"/>
      <c r="G350" s="11"/>
    </row>
    <row r="351">
      <c r="A351" s="2" t="str">
        <f>IFERROR(__xludf.DUMMYFUNCTION("""COMPUTED_VALUE"""),"grad")</f>
        <v>grad</v>
      </c>
      <c r="B351" s="2" t="str">
        <f>IFERROR(__xludf.DUMMYFUNCTION("""COMPUTED_VALUE"""),"degree")</f>
        <v>degree</v>
      </c>
      <c r="C351" s="2" t="str">
        <f>IFERROR(__xludf.DUMMYFUNCTION("""COMPUTED_VALUE"""),"aste (polynomin tms.)")</f>
        <v>aste (polynomin tms.)</v>
      </c>
      <c r="D351" s="5"/>
      <c r="E351" s="5"/>
      <c r="F351" s="11"/>
      <c r="G351" s="11"/>
    </row>
    <row r="352">
      <c r="A352" s="2" t="str">
        <f>IFERROR(__xludf.DUMMYFUNCTION("""COMPUTED_VALUE"""),"grad")</f>
        <v>grad</v>
      </c>
      <c r="B352" s="2" t="str">
        <f>IFERROR(__xludf.DUMMYFUNCTION("""COMPUTED_VALUE"""),"order")</f>
        <v>order</v>
      </c>
      <c r="C352" s="2" t="str">
        <f>IFERROR(__xludf.DUMMYFUNCTION("""COMPUTED_VALUE"""),"aste (approksimaation tms.)")</f>
        <v>aste (approksimaation tms.)</v>
      </c>
      <c r="D352" s="5"/>
      <c r="E352" s="5"/>
      <c r="F352" s="11"/>
      <c r="G352" s="11"/>
    </row>
    <row r="353">
      <c r="A353" s="2" t="str">
        <f>IFERROR(__xludf.DUMMYFUNCTION("""COMPUTED_VALUE"""),"grad")</f>
        <v>grad</v>
      </c>
      <c r="B353" s="2" t="str">
        <f>IFERROR(__xludf.DUMMYFUNCTION("""COMPUTED_VALUE"""),"order")</f>
        <v>order</v>
      </c>
      <c r="C353" s="2" t="str">
        <f>IFERROR(__xludf.DUMMYFUNCTION("""COMPUTED_VALUE"""),"kertaluku (DY:n, ryhmän, approksimaation); järjestys; järjestö (renkaan)")</f>
        <v>kertaluku (DY:n, ryhmän, approksimaation); järjestys; järjestö (renkaan)</v>
      </c>
      <c r="D353" s="5"/>
      <c r="E353" s="5"/>
      <c r="F353" s="11"/>
      <c r="G353" s="11"/>
    </row>
    <row r="354">
      <c r="A354" s="2" t="str">
        <f>IFERROR(__xludf.DUMMYFUNCTION("""COMPUTED_VALUE"""),"graderad")</f>
        <v>graderad</v>
      </c>
      <c r="B354" s="2" t="str">
        <f>IFERROR(__xludf.DUMMYFUNCTION("""COMPUTED_VALUE"""),"graded")</f>
        <v>graded</v>
      </c>
      <c r="C354" s="2" t="str">
        <f>IFERROR(__xludf.DUMMYFUNCTION("""COMPUTED_VALUE"""),"porrastettu")</f>
        <v>porrastettu</v>
      </c>
      <c r="D354" s="5"/>
      <c r="E354" s="5"/>
      <c r="F354" s="11"/>
      <c r="G354" s="11"/>
    </row>
    <row r="355">
      <c r="A355" s="2" t="str">
        <f>IFERROR(__xludf.DUMMYFUNCTION("""COMPUTED_VALUE"""),"gradient")</f>
        <v>gradient</v>
      </c>
      <c r="B355" s="2" t="str">
        <f>IFERROR(__xludf.DUMMYFUNCTION("""COMPUTED_VALUE"""),"gradient")</f>
        <v>gradient</v>
      </c>
      <c r="C355" s="2" t="str">
        <f>IFERROR(__xludf.DUMMYFUNCTION("""COMPUTED_VALUE"""),"gradientti (nabla f)")</f>
        <v>gradientti (nabla f)</v>
      </c>
      <c r="D355" s="5"/>
      <c r="E355" s="5"/>
      <c r="F355" s="11"/>
      <c r="G355" s="11"/>
    </row>
    <row r="356">
      <c r="A356" s="2" t="str">
        <f>IFERROR(__xludf.DUMMYFUNCTION("""COMPUTED_VALUE"""),"graf")</f>
        <v>graf</v>
      </c>
      <c r="B356" s="2" t="str">
        <f>IFERROR(__xludf.DUMMYFUNCTION("""COMPUTED_VALUE"""),"graph")</f>
        <v>graph</v>
      </c>
      <c r="C356" s="2" t="str">
        <f>IFERROR(__xludf.DUMMYFUNCTION("""COMPUTED_VALUE"""),"kuvaaja, graafi;piirros")</f>
        <v>kuvaaja, graafi;piirros</v>
      </c>
      <c r="D356" s="5"/>
      <c r="E356" s="5"/>
      <c r="F356" s="11"/>
      <c r="G356" s="11"/>
    </row>
    <row r="357">
      <c r="A357" s="2" t="str">
        <f>IFERROR(__xludf.DUMMYFUNCTION("""COMPUTED_VALUE"""),"grovare topologi")</f>
        <v>grovare topologi</v>
      </c>
      <c r="B357" s="2" t="str">
        <f>IFERROR(__xludf.DUMMYFUNCTION("""COMPUTED_VALUE"""),"coarser topology")</f>
        <v>coarser topology</v>
      </c>
      <c r="C357" s="2" t="str">
        <f>IFERROR(__xludf.DUMMYFUNCTION("""COMPUTED_VALUE"""),"karkeampi topologia")</f>
        <v>karkeampi topologia</v>
      </c>
      <c r="D357" s="5"/>
      <c r="E357" s="5"/>
      <c r="F357" s="11"/>
      <c r="G357" s="11"/>
    </row>
    <row r="358">
      <c r="A358" s="2" t="str">
        <f>IFERROR(__xludf.DUMMYFUNCTION("""COMPUTED_VALUE"""),"grundmängd")</f>
        <v>grundmängd</v>
      </c>
      <c r="B358" s="2" t="str">
        <f>IFERROR(__xludf.DUMMYFUNCTION("""COMPUTED_VALUE"""),"fundamental group")</f>
        <v>fundamental group</v>
      </c>
      <c r="C358" s="2" t="str">
        <f>IFERROR(__xludf.DUMMYFUNCTION("""COMPUTED_VALUE"""),"perusryhmä")</f>
        <v>perusryhmä</v>
      </c>
      <c r="D358" s="5"/>
      <c r="E358" s="5"/>
      <c r="F358" s="11"/>
      <c r="G358" s="11"/>
    </row>
    <row r="359">
      <c r="A359" s="2" t="str">
        <f>IFERROR(__xludf.DUMMYFUNCTION("""COMPUTED_VALUE"""),"grundmängd")</f>
        <v>grundmängd</v>
      </c>
      <c r="B359" s="2" t="str">
        <f>IFERROR(__xludf.DUMMYFUNCTION("""COMPUTED_VALUE"""),"universe")</f>
        <v>universe</v>
      </c>
      <c r="C359" s="2" t="str">
        <f>IFERROR(__xludf.DUMMYFUNCTION("""COMPUTED_VALUE"""),"perusjoukko")</f>
        <v>perusjoukko</v>
      </c>
      <c r="D359" s="5"/>
      <c r="E359" s="5"/>
      <c r="F359" s="11"/>
      <c r="G359" s="11"/>
    </row>
    <row r="360">
      <c r="A360" s="2" t="str">
        <f>IFERROR(__xludf.DUMMYFUNCTION("""COMPUTED_VALUE"""),"grupp")</f>
        <v>grupp</v>
      </c>
      <c r="B360" s="2" t="str">
        <f>IFERROR(__xludf.DUMMYFUNCTION("""COMPUTED_VALUE"""),"group")</f>
        <v>group</v>
      </c>
      <c r="C360" s="2" t="str">
        <f>IFERROR(__xludf.DUMMYFUNCTION("""COMPUTED_VALUE"""),"ryhmä")</f>
        <v>ryhmä</v>
      </c>
      <c r="D360" s="5"/>
      <c r="E360" s="5"/>
      <c r="F360" s="11"/>
      <c r="G360" s="11"/>
    </row>
    <row r="361">
      <c r="A361" s="2" t="str">
        <f>IFERROR(__xludf.DUMMYFUNCTION("""COMPUTED_VALUE"""),"gränsvärde")</f>
        <v>gränsvärde</v>
      </c>
      <c r="B361" s="2" t="str">
        <f>IFERROR(__xludf.DUMMYFUNCTION("""COMPUTED_VALUE"""),"limit")</f>
        <v>limit</v>
      </c>
      <c r="C361" s="2" t="str">
        <f>IFERROR(__xludf.DUMMYFUNCTION("""COMPUTED_VALUE"""),"raja-arvo")</f>
        <v>raja-arvo</v>
      </c>
      <c r="D361" s="5"/>
      <c r="E361" s="5"/>
      <c r="F361" s="11"/>
      <c r="G361" s="11"/>
    </row>
    <row r="362">
      <c r="A362" s="2" t="str">
        <f>IFERROR(__xludf.DUMMYFUNCTION("""COMPUTED_VALUE"""),"gynnsam elementärhändelse")</f>
        <v>gynnsam elementärhändelse</v>
      </c>
      <c r="B362" s="2" t="str">
        <f>IFERROR(__xludf.DUMMYFUNCTION("""COMPUTED_VALUE"""),"favourable elementary event")</f>
        <v>favourable elementary event</v>
      </c>
      <c r="C362" s="2" t="str">
        <f>IFERROR(__xludf.DUMMYFUNCTION("""COMPUTED_VALUE"""),"suotuisa alkeistapaus")</f>
        <v>suotuisa alkeistapaus</v>
      </c>
      <c r="D362" s="5"/>
      <c r="E362" s="5"/>
      <c r="F362" s="11"/>
      <c r="G362" s="11"/>
    </row>
    <row r="363">
      <c r="A363" s="2" t="str">
        <f>IFERROR(__xludf.DUMMYFUNCTION("""COMPUTED_VALUE"""),"halveringstid")</f>
        <v>halveringstid</v>
      </c>
      <c r="B363" s="2" t="str">
        <f>IFERROR(__xludf.DUMMYFUNCTION("""COMPUTED_VALUE"""),"half-life")</f>
        <v>half-life</v>
      </c>
      <c r="C363" s="2" t="str">
        <f>IFERROR(__xludf.DUMMYFUNCTION("""COMPUTED_VALUE"""),"puoliintumisaika")</f>
        <v>puoliintumisaika</v>
      </c>
      <c r="D363" s="5"/>
      <c r="E363" s="5"/>
      <c r="F363" s="11"/>
      <c r="G363" s="11"/>
    </row>
    <row r="364">
      <c r="A364" s="2" t="str">
        <f>IFERROR(__xludf.DUMMYFUNCTION("""COMPUTED_VALUE"""),"halvklot")</f>
        <v>halvklot</v>
      </c>
      <c r="B364" s="2" t="str">
        <f>IFERROR(__xludf.DUMMYFUNCTION("""COMPUTED_VALUE"""),"hemisphere")</f>
        <v>hemisphere</v>
      </c>
      <c r="C364" s="2" t="str">
        <f>IFERROR(__xludf.DUMMYFUNCTION("""COMPUTED_VALUE"""),"puolipallo")</f>
        <v>puolipallo</v>
      </c>
      <c r="D364" s="5"/>
      <c r="E364" s="5"/>
      <c r="F364" s="11"/>
      <c r="G364" s="11"/>
    </row>
    <row r="365">
      <c r="A365" s="2" t="str">
        <f>IFERROR(__xludf.DUMMYFUNCTION("""COMPUTED_VALUE"""),"halvöppet intervall")</f>
        <v>halvöppet intervall</v>
      </c>
      <c r="B365" s="2" t="str">
        <f>IFERROR(__xludf.DUMMYFUNCTION("""COMPUTED_VALUE"""),"half-open interval")</f>
        <v>half-open interval</v>
      </c>
      <c r="C365" s="2" t="str">
        <f>IFERROR(__xludf.DUMMYFUNCTION("""COMPUTED_VALUE"""),"puoliavoin väli")</f>
        <v>puoliavoin väli</v>
      </c>
      <c r="D365" s="5"/>
      <c r="E365" s="5"/>
      <c r="F365" s="11"/>
      <c r="G365" s="11"/>
    </row>
    <row r="366">
      <c r="A366" s="2" t="str">
        <f>IFERROR(__xludf.DUMMYFUNCTION("""COMPUTED_VALUE"""),"harmonisk")</f>
        <v>harmonisk</v>
      </c>
      <c r="B366" s="2" t="str">
        <f>IFERROR(__xludf.DUMMYFUNCTION("""COMPUTED_VALUE"""),"harmonic")</f>
        <v>harmonic</v>
      </c>
      <c r="C366" s="2" t="str">
        <f>IFERROR(__xludf.DUMMYFUNCTION("""COMPUTED_VALUE"""),"harmoninen")</f>
        <v>harmoninen</v>
      </c>
      <c r="D366" s="5"/>
      <c r="E366" s="5"/>
      <c r="F366" s="11"/>
      <c r="G366" s="11"/>
    </row>
    <row r="367">
      <c r="A367" s="2" t="str">
        <f>IFERROR(__xludf.DUMMYFUNCTION("""COMPUTED_VALUE"""),"hastighet")</f>
        <v>hastighet</v>
      </c>
      <c r="B367" s="2" t="str">
        <f>IFERROR(__xludf.DUMMYFUNCTION("""COMPUTED_VALUE"""),"velocity")</f>
        <v>velocity</v>
      </c>
      <c r="C367" s="2" t="str">
        <f>IFERROR(__xludf.DUMMYFUNCTION("""COMPUTED_VALUE"""),"nopeus")</f>
        <v>nopeus</v>
      </c>
      <c r="D367" s="5"/>
      <c r="E367" s="5"/>
      <c r="F367" s="11"/>
      <c r="G367" s="11"/>
    </row>
    <row r="368">
      <c r="A368" s="2" t="str">
        <f>IFERROR(__xludf.DUMMYFUNCTION("""COMPUTED_VALUE"""),"hel funktion")</f>
        <v>hel funktion</v>
      </c>
      <c r="B368" s="2" t="str">
        <f>IFERROR(__xludf.DUMMYFUNCTION("""COMPUTED_VALUE"""),"entire function")</f>
        <v>entire function</v>
      </c>
      <c r="C368" s="2" t="str">
        <f>IFERROR(__xludf.DUMMYFUNCTION("""COMPUTED_VALUE"""),"kokonainen funktio")</f>
        <v>kokonainen funktio</v>
      </c>
      <c r="D368" s="5"/>
      <c r="E368" s="5"/>
      <c r="F368" s="11"/>
      <c r="G368" s="11"/>
    </row>
    <row r="369">
      <c r="A369" s="2" t="str">
        <f>IFERROR(__xludf.DUMMYFUNCTION("""COMPUTED_VALUE"""),"helhetsderivata")</f>
        <v>helhetsderivata</v>
      </c>
      <c r="B369" s="2" t="str">
        <f>IFERROR(__xludf.DUMMYFUNCTION("""COMPUTED_VALUE"""),"total derivative")</f>
        <v>total derivative</v>
      </c>
      <c r="C369" s="2" t="str">
        <f>IFERROR(__xludf.DUMMYFUNCTION("""COMPUTED_VALUE"""),"kokonaisderivaatta")</f>
        <v>kokonaisderivaatta</v>
      </c>
      <c r="D369" s="5"/>
      <c r="E369" s="5"/>
      <c r="F369" s="11"/>
      <c r="G369" s="11"/>
    </row>
    <row r="370">
      <c r="A370" s="2" t="str">
        <f>IFERROR(__xludf.DUMMYFUNCTION("""COMPUTED_VALUE"""),"heltal")</f>
        <v>heltal</v>
      </c>
      <c r="B370" s="2" t="str">
        <f>IFERROR(__xludf.DUMMYFUNCTION("""COMPUTED_VALUE"""),"integer")</f>
        <v>integer</v>
      </c>
      <c r="C370" s="2" t="str">
        <f>IFERROR(__xludf.DUMMYFUNCTION("""COMPUTED_VALUE"""),"kokonaisluku, kokonais-")</f>
        <v>kokonaisluku, kokonais-</v>
      </c>
      <c r="D370" s="5"/>
      <c r="E370" s="5"/>
      <c r="F370" s="11"/>
      <c r="G370" s="11"/>
    </row>
    <row r="371">
      <c r="A371" s="2" t="str">
        <f>IFERROR(__xludf.DUMMYFUNCTION("""COMPUTED_VALUE"""),"Hermitesk")</f>
        <v>Hermitesk</v>
      </c>
      <c r="B371" s="2" t="str">
        <f>IFERROR(__xludf.DUMMYFUNCTION("""COMPUTED_VALUE"""),"hermitian")</f>
        <v>hermitian</v>
      </c>
      <c r="C371" s="2" t="str">
        <f>IFERROR(__xludf.DUMMYFUNCTION("""COMPUTED_VALUE"""),"hermiittinen, Hermiten")</f>
        <v>hermiittinen, Hermiten</v>
      </c>
      <c r="D371" s="5"/>
      <c r="E371" s="5"/>
      <c r="F371" s="11"/>
      <c r="G371" s="11"/>
    </row>
    <row r="372">
      <c r="A372" s="2" t="str">
        <f>IFERROR(__xludf.DUMMYFUNCTION("""COMPUTED_VALUE"""),"hexadecimaltal")</f>
        <v>hexadecimaltal</v>
      </c>
      <c r="B372" s="2" t="str">
        <f>IFERROR(__xludf.DUMMYFUNCTION("""COMPUTED_VALUE"""),"hexadecimal number")</f>
        <v>hexadecimal number</v>
      </c>
      <c r="C372" s="2" t="str">
        <f>IFERROR(__xludf.DUMMYFUNCTION("""COMPUTED_VALUE"""),"heksadesimaaliluku")</f>
        <v>heksadesimaaliluku</v>
      </c>
      <c r="D372" s="5"/>
      <c r="E372" s="5"/>
      <c r="F372" s="11"/>
      <c r="G372" s="11"/>
    </row>
    <row r="373">
      <c r="A373" s="2" t="str">
        <f>IFERROR(__xludf.DUMMYFUNCTION("""COMPUTED_VALUE"""),"Hilbert-bas")</f>
        <v>Hilbert-bas</v>
      </c>
      <c r="B373" s="2" t="str">
        <f>IFERROR(__xludf.DUMMYFUNCTION("""COMPUTED_VALUE"""),"Hilbert basis")</f>
        <v>Hilbert basis</v>
      </c>
      <c r="C373" s="2" t="str">
        <f>IFERROR(__xludf.DUMMYFUNCTION("""COMPUTED_VALUE"""),"Hilbert-kanta")</f>
        <v>Hilbert-kanta</v>
      </c>
      <c r="D373" s="5"/>
      <c r="E373" s="5"/>
      <c r="F373" s="11"/>
      <c r="G373" s="11"/>
    </row>
    <row r="374">
      <c r="A374" s="2" t="str">
        <f>IFERROR(__xludf.DUMMYFUNCTION("""COMPUTED_VALUE"""),"Hilbert-dimension")</f>
        <v>Hilbert-dimension</v>
      </c>
      <c r="B374" s="2" t="str">
        <f>IFERROR(__xludf.DUMMYFUNCTION("""COMPUTED_VALUE"""),"Hilbert dimension")</f>
        <v>Hilbert dimension</v>
      </c>
      <c r="C374" s="2" t="str">
        <f>IFERROR(__xludf.DUMMYFUNCTION("""COMPUTED_VALUE"""),"Hilbert-dimensio (max. vektoridimensio)")</f>
        <v>Hilbert-dimensio (max. vektoridimensio)</v>
      </c>
      <c r="D374" s="5"/>
      <c r="E374" s="5"/>
      <c r="F374" s="11"/>
      <c r="G374" s="11"/>
    </row>
    <row r="375">
      <c r="A375" s="2" t="str">
        <f>IFERROR(__xludf.DUMMYFUNCTION("""COMPUTED_VALUE"""),"Hilbert-rum")</f>
        <v>Hilbert-rum</v>
      </c>
      <c r="B375" s="2" t="str">
        <f>IFERROR(__xludf.DUMMYFUNCTION("""COMPUTED_VALUE"""),"Hilbert space")</f>
        <v>Hilbert space</v>
      </c>
      <c r="C375" s="2" t="str">
        <f>IFERROR(__xludf.DUMMYFUNCTION("""COMPUTED_VALUE"""),"Hilbert-avaruus")</f>
        <v>Hilbert-avaruus</v>
      </c>
      <c r="D375" s="5"/>
      <c r="E375" s="5"/>
      <c r="F375" s="11"/>
      <c r="G375" s="11"/>
    </row>
    <row r="376">
      <c r="A376" s="2" t="str">
        <f>IFERROR(__xludf.DUMMYFUNCTION("""COMPUTED_VALUE"""),"hinder")</f>
        <v>hinder</v>
      </c>
      <c r="B376" s="2" t="str">
        <f>IFERROR(__xludf.DUMMYFUNCTION("""COMPUTED_VALUE"""),"obstruction")</f>
        <v>obstruction</v>
      </c>
      <c r="C376" s="2" t="str">
        <f>IFERROR(__xludf.DUMMYFUNCTION("""COMPUTED_VALUE"""),"este")</f>
        <v>este</v>
      </c>
      <c r="D376" s="5"/>
      <c r="E376" s="5"/>
      <c r="F376" s="11"/>
      <c r="G376" s="11"/>
    </row>
    <row r="377">
      <c r="A377" s="2" t="str">
        <f>IFERROR(__xludf.DUMMYFUNCTION("""COMPUTED_VALUE"""),"holomorfisk, analytisk")</f>
        <v>holomorfisk, analytisk</v>
      </c>
      <c r="B377" s="2" t="str">
        <f>IFERROR(__xludf.DUMMYFUNCTION("""COMPUTED_VALUE"""),"holomorphic, analytic")</f>
        <v>holomorphic, analytic</v>
      </c>
      <c r="C377" s="2" t="str">
        <f>IFERROR(__xludf.DUMMYFUNCTION("""COMPUTED_VALUE"""),"holomorfinen, analyyttinen")</f>
        <v>holomorfinen, analyyttinen</v>
      </c>
      <c r="D377" s="5"/>
      <c r="E377" s="5"/>
      <c r="F377" s="11"/>
      <c r="G377" s="11"/>
    </row>
    <row r="378">
      <c r="A378" s="2" t="str">
        <f>IFERROR(__xludf.DUMMYFUNCTION("""COMPUTED_VALUE"""),"homogen")</f>
        <v>homogen</v>
      </c>
      <c r="B378" s="2" t="str">
        <f>IFERROR(__xludf.DUMMYFUNCTION("""COMPUTED_VALUE"""),"homogeneous")</f>
        <v>homogeneous</v>
      </c>
      <c r="C378" s="2" t="str">
        <f>IFERROR(__xludf.DUMMYFUNCTION("""COMPUTED_VALUE"""),"homogeeninen")</f>
        <v>homogeeninen</v>
      </c>
      <c r="D378" s="5"/>
      <c r="E378" s="5"/>
      <c r="F378" s="11"/>
      <c r="G378" s="11"/>
    </row>
    <row r="379">
      <c r="A379" s="2" t="str">
        <f>IFERROR(__xludf.DUMMYFUNCTION("""COMPUTED_VALUE"""),"homologi")</f>
        <v>homologi</v>
      </c>
      <c r="B379" s="2" t="str">
        <f>IFERROR(__xludf.DUMMYFUNCTION("""COMPUTED_VALUE"""),"homology")</f>
        <v>homology</v>
      </c>
      <c r="C379" s="2" t="str">
        <f>IFERROR(__xludf.DUMMYFUNCTION("""COMPUTED_VALUE"""),"homologia")</f>
        <v>homologia</v>
      </c>
      <c r="D379" s="5"/>
      <c r="E379" s="5"/>
      <c r="F379" s="11"/>
      <c r="G379" s="11"/>
    </row>
    <row r="380">
      <c r="A380" s="2" t="str">
        <f>IFERROR(__xludf.DUMMYFUNCTION("""COMPUTED_VALUE"""),"homomorfism")</f>
        <v>homomorfism</v>
      </c>
      <c r="B380" s="2" t="str">
        <f>IFERROR(__xludf.DUMMYFUNCTION("""COMPUTED_VALUE"""),"homomorphism")</f>
        <v>homomorphism</v>
      </c>
      <c r="C380" s="2" t="str">
        <f>IFERROR(__xludf.DUMMYFUNCTION("""COMPUTED_VALUE"""),"homomorfismi, homomorfia")</f>
        <v>homomorfismi, homomorfia</v>
      </c>
      <c r="D380" s="5"/>
      <c r="E380" s="5"/>
      <c r="F380" s="11"/>
      <c r="G380" s="11"/>
    </row>
    <row r="381">
      <c r="A381" s="2" t="str">
        <f>IFERROR(__xludf.DUMMYFUNCTION("""COMPUTED_VALUE"""),"homotopi")</f>
        <v>homotopi</v>
      </c>
      <c r="B381" s="2" t="str">
        <f>IFERROR(__xludf.DUMMYFUNCTION("""COMPUTED_VALUE"""),"homotopy")</f>
        <v>homotopy</v>
      </c>
      <c r="C381" s="2" t="str">
        <f>IFERROR(__xludf.DUMMYFUNCTION("""COMPUTED_VALUE"""),"homotopia")</f>
        <v>homotopia</v>
      </c>
      <c r="D381" s="5"/>
      <c r="E381" s="5"/>
      <c r="F381" s="11"/>
      <c r="G381" s="11"/>
    </row>
    <row r="382">
      <c r="A382" s="2" t="str">
        <f>IFERROR(__xludf.DUMMYFUNCTION("""COMPUTED_VALUE"""),"hopningspunkt")</f>
        <v>hopningspunkt</v>
      </c>
      <c r="B382" s="2" t="str">
        <f>IFERROR(__xludf.DUMMYFUNCTION("""COMPUTED_VALUE"""),"accumulation point")</f>
        <v>accumulation point</v>
      </c>
      <c r="C382" s="2" t="str">
        <f>IFERROR(__xludf.DUMMYFUNCTION("""COMPUTED_VALUE"""),"kasautumispiste")</f>
        <v>kasautumispiste</v>
      </c>
      <c r="D382" s="5"/>
      <c r="E382" s="5"/>
      <c r="F382" s="11"/>
      <c r="G382" s="11"/>
    </row>
    <row r="383">
      <c r="A383" s="2" t="str">
        <f>IFERROR(__xludf.DUMMYFUNCTION("""COMPUTED_VALUE"""),"hopningspunkt")</f>
        <v>hopningspunkt</v>
      </c>
      <c r="B383" s="2" t="str">
        <f>IFERROR(__xludf.DUMMYFUNCTION("""COMPUTED_VALUE"""),"cluster point")</f>
        <v>cluster point</v>
      </c>
      <c r="C383" s="2" t="str">
        <f>IFERROR(__xludf.DUMMYFUNCTION("""COMPUTED_VALUE"""),"kasautumispiste")</f>
        <v>kasautumispiste</v>
      </c>
      <c r="D383" s="5"/>
      <c r="E383" s="5"/>
      <c r="F383" s="11"/>
      <c r="G383" s="11"/>
    </row>
    <row r="384">
      <c r="A384" s="2" t="str">
        <f>IFERROR(__xludf.DUMMYFUNCTION("""COMPUTED_VALUE"""),"hopningspunkt")</f>
        <v>hopningspunkt</v>
      </c>
      <c r="B384" s="2" t="str">
        <f>IFERROR(__xludf.DUMMYFUNCTION("""COMPUTED_VALUE"""),"limit point")</f>
        <v>limit point</v>
      </c>
      <c r="C384" s="2" t="str">
        <f>IFERROR(__xludf.DUMMYFUNCTION("""COMPUTED_VALUE"""),"kasautumispiste")</f>
        <v>kasautumispiste</v>
      </c>
      <c r="D384" s="5"/>
      <c r="E384" s="5"/>
      <c r="F384" s="11"/>
      <c r="G384" s="11"/>
    </row>
    <row r="385">
      <c r="A385" s="2" t="str">
        <f>IFERROR(__xludf.DUMMYFUNCTION("""COMPUTED_VALUE"""),"horisontell")</f>
        <v>horisontell</v>
      </c>
      <c r="B385" s="2" t="str">
        <f>IFERROR(__xludf.DUMMYFUNCTION("""COMPUTED_VALUE"""),"horizontal")</f>
        <v>horizontal</v>
      </c>
      <c r="C385" s="2" t="str">
        <f>IFERROR(__xludf.DUMMYFUNCTION("""COMPUTED_VALUE"""),"vaakasuora")</f>
        <v>vaakasuora</v>
      </c>
      <c r="D385" s="5"/>
      <c r="E385" s="5"/>
      <c r="F385" s="11"/>
      <c r="G385" s="11"/>
    </row>
    <row r="386">
      <c r="A386" s="2" t="str">
        <f>IFERROR(__xludf.DUMMYFUNCTION("""COMPUTED_VALUE"""),"huvudaxel")</f>
        <v>huvudaxel</v>
      </c>
      <c r="B386" s="2" t="str">
        <f>IFERROR(__xludf.DUMMYFUNCTION("""COMPUTED_VALUE"""),"principal axis")</f>
        <v>principal axis</v>
      </c>
      <c r="C386" s="2" t="str">
        <f>IFERROR(__xludf.DUMMYFUNCTION("""COMPUTED_VALUE"""),"pääakseli")</f>
        <v>pääakseli</v>
      </c>
      <c r="D386" s="5"/>
      <c r="E386" s="5"/>
      <c r="F386" s="11"/>
      <c r="G386" s="11"/>
    </row>
    <row r="387">
      <c r="A387" s="2" t="str">
        <f>IFERROR(__xludf.DUMMYFUNCTION("""COMPUTED_VALUE"""),"huvudnormal")</f>
        <v>huvudnormal</v>
      </c>
      <c r="B387" s="2" t="str">
        <f>IFERROR(__xludf.DUMMYFUNCTION("""COMPUTED_VALUE"""),"principal normal")</f>
        <v>principal normal</v>
      </c>
      <c r="C387" s="2" t="str">
        <f>IFERROR(__xludf.DUMMYFUNCTION("""COMPUTED_VALUE"""),"päänormaali")</f>
        <v>päänormaali</v>
      </c>
      <c r="D387" s="5"/>
      <c r="E387" s="5"/>
      <c r="F387" s="11"/>
      <c r="G387" s="11"/>
    </row>
    <row r="388">
      <c r="A388" s="2" t="str">
        <f>IFERROR(__xludf.DUMMYFUNCTION("""COMPUTED_VALUE"""),"hyperbel")</f>
        <v>hyperbel</v>
      </c>
      <c r="B388" s="2" t="str">
        <f>IFERROR(__xludf.DUMMYFUNCTION("""COMPUTED_VALUE"""),"hyperbola")</f>
        <v>hyperbola</v>
      </c>
      <c r="C388" s="2" t="str">
        <f>IFERROR(__xludf.DUMMYFUNCTION("""COMPUTED_VALUE"""),"hyperbeli")</f>
        <v>hyperbeli</v>
      </c>
      <c r="D388" s="5"/>
      <c r="E388" s="5"/>
      <c r="F388" s="11"/>
      <c r="G388" s="11"/>
    </row>
    <row r="389">
      <c r="A389" s="2" t="str">
        <f>IFERROR(__xludf.DUMMYFUNCTION("""COMPUTED_VALUE"""),"hyperbolisk")</f>
        <v>hyperbolisk</v>
      </c>
      <c r="B389" s="2" t="str">
        <f>IFERROR(__xludf.DUMMYFUNCTION("""COMPUTED_VALUE"""),"hyperbolic")</f>
        <v>hyperbolic</v>
      </c>
      <c r="C389" s="2" t="str">
        <f>IFERROR(__xludf.DUMMYFUNCTION("""COMPUTED_VALUE"""),"hyperbolinen")</f>
        <v>hyperbolinen</v>
      </c>
      <c r="D389" s="5"/>
      <c r="E389" s="5"/>
      <c r="F389" s="11"/>
      <c r="G389" s="11"/>
    </row>
    <row r="390">
      <c r="A390" s="2" t="str">
        <f>IFERROR(__xludf.DUMMYFUNCTION("""COMPUTED_VALUE"""),"hyperbolisk sinus")</f>
        <v>hyperbolisk sinus</v>
      </c>
      <c r="B390" s="2" t="str">
        <f>IFERROR(__xludf.DUMMYFUNCTION("""COMPUTED_VALUE"""),"hyperbolic sine")</f>
        <v>hyperbolic sine</v>
      </c>
      <c r="C390" s="2" t="str">
        <f>IFERROR(__xludf.DUMMYFUNCTION("""COMPUTED_VALUE"""),"hyperbolinen sini")</f>
        <v>hyperbolinen sini</v>
      </c>
      <c r="D390" s="5"/>
      <c r="E390" s="5"/>
      <c r="F390" s="11"/>
      <c r="G390" s="11"/>
    </row>
    <row r="391">
      <c r="A391" s="2" t="str">
        <f>IFERROR(__xludf.DUMMYFUNCTION("""COMPUTED_VALUE"""),"hyperplan")</f>
        <v>hyperplan</v>
      </c>
      <c r="B391" s="2" t="str">
        <f>IFERROR(__xludf.DUMMYFUNCTION("""COMPUTED_VALUE"""),"hyperplane")</f>
        <v>hyperplane</v>
      </c>
      <c r="C391" s="2" t="str">
        <f>IFERROR(__xludf.DUMMYFUNCTION("""COMPUTED_VALUE"""),"hypertaso")</f>
        <v>hypertaso</v>
      </c>
      <c r="D391" s="5"/>
      <c r="E391" s="5"/>
      <c r="F391" s="11"/>
      <c r="G391" s="11"/>
    </row>
    <row r="392">
      <c r="A392" s="2" t="str">
        <f>IFERROR(__xludf.DUMMYFUNCTION("""COMPUTED_VALUE"""),"hypotenusa (-n)")</f>
        <v>hypotenusa (-n)</v>
      </c>
      <c r="B392" s="2" t="str">
        <f>IFERROR(__xludf.DUMMYFUNCTION("""COMPUTED_VALUE"""),"hypotenuse")</f>
        <v>hypotenuse</v>
      </c>
      <c r="C392" s="2" t="str">
        <f>IFERROR(__xludf.DUMMYFUNCTION("""COMPUTED_VALUE"""),"hypotenuusa (suorak. kolmion pisin sivu)")</f>
        <v>hypotenuusa (suorak. kolmion pisin sivu)</v>
      </c>
      <c r="D392" s="5"/>
      <c r="E392" s="5"/>
      <c r="F392" s="11"/>
      <c r="G392" s="11"/>
    </row>
    <row r="393">
      <c r="A393" s="2" t="str">
        <f>IFERROR(__xludf.DUMMYFUNCTION("""COMPUTED_VALUE"""),"hävbar singularitet")</f>
        <v>hävbar singularitet</v>
      </c>
      <c r="B393" s="2" t="str">
        <f>IFERROR(__xludf.DUMMYFUNCTION("""COMPUTED_VALUE"""),"removable singularity")</f>
        <v>removable singularity</v>
      </c>
      <c r="C393" s="2" t="str">
        <f>IFERROR(__xludf.DUMMYFUNCTION("""COMPUTED_VALUE"""),"poistuva erikoispiste")</f>
        <v>poistuva erikoispiste</v>
      </c>
      <c r="D393" s="5"/>
      <c r="E393" s="5"/>
      <c r="F393" s="11"/>
      <c r="G393" s="11"/>
    </row>
    <row r="394">
      <c r="A394" s="2" t="str">
        <f>IFERROR(__xludf.DUMMYFUNCTION("""COMPUTED_VALUE"""),"högerderivata")</f>
        <v>högerderivata</v>
      </c>
      <c r="B394" s="2" t="str">
        <f>IFERROR(__xludf.DUMMYFUNCTION("""COMPUTED_VALUE"""),"right derivative, right-hand derivative")</f>
        <v>right derivative, right-hand derivative</v>
      </c>
      <c r="C394" s="2" t="str">
        <f>IFERROR(__xludf.DUMMYFUNCTION("""COMPUTED_VALUE"""),"oikeanpuoleinen derivaatta")</f>
        <v>oikeanpuoleinen derivaatta</v>
      </c>
      <c r="D394" s="5"/>
      <c r="E394" s="5"/>
      <c r="F394" s="11"/>
      <c r="G394" s="11"/>
    </row>
    <row r="395">
      <c r="A395" s="2" t="str">
        <f>IFERROR(__xludf.DUMMYFUNCTION("""COMPUTED_VALUE"""),"högergränsvärde")</f>
        <v>högergränsvärde</v>
      </c>
      <c r="B395" s="2" t="str">
        <f>IFERROR(__xludf.DUMMYFUNCTION("""COMPUTED_VALUE"""),"right limit, right-hand limit")</f>
        <v>right limit, right-hand limit</v>
      </c>
      <c r="C395" s="2" t="str">
        <f>IFERROR(__xludf.DUMMYFUNCTION("""COMPUTED_VALUE"""),"oikeanpuoleinen limit")</f>
        <v>oikeanpuoleinen limit</v>
      </c>
      <c r="D395" s="5"/>
      <c r="E395" s="5"/>
      <c r="F395" s="11"/>
      <c r="G395" s="11"/>
    </row>
    <row r="396">
      <c r="A396" s="2" t="str">
        <f>IFERROR(__xludf.DUMMYFUNCTION("""COMPUTED_VALUE"""),"höjd")</f>
        <v>höjd</v>
      </c>
      <c r="B396" s="2" t="str">
        <f>IFERROR(__xludf.DUMMYFUNCTION("""COMPUTED_VALUE"""),"height")</f>
        <v>height</v>
      </c>
      <c r="C396" s="2" t="str">
        <f>IFERROR(__xludf.DUMMYFUNCTION("""COMPUTED_VALUE"""),"korkeus")</f>
        <v>korkeus</v>
      </c>
      <c r="D396" s="5"/>
      <c r="E396" s="5"/>
      <c r="F396" s="11"/>
      <c r="G396" s="11"/>
    </row>
    <row r="397">
      <c r="A397" s="2" t="str">
        <f>IFERROR(__xludf.DUMMYFUNCTION("""COMPUTED_VALUE"""),"höjdkurva, kontur")</f>
        <v>höjdkurva, kontur</v>
      </c>
      <c r="B397" s="2" t="str">
        <f>IFERROR(__xludf.DUMMYFUNCTION("""COMPUTED_VALUE"""),"level curve, contour")</f>
        <v>level curve, contour</v>
      </c>
      <c r="C397" s="2" t="str">
        <f>IFERROR(__xludf.DUMMYFUNCTION("""COMPUTED_VALUE"""),"tasa-arvokäyrä")</f>
        <v>tasa-arvokäyrä</v>
      </c>
      <c r="D397" s="5"/>
      <c r="E397" s="5"/>
      <c r="F397" s="11"/>
      <c r="G397" s="11"/>
    </row>
    <row r="398">
      <c r="A398" s="2" t="str">
        <f>IFERROR(__xludf.DUMMYFUNCTION("""COMPUTED_VALUE"""),"höjdyta")</f>
        <v>höjdyta</v>
      </c>
      <c r="B398" s="2" t="str">
        <f>IFERROR(__xludf.DUMMYFUNCTION("""COMPUTED_VALUE"""),"level surface")</f>
        <v>level surface</v>
      </c>
      <c r="C398" s="2" t="str">
        <f>IFERROR(__xludf.DUMMYFUNCTION("""COMPUTED_VALUE"""),"tasa-arvopinta")</f>
        <v>tasa-arvopinta</v>
      </c>
      <c r="D398" s="5"/>
      <c r="E398" s="5"/>
      <c r="F398" s="11"/>
      <c r="G398" s="11"/>
    </row>
    <row r="399">
      <c r="A399" s="2" t="str">
        <f>IFERROR(__xludf.DUMMYFUNCTION("""COMPUTED_VALUE"""),"hörn")</f>
        <v>hörn</v>
      </c>
      <c r="B399" s="2" t="str">
        <f>IFERROR(__xludf.DUMMYFUNCTION("""COMPUTED_VALUE"""),"corner")</f>
        <v>corner</v>
      </c>
      <c r="C399" s="2" t="str">
        <f>IFERROR(__xludf.DUMMYFUNCTION("""COMPUTED_VALUE"""),"nurkka")</f>
        <v>nurkka</v>
      </c>
      <c r="D399" s="5"/>
      <c r="E399" s="5"/>
      <c r="F399" s="11"/>
      <c r="G399" s="11"/>
    </row>
    <row r="400">
      <c r="A400" s="2" t="str">
        <f>IFERROR(__xludf.DUMMYFUNCTION("""COMPUTED_VALUE"""),"i avseende å")</f>
        <v>i avseende å</v>
      </c>
      <c r="B400" s="2" t="str">
        <f>IFERROR(__xludf.DUMMYFUNCTION("""COMPUTED_VALUE"""),"sense")</f>
        <v>sense</v>
      </c>
      <c r="C400" s="2" t="str">
        <f>IFERROR(__xludf.DUMMYFUNCTION("""COMPUTED_VALUE"""),"mielessä (L2-sense L2-mielessä tms.)")</f>
        <v>mielessä (L2-sense L2-mielessä tms.)</v>
      </c>
      <c r="D400" s="5"/>
      <c r="E400" s="5"/>
      <c r="F400" s="11"/>
      <c r="G400" s="11"/>
    </row>
    <row r="401">
      <c r="A401" s="2" t="str">
        <f>IFERROR(__xludf.DUMMYFUNCTION("""COMPUTED_VALUE"""),"icke tom")</f>
        <v>icke tom</v>
      </c>
      <c r="B401" s="2" t="str">
        <f>IFERROR(__xludf.DUMMYFUNCTION("""COMPUTED_VALUE"""),"nonempty")</f>
        <v>nonempty</v>
      </c>
      <c r="C401" s="2" t="str">
        <f>IFERROR(__xludf.DUMMYFUNCTION("""COMPUTED_VALUE"""),"epätyhjä")</f>
        <v>epätyhjä</v>
      </c>
      <c r="D401" s="5"/>
      <c r="E401" s="5"/>
      <c r="F401" s="11"/>
      <c r="G401" s="11"/>
    </row>
    <row r="402">
      <c r="A402" s="2" t="str">
        <f>IFERROR(__xludf.DUMMYFUNCTION("""COMPUTED_VALUE"""),"icke trivial")</f>
        <v>icke trivial</v>
      </c>
      <c r="B402" s="2" t="str">
        <f>IFERROR(__xludf.DUMMYFUNCTION("""COMPUTED_VALUE"""),"nontrivial")</f>
        <v>nontrivial</v>
      </c>
      <c r="C402" s="2" t="str">
        <f>IFERROR(__xludf.DUMMYFUNCTION("""COMPUTED_VALUE"""),"epätriviaali")</f>
        <v>epätriviaali</v>
      </c>
      <c r="D402" s="5"/>
      <c r="E402" s="5"/>
      <c r="F402" s="11"/>
      <c r="G402" s="11"/>
    </row>
    <row r="403">
      <c r="A403" s="2" t="str">
        <f>IFERROR(__xludf.DUMMYFUNCTION("""COMPUTED_VALUE"""),"icke-uppräknelig")</f>
        <v>icke-uppräknelig</v>
      </c>
      <c r="B403" s="2" t="str">
        <f>IFERROR(__xludf.DUMMYFUNCTION("""COMPUTED_VALUE"""),"uncountable")</f>
        <v>uncountable</v>
      </c>
      <c r="C403" s="2" t="str">
        <f>IFERROR(__xludf.DUMMYFUNCTION("""COMPUTED_VALUE"""),"ylinumeroituva")</f>
        <v>ylinumeroituva</v>
      </c>
      <c r="D403" s="5"/>
      <c r="E403" s="5"/>
      <c r="F403" s="11"/>
      <c r="G403" s="11"/>
    </row>
    <row r="404">
      <c r="A404" s="2" t="str">
        <f>IFERROR(__xludf.DUMMYFUNCTION("""COMPUTED_VALUE"""),"ideal")</f>
        <v>ideal</v>
      </c>
      <c r="B404" s="2" t="str">
        <f>IFERROR(__xludf.DUMMYFUNCTION("""COMPUTED_VALUE"""),"ideal")</f>
        <v>ideal</v>
      </c>
      <c r="C404" s="2" t="str">
        <f>IFERROR(__xludf.DUMMYFUNCTION("""COMPUTED_VALUE"""),"ideaali")</f>
        <v>ideaali</v>
      </c>
      <c r="D404" s="5"/>
      <c r="E404" s="5"/>
      <c r="F404" s="11"/>
      <c r="G404" s="11"/>
    </row>
    <row r="405">
      <c r="A405" s="2" t="str">
        <f>IFERROR(__xludf.DUMMYFUNCTION("""COMPUTED_VALUE"""),"identifiering")</f>
        <v>identifiering</v>
      </c>
      <c r="B405" s="2" t="str">
        <f>IFERROR(__xludf.DUMMYFUNCTION("""COMPUTED_VALUE"""),"identification")</f>
        <v>identification</v>
      </c>
      <c r="C405" s="2" t="str">
        <f>IFERROR(__xludf.DUMMYFUNCTION("""COMPUTED_VALUE"""),"samastus")</f>
        <v>samastus</v>
      </c>
      <c r="D405" s="5"/>
      <c r="E405" s="5"/>
      <c r="F405" s="11"/>
      <c r="G405" s="11"/>
    </row>
    <row r="406">
      <c r="A406" s="2" t="str">
        <f>IFERROR(__xludf.DUMMYFUNCTION("""COMPUTED_VALUE"""),"identitetsavbildning")</f>
        <v>identitetsavbildning</v>
      </c>
      <c r="B406" s="2" t="str">
        <f>IFERROR(__xludf.DUMMYFUNCTION("""COMPUTED_VALUE"""),"identity (mapping)")</f>
        <v>identity (mapping)</v>
      </c>
      <c r="C406" s="2" t="str">
        <f>IFERROR(__xludf.DUMMYFUNCTION("""COMPUTED_VALUE"""),"identiteetti(kuvaus)")</f>
        <v>identiteetti(kuvaus)</v>
      </c>
      <c r="D406" s="5"/>
      <c r="E406" s="5"/>
      <c r="F406" s="11"/>
      <c r="G406" s="11"/>
    </row>
    <row r="407">
      <c r="A407" s="2" t="str">
        <f>IFERROR(__xludf.DUMMYFUNCTION("""COMPUTED_VALUE"""),"imaginär")</f>
        <v>imaginär</v>
      </c>
      <c r="B407" s="2" t="str">
        <f>IFERROR(__xludf.DUMMYFUNCTION("""COMPUTED_VALUE"""),"imaginary")</f>
        <v>imaginary</v>
      </c>
      <c r="C407" s="2" t="str">
        <f>IFERROR(__xludf.DUMMYFUNCTION("""COMPUTED_VALUE"""),"imaginaarinen")</f>
        <v>imaginaarinen</v>
      </c>
      <c r="D407" s="5"/>
      <c r="E407" s="5"/>
      <c r="F407" s="11"/>
      <c r="G407" s="11"/>
    </row>
    <row r="408">
      <c r="A408" s="2" t="str">
        <f>IFERROR(__xludf.DUMMYFUNCTION("""COMPUTED_VALUE"""),"imaginär axel")</f>
        <v>imaginär axel</v>
      </c>
      <c r="B408" s="2" t="str">
        <f>IFERROR(__xludf.DUMMYFUNCTION("""COMPUTED_VALUE"""),"imaginary axis")</f>
        <v>imaginary axis</v>
      </c>
      <c r="C408" s="2" t="str">
        <f>IFERROR(__xludf.DUMMYFUNCTION("""COMPUTED_VALUE"""),"imaginaariakseli")</f>
        <v>imaginaariakseli</v>
      </c>
      <c r="D408" s="5"/>
      <c r="E408" s="5"/>
      <c r="F408" s="11"/>
      <c r="G408" s="11"/>
    </row>
    <row r="409">
      <c r="A409" s="2" t="str">
        <f>IFERROR(__xludf.DUMMYFUNCTION("""COMPUTED_VALUE"""),"imaginär del")</f>
        <v>imaginär del</v>
      </c>
      <c r="B409" s="2" t="str">
        <f>IFERROR(__xludf.DUMMYFUNCTION("""COMPUTED_VALUE"""),"imaginary part")</f>
        <v>imaginary part</v>
      </c>
      <c r="C409" s="2" t="str">
        <f>IFERROR(__xludf.DUMMYFUNCTION("""COMPUTED_VALUE"""),"imaginaariosa")</f>
        <v>imaginaariosa</v>
      </c>
      <c r="D409" s="5"/>
      <c r="E409" s="5"/>
      <c r="F409" s="11"/>
      <c r="G409" s="11"/>
    </row>
    <row r="410">
      <c r="A410" s="2" t="str">
        <f>IFERROR(__xludf.DUMMYFUNCTION("""COMPUTED_VALUE"""),"imaginärenheten")</f>
        <v>imaginärenheten</v>
      </c>
      <c r="B410" s="2" t="str">
        <f>IFERROR(__xludf.DUMMYFUNCTION("""COMPUTED_VALUE"""),"imaginary unit")</f>
        <v>imaginary unit</v>
      </c>
      <c r="C410" s="2" t="str">
        <f>IFERROR(__xludf.DUMMYFUNCTION("""COMPUTED_VALUE"""),"imaginaariyksikkö (i)")</f>
        <v>imaginaariyksikkö (i)</v>
      </c>
      <c r="D410" s="5"/>
      <c r="E410" s="5"/>
      <c r="F410" s="11"/>
      <c r="G410" s="11"/>
    </row>
    <row r="411">
      <c r="A411" s="2" t="str">
        <f>IFERROR(__xludf.DUMMYFUNCTION("""COMPUTED_VALUE"""),"immersion")</f>
        <v>immersion</v>
      </c>
      <c r="B411" s="2" t="str">
        <f>IFERROR(__xludf.DUMMYFUNCTION("""COMPUTED_VALUE"""),"immersion")</f>
        <v>immersion</v>
      </c>
      <c r="C411" s="2" t="str">
        <f>IFERROR(__xludf.DUMMYFUNCTION("""COMPUTED_VALUE"""),"immersio")</f>
        <v>immersio</v>
      </c>
      <c r="D411" s="5"/>
      <c r="E411" s="5"/>
      <c r="F411" s="11"/>
      <c r="G411" s="11"/>
    </row>
    <row r="412">
      <c r="A412" s="2" t="str">
        <f>IFERROR(__xludf.DUMMYFUNCTION("""COMPUTED_VALUE"""),"implicera, medföra")</f>
        <v>implicera, medföra</v>
      </c>
      <c r="B412" s="2" t="str">
        <f>IFERROR(__xludf.DUMMYFUNCTION("""COMPUTED_VALUE"""),"implies")</f>
        <v>implies</v>
      </c>
      <c r="C412" s="2" t="str">
        <f>IFERROR(__xludf.DUMMYFUNCTION("""COMPUTED_VALUE"""),"implikoi")</f>
        <v>implikoi</v>
      </c>
      <c r="D412" s="5"/>
      <c r="E412" s="5"/>
      <c r="F412" s="11"/>
      <c r="G412" s="11"/>
    </row>
    <row r="413">
      <c r="A413" s="2" t="str">
        <f>IFERROR(__xludf.DUMMYFUNCTION("""COMPUTED_VALUE"""),"implicit")</f>
        <v>implicit</v>
      </c>
      <c r="B413" s="2" t="str">
        <f>IFERROR(__xludf.DUMMYFUNCTION("""COMPUTED_VALUE"""),"implicit")</f>
        <v>implicit</v>
      </c>
      <c r="C413" s="2" t="str">
        <f>IFERROR(__xludf.DUMMYFUNCTION("""COMPUTED_VALUE"""),"implisiittinen")</f>
        <v>implisiittinen</v>
      </c>
      <c r="D413" s="5"/>
      <c r="E413" s="5"/>
      <c r="F413" s="11"/>
      <c r="G413" s="11"/>
    </row>
    <row r="414">
      <c r="A414" s="2" t="str">
        <f>IFERROR(__xludf.DUMMYFUNCTION("""COMPUTED_VALUE"""),"implicit derivering")</f>
        <v>implicit derivering</v>
      </c>
      <c r="B414" s="2" t="str">
        <f>IFERROR(__xludf.DUMMYFUNCTION("""COMPUTED_VALUE"""),"implicit differentiation")</f>
        <v>implicit differentiation</v>
      </c>
      <c r="C414" s="2" t="str">
        <f>IFERROR(__xludf.DUMMYFUNCTION("""COMPUTED_VALUE"""),"implisiittinen derivointi")</f>
        <v>implisiittinen derivointi</v>
      </c>
      <c r="D414" s="5"/>
      <c r="E414" s="5"/>
      <c r="F414" s="11"/>
      <c r="G414" s="11"/>
    </row>
    <row r="415">
      <c r="A415" s="2" t="str">
        <f>IFERROR(__xludf.DUMMYFUNCTION("""COMPUTED_VALUE"""),"implicita funktionssatsen")</f>
        <v>implicita funktionssatsen</v>
      </c>
      <c r="B415" s="2" t="str">
        <f>IFERROR(__xludf.DUMMYFUNCTION("""COMPUTED_VALUE"""),"implicit function theorem")</f>
        <v>implicit function theorem</v>
      </c>
      <c r="C415" s="2" t="str">
        <f>IFERROR(__xludf.DUMMYFUNCTION("""COMPUTED_VALUE"""),"implisiittifunktiolause")</f>
        <v>implisiittifunktiolause</v>
      </c>
      <c r="D415" s="5"/>
      <c r="E415" s="5"/>
      <c r="F415" s="11"/>
      <c r="G415" s="11"/>
    </row>
    <row r="416">
      <c r="A416" s="2" t="str">
        <f>IFERROR(__xludf.DUMMYFUNCTION("""COMPUTED_VALUE"""),"implikation, följd, konsekvens")</f>
        <v>implikation, följd, konsekvens</v>
      </c>
      <c r="B416" s="2" t="str">
        <f>IFERROR(__xludf.DUMMYFUNCTION("""COMPUTED_VALUE"""),"implication")</f>
        <v>implication</v>
      </c>
      <c r="C416" s="2" t="str">
        <f>IFERROR(__xludf.DUMMYFUNCTION("""COMPUTED_VALUE"""),"implikaatio, seuraus")</f>
        <v>implikaatio, seuraus</v>
      </c>
      <c r="D416" s="5"/>
      <c r="E416" s="5"/>
      <c r="F416" s="11"/>
      <c r="G416" s="11"/>
    </row>
    <row r="417">
      <c r="A417" s="2" t="str">
        <f>IFERROR(__xludf.DUMMYFUNCTION("""COMPUTED_VALUE"""),"inbädding")</f>
        <v>inbädding</v>
      </c>
      <c r="B417" s="2" t="str">
        <f>IFERROR(__xludf.DUMMYFUNCTION("""COMPUTED_VALUE"""),"embedding, imbedding")</f>
        <v>embedding, imbedding</v>
      </c>
      <c r="C417" s="2" t="str">
        <f>IFERROR(__xludf.DUMMYFUNCTION("""COMPUTED_VALUE"""),"upotus")</f>
        <v>upotus</v>
      </c>
      <c r="D417" s="5"/>
      <c r="E417" s="5"/>
      <c r="F417" s="11"/>
      <c r="G417" s="11"/>
    </row>
    <row r="418">
      <c r="A418" s="2" t="str">
        <f>IFERROR(__xludf.DUMMYFUNCTION("""COMPUTED_VALUE"""),"inbädding")</f>
        <v>inbädding</v>
      </c>
      <c r="B418" s="2" t="str">
        <f>IFERROR(__xludf.DUMMYFUNCTION("""COMPUTED_VALUE"""),"imbedding, embedding")</f>
        <v>imbedding, embedding</v>
      </c>
      <c r="C418" s="2" t="str">
        <f>IFERROR(__xludf.DUMMYFUNCTION("""COMPUTED_VALUE"""),"upotus")</f>
        <v>upotus</v>
      </c>
      <c r="D418" s="5"/>
      <c r="E418" s="5"/>
      <c r="F418" s="11"/>
      <c r="G418" s="11"/>
    </row>
    <row r="419">
      <c r="A419" s="2" t="str">
        <f>IFERROR(__xludf.DUMMYFUNCTION("""COMPUTED_VALUE"""),"indelning")</f>
        <v>indelning</v>
      </c>
      <c r="B419" s="2" t="str">
        <f>IFERROR(__xludf.DUMMYFUNCTION("""COMPUTED_VALUE"""),"subdivision")</f>
        <v>subdivision</v>
      </c>
      <c r="C419" s="2" t="str">
        <f>IFERROR(__xludf.DUMMYFUNCTION("""COMPUTED_VALUE"""),"jako, alijako")</f>
        <v>jako, alijako</v>
      </c>
      <c r="D419" s="5"/>
      <c r="E419" s="5"/>
      <c r="F419" s="11"/>
      <c r="G419" s="11"/>
    </row>
    <row r="420">
      <c r="A420" s="2" t="str">
        <f>IFERROR(__xludf.DUMMYFUNCTION("""COMPUTED_VALUE"""),"indelning, partitition")</f>
        <v>indelning, partitition</v>
      </c>
      <c r="B420" s="2" t="str">
        <f>IFERROR(__xludf.DUMMYFUNCTION("""COMPUTED_VALUE"""),"partition")</f>
        <v>partition</v>
      </c>
      <c r="C420" s="2" t="str">
        <f>IFERROR(__xludf.DUMMYFUNCTION("""COMPUTED_VALUE"""),"hajotelma (matriisin)")</f>
        <v>hajotelma (matriisin)</v>
      </c>
      <c r="D420" s="5"/>
      <c r="E420" s="5"/>
      <c r="F420" s="11"/>
      <c r="G420" s="11"/>
    </row>
    <row r="421">
      <c r="A421" s="2" t="str">
        <f>IFERROR(__xludf.DUMMYFUNCTION("""COMPUTED_VALUE"""),"inducera")</f>
        <v>inducera</v>
      </c>
      <c r="B421" s="2" t="str">
        <f>IFERROR(__xludf.DUMMYFUNCTION("""COMPUTED_VALUE"""),"induce")</f>
        <v>induce</v>
      </c>
      <c r="C421" s="2" t="str">
        <f>IFERROR(__xludf.DUMMYFUNCTION("""COMPUTED_VALUE"""),"indusoida (esim. topologia)")</f>
        <v>indusoida (esim. topologia)</v>
      </c>
      <c r="D421" s="5"/>
      <c r="E421" s="5"/>
      <c r="F421" s="11"/>
      <c r="G421" s="11"/>
    </row>
    <row r="422">
      <c r="A422" s="2" t="str">
        <f>IFERROR(__xludf.DUMMYFUNCTION("""COMPUTED_VALUE"""),"induktion")</f>
        <v>induktion</v>
      </c>
      <c r="B422" s="2" t="str">
        <f>IFERROR(__xludf.DUMMYFUNCTION("""COMPUTED_VALUE"""),"induction")</f>
        <v>induction</v>
      </c>
      <c r="C422" s="2" t="str">
        <f>IFERROR(__xludf.DUMMYFUNCTION("""COMPUTED_VALUE"""),"induktio")</f>
        <v>induktio</v>
      </c>
      <c r="D422" s="5"/>
      <c r="E422" s="5"/>
      <c r="F422" s="11"/>
      <c r="G422" s="11"/>
    </row>
    <row r="423">
      <c r="A423" s="2" t="str">
        <f>IFERROR(__xludf.DUMMYFUNCTION("""COMPUTED_VALUE"""),"infimum")</f>
        <v>infimum</v>
      </c>
      <c r="B423" s="2" t="str">
        <f>IFERROR(__xludf.DUMMYFUNCTION("""COMPUTED_VALUE"""),"infimum")</f>
        <v>infimum</v>
      </c>
      <c r="C423" s="2" t="str">
        <f>IFERROR(__xludf.DUMMYFUNCTION("""COMPUTED_VALUE"""),"infimum (""iinfimum""), suurin alaraja")</f>
        <v>infimum ("iinfimum"), suurin alaraja</v>
      </c>
      <c r="D423" s="5"/>
      <c r="E423" s="5"/>
      <c r="F423" s="11"/>
      <c r="G423" s="11"/>
    </row>
    <row r="424">
      <c r="A424" s="2" t="str">
        <f>IFERROR(__xludf.DUMMYFUNCTION("""COMPUTED_VALUE"""),"infinitesimal")</f>
        <v>infinitesimal</v>
      </c>
      <c r="B424" s="2" t="str">
        <f>IFERROR(__xludf.DUMMYFUNCTION("""COMPUTED_VALUE"""),"infinitesimal")</f>
        <v>infinitesimal</v>
      </c>
      <c r="C424" s="2" t="str">
        <f>IFERROR(__xludf.DUMMYFUNCTION("""COMPUTED_VALUE"""),"infinitesimaalinen")</f>
        <v>infinitesimaalinen</v>
      </c>
      <c r="D424" s="5"/>
      <c r="E424" s="5"/>
      <c r="F424" s="11"/>
      <c r="G424" s="11"/>
    </row>
    <row r="425">
      <c r="A425" s="2" t="str">
        <f>IFERROR(__xludf.DUMMYFUNCTION("""COMPUTED_VALUE"""),"inflektionspunkt")</f>
        <v>inflektionspunkt</v>
      </c>
      <c r="B425" s="2" t="str">
        <f>IFERROR(__xludf.DUMMYFUNCTION("""COMPUTED_VALUE"""),"inflection point")</f>
        <v>inflection point</v>
      </c>
      <c r="C425" s="2" t="str">
        <f>IFERROR(__xludf.DUMMYFUNCTION("""COMPUTED_VALUE"""),"käännepiste, kaarevuuden käännepiste")</f>
        <v>käännepiste, kaarevuuden käännepiste</v>
      </c>
      <c r="D425" s="5"/>
      <c r="E425" s="5"/>
      <c r="F425" s="11"/>
      <c r="G425" s="11"/>
    </row>
    <row r="426">
      <c r="A426" s="2" t="str">
        <f>IFERROR(__xludf.DUMMYFUNCTION("""COMPUTED_VALUE"""),"injektion")</f>
        <v>injektion</v>
      </c>
      <c r="B426" s="2" t="str">
        <f>IFERROR(__xludf.DUMMYFUNCTION("""COMPUTED_VALUE"""),"1-1, one-to-one")</f>
        <v>1-1, one-to-one</v>
      </c>
      <c r="C426" s="2" t="str">
        <f>IFERROR(__xludf.DUMMYFUNCTION("""COMPUTED_VALUE"""),"injektio")</f>
        <v>injektio</v>
      </c>
      <c r="D426" s="12" t="str">
        <f>IFERROR(__xludf.DUMMYFUNCTION("""COMPUTED_VALUE"""),"https://fi.wikipedia.org/wiki/Injektio")</f>
        <v>https://fi.wikipedia.org/wiki/Injektio</v>
      </c>
      <c r="E426" s="5"/>
      <c r="F426" s="11"/>
      <c r="G426" s="11"/>
    </row>
    <row r="427">
      <c r="A427" s="2" t="str">
        <f>IFERROR(__xludf.DUMMYFUNCTION("""COMPUTED_VALUE"""),"injektion")</f>
        <v>injektion</v>
      </c>
      <c r="B427" s="2" t="str">
        <f>IFERROR(__xludf.DUMMYFUNCTION("""COMPUTED_VALUE"""),"injection, one-to-one")</f>
        <v>injection, one-to-one</v>
      </c>
      <c r="C427" s="2" t="str">
        <f>IFERROR(__xludf.DUMMYFUNCTION("""COMPUTED_VALUE"""),"injektio")</f>
        <v>injektio</v>
      </c>
      <c r="D427" s="5"/>
      <c r="E427" s="5"/>
      <c r="F427" s="11"/>
      <c r="G427" s="11"/>
    </row>
    <row r="428">
      <c r="A428" s="2" t="str">
        <f>IFERROR(__xludf.DUMMYFUNCTION("""COMPUTED_VALUE"""),"injektiv")</f>
        <v>injektiv</v>
      </c>
      <c r="B428" s="2" t="str">
        <f>IFERROR(__xludf.DUMMYFUNCTION("""COMPUTED_VALUE"""),"injective")</f>
        <v>injective</v>
      </c>
      <c r="C428" s="2" t="str">
        <f>IFERROR(__xludf.DUMMYFUNCTION("""COMPUTED_VALUE"""),"injektiivinen")</f>
        <v>injektiivinen</v>
      </c>
      <c r="D428" s="5"/>
      <c r="E428" s="5"/>
      <c r="F428" s="11"/>
      <c r="G428" s="11"/>
    </row>
    <row r="429">
      <c r="A429" s="2" t="str">
        <f>IFERROR(__xludf.DUMMYFUNCTION("""COMPUTED_VALUE"""),"injektiv")</f>
        <v>injektiv</v>
      </c>
      <c r="B429" s="2" t="str">
        <f>IFERROR(__xludf.DUMMYFUNCTION("""COMPUTED_VALUE"""),"one-to-one, injective")</f>
        <v>one-to-one, injective</v>
      </c>
      <c r="C429" s="2" t="str">
        <f>IFERROR(__xludf.DUMMYFUNCTION("""COMPUTED_VALUE"""),"injektiivinen")</f>
        <v>injektiivinen</v>
      </c>
      <c r="D429" s="5"/>
      <c r="E429" s="5"/>
      <c r="F429" s="11"/>
      <c r="G429" s="11"/>
    </row>
    <row r="430">
      <c r="A430" s="2" t="str">
        <f>IFERROR(__xludf.DUMMYFUNCTION("""COMPUTED_VALUE"""),"innehålla")</f>
        <v>innehålla</v>
      </c>
      <c r="B430" s="2" t="str">
        <f>IFERROR(__xludf.DUMMYFUNCTION("""COMPUTED_VALUE"""),"contain")</f>
        <v>contain</v>
      </c>
      <c r="C430" s="2" t="str">
        <f>IFERROR(__xludf.DUMMYFUNCTION("""COMPUTED_VALUE"""),"sisältää (olla ylijoukko)")</f>
        <v>sisältää (olla ylijoukko)</v>
      </c>
      <c r="D430" s="5"/>
      <c r="E430" s="5"/>
      <c r="F430" s="11"/>
      <c r="G430" s="11"/>
    </row>
    <row r="431">
      <c r="A431" s="2" t="str">
        <f>IFERROR(__xludf.DUMMYFUNCTION("""COMPUTED_VALUE"""),"inre punkt")</f>
        <v>inre punkt</v>
      </c>
      <c r="B431" s="2" t="str">
        <f>IFERROR(__xludf.DUMMYFUNCTION("""COMPUTED_VALUE"""),"interior point")</f>
        <v>interior point</v>
      </c>
      <c r="C431" s="2" t="str">
        <f>IFERROR(__xludf.DUMMYFUNCTION("""COMPUTED_VALUE"""),"sisäpiste")</f>
        <v>sisäpiste</v>
      </c>
      <c r="D431" s="5"/>
      <c r="E431" s="5"/>
      <c r="F431" s="11"/>
      <c r="G431" s="11"/>
    </row>
    <row r="432">
      <c r="A432" s="2" t="str">
        <f>IFERROR(__xludf.DUMMYFUNCTION("""COMPUTED_VALUE"""),"inreprodukt")</f>
        <v>inreprodukt</v>
      </c>
      <c r="B432" s="2" t="str">
        <f>IFERROR(__xludf.DUMMYFUNCTION("""COMPUTED_VALUE"""),"inner product")</f>
        <v>inner product</v>
      </c>
      <c r="C432" s="2" t="str">
        <f>IFERROR(__xludf.DUMMYFUNCTION("""COMPUTED_VALUE"""),"sisätulo, pistetulo, skalaaritulo")</f>
        <v>sisätulo, pistetulo, skalaaritulo</v>
      </c>
      <c r="D432" s="5"/>
      <c r="E432" s="5"/>
      <c r="F432" s="11"/>
      <c r="G432" s="11"/>
    </row>
    <row r="433">
      <c r="A433" s="2" t="str">
        <f>IFERROR(__xludf.DUMMYFUNCTION("""COMPUTED_VALUE"""),"inreproduktrum")</f>
        <v>inreproduktrum</v>
      </c>
      <c r="B433" s="2" t="str">
        <f>IFERROR(__xludf.DUMMYFUNCTION("""COMPUTED_VALUE"""),"inner product space, pre-Hilbert space")</f>
        <v>inner product space, pre-Hilbert space</v>
      </c>
      <c r="C433" s="2" t="str">
        <f>IFERROR(__xludf.DUMMYFUNCTION("""COMPUTED_VALUE"""),"sisätuloavaruus")</f>
        <v>sisätuloavaruus</v>
      </c>
      <c r="D433" s="5"/>
      <c r="E433" s="5"/>
      <c r="F433" s="11"/>
      <c r="G433" s="11"/>
    </row>
    <row r="434">
      <c r="A434" s="2" t="str">
        <f>IFERROR(__xludf.DUMMYFUNCTION("""COMPUTED_VALUE"""),"inreproduktrum")</f>
        <v>inreproduktrum</v>
      </c>
      <c r="B434" s="2" t="str">
        <f>IFERROR(__xludf.DUMMYFUNCTION("""COMPUTED_VALUE"""),"pre-Hilbert space, inner product space")</f>
        <v>pre-Hilbert space, inner product space</v>
      </c>
      <c r="C434" s="2" t="str">
        <f>IFERROR(__xludf.DUMMYFUNCTION("""COMPUTED_VALUE"""),"sisätuloavaruus")</f>
        <v>sisätuloavaruus</v>
      </c>
      <c r="D434" s="5"/>
      <c r="E434" s="5"/>
      <c r="F434" s="11"/>
      <c r="G434" s="11"/>
    </row>
    <row r="435">
      <c r="A435" s="2" t="str">
        <f>IFERROR(__xludf.DUMMYFUNCTION("""COMPUTED_VALUE"""),"inskriven cirkel")</f>
        <v>inskriven cirkel</v>
      </c>
      <c r="B435" s="2" t="str">
        <f>IFERROR(__xludf.DUMMYFUNCTION("""COMPUTED_VALUE"""),"inscribed circle")</f>
        <v>inscribed circle</v>
      </c>
      <c r="C435" s="2" t="str">
        <f>IFERROR(__xludf.DUMMYFUNCTION("""COMPUTED_VALUE"""),"sisään piirretty ympyrä")</f>
        <v>sisään piirretty ympyrä</v>
      </c>
      <c r="D435" s="5"/>
      <c r="E435" s="5"/>
      <c r="F435" s="11"/>
      <c r="G435" s="11"/>
    </row>
    <row r="436">
      <c r="A436" s="2" t="str">
        <f>IFERROR(__xludf.DUMMYFUNCTION("""COMPUTED_VALUE"""),"insättning, substitution")</f>
        <v>insättning, substitution</v>
      </c>
      <c r="B436" s="2" t="str">
        <f>IFERROR(__xludf.DUMMYFUNCTION("""COMPUTED_VALUE"""),"substitution")</f>
        <v>substitution</v>
      </c>
      <c r="C436" s="2" t="str">
        <f>IFERROR(__xludf.DUMMYFUNCTION("""COMPUTED_VALUE"""),"sijoitus")</f>
        <v>sijoitus</v>
      </c>
      <c r="D436" s="5"/>
      <c r="E436" s="5"/>
      <c r="F436" s="11"/>
      <c r="G436" s="11"/>
    </row>
    <row r="437">
      <c r="A437" s="2" t="str">
        <f>IFERROR(__xludf.DUMMYFUNCTION("""COMPUTED_VALUE"""),"integral")</f>
        <v>integral</v>
      </c>
      <c r="B437" s="2" t="str">
        <f>IFERROR(__xludf.DUMMYFUNCTION("""COMPUTED_VALUE"""),"integral")</f>
        <v>integral</v>
      </c>
      <c r="C437" s="2" t="str">
        <f>IFERROR(__xludf.DUMMYFUNCTION("""COMPUTED_VALUE"""),"integraali; kokonainen")</f>
        <v>integraali; kokonainen</v>
      </c>
      <c r="D437" s="5"/>
      <c r="E437" s="5"/>
      <c r="F437" s="11"/>
      <c r="G437" s="11"/>
    </row>
    <row r="438">
      <c r="A438" s="2" t="str">
        <f>IFERROR(__xludf.DUMMYFUNCTION("""COMPUTED_VALUE"""),"integralfunktion, primitivfunktion")</f>
        <v>integralfunktion, primitivfunktion</v>
      </c>
      <c r="B438" s="2" t="str">
        <f>IFERROR(__xludf.DUMMYFUNCTION("""COMPUTED_VALUE"""),"antiderivative")</f>
        <v>antiderivative</v>
      </c>
      <c r="C438" s="2" t="str">
        <f>IFERROR(__xludf.DUMMYFUNCTION("""COMPUTED_VALUE"""),"integraalifunktio, antiderivaatta, primitiivifunktio, kantafunktio")</f>
        <v>integraalifunktio, antiderivaatta, primitiivifunktio, kantafunktio</v>
      </c>
      <c r="D438" s="5"/>
      <c r="E438" s="5"/>
      <c r="F438" s="11"/>
      <c r="G438" s="11"/>
    </row>
    <row r="439">
      <c r="A439" s="2" t="str">
        <f>IFERROR(__xludf.DUMMYFUNCTION("""COMPUTED_VALUE"""),"integralräkning, integralkalkyl")</f>
        <v>integralräkning, integralkalkyl</v>
      </c>
      <c r="B439" s="2" t="str">
        <f>IFERROR(__xludf.DUMMYFUNCTION("""COMPUTED_VALUE"""),"integral calculus")</f>
        <v>integral calculus</v>
      </c>
      <c r="C439" s="2" t="str">
        <f>IFERROR(__xludf.DUMMYFUNCTION("""COMPUTED_VALUE"""),"integraalilaskenta")</f>
        <v>integraalilaskenta</v>
      </c>
      <c r="D439" s="5"/>
      <c r="E439" s="5"/>
      <c r="F439" s="11"/>
      <c r="G439" s="11"/>
    </row>
    <row r="440">
      <c r="A440" s="2" t="str">
        <f>IFERROR(__xludf.DUMMYFUNCTION("""COMPUTED_VALUE"""),"integraltest")</f>
        <v>integraltest</v>
      </c>
      <c r="B440" s="2" t="str">
        <f>IFERROR(__xludf.DUMMYFUNCTION("""COMPUTED_VALUE"""),"integral test")</f>
        <v>integral test</v>
      </c>
      <c r="C440" s="2" t="str">
        <f>IFERROR(__xludf.DUMMYFUNCTION("""COMPUTED_VALUE"""),"integraalitesti")</f>
        <v>integraalitesti</v>
      </c>
      <c r="D440" s="5"/>
      <c r="E440" s="5"/>
      <c r="F440" s="11"/>
      <c r="G440" s="11"/>
    </row>
    <row r="441">
      <c r="A441" s="2" t="str">
        <f>IFERROR(__xludf.DUMMYFUNCTION("""COMPUTED_VALUE"""),"integrand")</f>
        <v>integrand</v>
      </c>
      <c r="B441" s="2" t="str">
        <f>IFERROR(__xludf.DUMMYFUNCTION("""COMPUTED_VALUE"""),"integrand")</f>
        <v>integrand</v>
      </c>
      <c r="C441" s="2" t="str">
        <f>IFERROR(__xludf.DUMMYFUNCTION("""COMPUTED_VALUE"""),"integrandi, integroitava")</f>
        <v>integrandi, integroitava</v>
      </c>
      <c r="D441" s="5"/>
      <c r="E441" s="5"/>
      <c r="F441" s="11"/>
      <c r="G441" s="11"/>
    </row>
    <row r="442">
      <c r="A442" s="2" t="str">
        <f>IFERROR(__xludf.DUMMYFUNCTION("""COMPUTED_VALUE"""),"integration med avseende å x")</f>
        <v>integration med avseende å x</v>
      </c>
      <c r="B442" s="2" t="str">
        <f>IFERROR(__xludf.DUMMYFUNCTION("""COMPUTED_VALUE"""),"integration with respect to x")</f>
        <v>integration with respect to x</v>
      </c>
      <c r="C442" s="2" t="str">
        <f>IFERROR(__xludf.DUMMYFUNCTION("""COMPUTED_VALUE"""),"integrointi x:n suhteen")</f>
        <v>integrointi x:n suhteen</v>
      </c>
      <c r="D442" s="5"/>
      <c r="E442" s="5"/>
      <c r="F442" s="11"/>
      <c r="G442" s="11"/>
    </row>
    <row r="443">
      <c r="A443" s="2" t="str">
        <f>IFERROR(__xludf.DUMMYFUNCTION("""COMPUTED_VALUE"""),"integrationskonstant")</f>
        <v>integrationskonstant</v>
      </c>
      <c r="B443" s="2" t="str">
        <f>IFERROR(__xludf.DUMMYFUNCTION("""COMPUTED_VALUE"""),"constant of integration")</f>
        <v>constant of integration</v>
      </c>
      <c r="C443" s="2" t="str">
        <f>IFERROR(__xludf.DUMMYFUNCTION("""COMPUTED_VALUE"""),"integrointivakio")</f>
        <v>integrointivakio</v>
      </c>
      <c r="D443" s="5"/>
      <c r="E443" s="5"/>
      <c r="F443" s="11"/>
      <c r="G443" s="11"/>
    </row>
    <row r="444">
      <c r="A444" s="2" t="str">
        <f>IFERROR(__xludf.DUMMYFUNCTION("""COMPUTED_VALUE"""),"integrationsvariabel")</f>
        <v>integrationsvariabel</v>
      </c>
      <c r="B444" s="2" t="str">
        <f>IFERROR(__xludf.DUMMYFUNCTION("""COMPUTED_VALUE"""),"variable of integration")</f>
        <v>variable of integration</v>
      </c>
      <c r="C444" s="2" t="str">
        <f>IFERROR(__xludf.DUMMYFUNCTION("""COMPUTED_VALUE"""),"integrointimuuttuja")</f>
        <v>integrointimuuttuja</v>
      </c>
      <c r="D444" s="5"/>
      <c r="E444" s="5"/>
      <c r="F444" s="11"/>
      <c r="G444" s="11"/>
    </row>
    <row r="445">
      <c r="A445" s="2" t="str">
        <f>IFERROR(__xludf.DUMMYFUNCTION("""COMPUTED_VALUE"""),"integrerbar")</f>
        <v>integrerbar</v>
      </c>
      <c r="B445" s="2" t="str">
        <f>IFERROR(__xludf.DUMMYFUNCTION("""COMPUTED_VALUE"""),"integrable (summable)")</f>
        <v>integrable (summable)</v>
      </c>
      <c r="C445" s="2" t="str">
        <f>IFERROR(__xludf.DUMMYFUNCTION("""COMPUTED_VALUE"""),"integroituva (summautuva)")</f>
        <v>integroituva (summautuva)</v>
      </c>
      <c r="D445" s="5"/>
      <c r="E445" s="5"/>
      <c r="F445" s="11"/>
      <c r="G445" s="11"/>
    </row>
    <row r="446">
      <c r="A446" s="2" t="str">
        <f>IFERROR(__xludf.DUMMYFUNCTION("""COMPUTED_VALUE"""),"interiör")</f>
        <v>interiör</v>
      </c>
      <c r="B446" s="2" t="str">
        <f>IFERROR(__xludf.DUMMYFUNCTION("""COMPUTED_VALUE"""),"interior")</f>
        <v>interior</v>
      </c>
      <c r="C446" s="2" t="str">
        <f>IFERROR(__xludf.DUMMYFUNCTION("""COMPUTED_VALUE"""),"sisus")</f>
        <v>sisus</v>
      </c>
      <c r="D446" s="5"/>
      <c r="E446" s="5"/>
      <c r="F446" s="11"/>
      <c r="G446" s="11"/>
    </row>
    <row r="447">
      <c r="A447" s="2" t="str">
        <f>IFERROR(__xludf.DUMMYFUNCTION("""COMPUTED_VALUE"""),"intervall")</f>
        <v>intervall</v>
      </c>
      <c r="B447" s="2" t="str">
        <f>IFERROR(__xludf.DUMMYFUNCTION("""COMPUTED_VALUE"""),"interval")</f>
        <v>interval</v>
      </c>
      <c r="C447" s="2" t="str">
        <f>IFERROR(__xludf.DUMMYFUNCTION("""COMPUTED_VALUE"""),"väli")</f>
        <v>väli</v>
      </c>
      <c r="D447" s="5"/>
      <c r="E447" s="5"/>
      <c r="F447" s="11"/>
      <c r="G447" s="11"/>
    </row>
    <row r="448">
      <c r="A448" s="2" t="str">
        <f>IFERROR(__xludf.DUMMYFUNCTION("""COMPUTED_VALUE"""),"invarians")</f>
        <v>invarians</v>
      </c>
      <c r="B448" s="2" t="str">
        <f>IFERROR(__xludf.DUMMYFUNCTION("""COMPUTED_VALUE"""),"invariance")</f>
        <v>invariance</v>
      </c>
      <c r="C448" s="2" t="str">
        <f>IFERROR(__xludf.DUMMYFUNCTION("""COMPUTED_VALUE"""),"invarianssi")</f>
        <v>invarianssi</v>
      </c>
      <c r="D448" s="5"/>
      <c r="E448" s="5"/>
      <c r="F448" s="11"/>
      <c r="G448" s="11"/>
    </row>
    <row r="449">
      <c r="A449" s="2" t="str">
        <f>IFERROR(__xludf.DUMMYFUNCTION("""COMPUTED_VALUE"""),"invariant")</f>
        <v>invariant</v>
      </c>
      <c r="B449" s="2" t="str">
        <f>IFERROR(__xludf.DUMMYFUNCTION("""COMPUTED_VALUE"""),"invariant")</f>
        <v>invariant</v>
      </c>
      <c r="C449" s="2" t="str">
        <f>IFERROR(__xludf.DUMMYFUNCTION("""COMPUTED_VALUE"""),"invariantti")</f>
        <v>invariantti</v>
      </c>
      <c r="D449" s="5"/>
      <c r="E449" s="5"/>
      <c r="F449" s="11"/>
      <c r="G449" s="11"/>
    </row>
    <row r="450">
      <c r="A450" s="2" t="str">
        <f>IFERROR(__xludf.DUMMYFUNCTION("""COMPUTED_VALUE"""),"inversa funktionssatsen")</f>
        <v>inversa funktionssatsen</v>
      </c>
      <c r="B450" s="2" t="str">
        <f>IFERROR(__xludf.DUMMYFUNCTION("""COMPUTED_VALUE"""),"inverse function theorem")</f>
        <v>inverse function theorem</v>
      </c>
      <c r="C450" s="2" t="str">
        <f>IFERROR(__xludf.DUMMYFUNCTION("""COMPUTED_VALUE"""),"käänteisfunktiolause")</f>
        <v>käänteisfunktiolause</v>
      </c>
      <c r="D450" s="5"/>
      <c r="E450" s="5"/>
      <c r="F450" s="11"/>
      <c r="G450" s="11"/>
    </row>
    <row r="451">
      <c r="A451" s="2" t="str">
        <f>IFERROR(__xludf.DUMMYFUNCTION("""COMPUTED_VALUE"""),"inversfunktion")</f>
        <v>inversfunktion</v>
      </c>
      <c r="B451" s="2" t="str">
        <f>IFERROR(__xludf.DUMMYFUNCTION("""COMPUTED_VALUE"""),"inverse function")</f>
        <v>inverse function</v>
      </c>
      <c r="C451" s="2" t="str">
        <f>IFERROR(__xludf.DUMMYFUNCTION("""COMPUTED_VALUE"""),"käänteisfunktio")</f>
        <v>käänteisfunktio</v>
      </c>
      <c r="D451" s="5"/>
      <c r="E451" s="5"/>
      <c r="F451" s="11"/>
      <c r="G451" s="11"/>
    </row>
    <row r="452">
      <c r="A452" s="2" t="str">
        <f>IFERROR(__xludf.DUMMYFUNCTION("""COMPUTED_VALUE"""),"inversion")</f>
        <v>inversion</v>
      </c>
      <c r="B452" s="2" t="str">
        <f>IFERROR(__xludf.DUMMYFUNCTION("""COMPUTED_VALUE"""),"invertion")</f>
        <v>invertion</v>
      </c>
      <c r="C452" s="2" t="str">
        <f>IFERROR(__xludf.DUMMYFUNCTION("""COMPUTED_VALUE"""),"käänteismuunnos")</f>
        <v>käänteismuunnos</v>
      </c>
      <c r="D452" s="5"/>
      <c r="E452" s="5"/>
      <c r="F452" s="11"/>
      <c r="G452" s="11"/>
    </row>
    <row r="453">
      <c r="A453" s="2" t="str">
        <f>IFERROR(__xludf.DUMMYFUNCTION("""COMPUTED_VALUE"""),"inversmatris, reciprok")</f>
        <v>inversmatris, reciprok</v>
      </c>
      <c r="B453" s="2" t="str">
        <f>IFERROR(__xludf.DUMMYFUNCTION("""COMPUTED_VALUE"""),"inverse matrix")</f>
        <v>inverse matrix</v>
      </c>
      <c r="C453" s="2" t="str">
        <f>IFERROR(__xludf.DUMMYFUNCTION("""COMPUTED_VALUE"""),"käänteismatriisi")</f>
        <v>käänteismatriisi</v>
      </c>
      <c r="D453" s="5"/>
      <c r="E453" s="5"/>
      <c r="F453" s="11"/>
      <c r="G453" s="11"/>
    </row>
    <row r="454">
      <c r="A454" s="2" t="str">
        <f>IFERROR(__xludf.DUMMYFUNCTION("""COMPUTED_VALUE"""),"inverst element")</f>
        <v>inverst element</v>
      </c>
      <c r="B454" s="2" t="str">
        <f>IFERROR(__xludf.DUMMYFUNCTION("""COMPUTED_VALUE"""),"inverse element")</f>
        <v>inverse element</v>
      </c>
      <c r="C454" s="2" t="str">
        <f>IFERROR(__xludf.DUMMYFUNCTION("""COMPUTED_VALUE"""),"käänteisalkio")</f>
        <v>käänteisalkio</v>
      </c>
      <c r="D454" s="5"/>
      <c r="E454" s="5"/>
      <c r="F454" s="11"/>
      <c r="G454" s="11"/>
    </row>
    <row r="455">
      <c r="A455" s="2" t="str">
        <f>IFERROR(__xludf.DUMMYFUNCTION("""COMPUTED_VALUE"""),"inverst tal")</f>
        <v>inverst tal</v>
      </c>
      <c r="B455" s="2" t="str">
        <f>IFERROR(__xludf.DUMMYFUNCTION("""COMPUTED_VALUE"""),"resiprocal (number)")</f>
        <v>resiprocal (number)</v>
      </c>
      <c r="C455" s="2" t="str">
        <f>IFERROR(__xludf.DUMMYFUNCTION("""COMPUTED_VALUE"""),"käänteisluku")</f>
        <v>käänteisluku</v>
      </c>
      <c r="D455" s="5"/>
      <c r="E455" s="5"/>
      <c r="F455" s="11"/>
      <c r="G455" s="11"/>
    </row>
    <row r="456">
      <c r="A456" s="2" t="str">
        <f>IFERROR(__xludf.DUMMYFUNCTION("""COMPUTED_VALUE"""),"inverterbar")</f>
        <v>inverterbar</v>
      </c>
      <c r="B456" s="2" t="str">
        <f>IFERROR(__xludf.DUMMYFUNCTION("""COMPUTED_VALUE"""),"invertible")</f>
        <v>invertible</v>
      </c>
      <c r="C456" s="2" t="str">
        <f>IFERROR(__xludf.DUMMYFUNCTION("""COMPUTED_VALUE"""),"kääntyvä, säännöllinen")</f>
        <v>kääntyvä, säännöllinen</v>
      </c>
      <c r="D456" s="5"/>
      <c r="E456" s="5"/>
      <c r="F456" s="11"/>
      <c r="G456" s="11"/>
    </row>
    <row r="457">
      <c r="A457" s="2" t="str">
        <f>IFERROR(__xludf.DUMMYFUNCTION("""COMPUTED_VALUE"""),"irrationell")</f>
        <v>irrationell</v>
      </c>
      <c r="B457" s="2" t="str">
        <f>IFERROR(__xludf.DUMMYFUNCTION("""COMPUTED_VALUE"""),"irrational")</f>
        <v>irrational</v>
      </c>
      <c r="C457" s="2" t="str">
        <f>IFERROR(__xludf.DUMMYFUNCTION("""COMPUTED_VALUE"""),"irrationaalinen")</f>
        <v>irrationaalinen</v>
      </c>
      <c r="D457" s="5"/>
      <c r="E457" s="5"/>
      <c r="F457" s="11"/>
      <c r="G457" s="11"/>
    </row>
    <row r="458">
      <c r="A458" s="2" t="str">
        <f>IFERROR(__xludf.DUMMYFUNCTION("""COMPUTED_VALUE"""),"isolerad punkt")</f>
        <v>isolerad punkt</v>
      </c>
      <c r="B458" s="2" t="str">
        <f>IFERROR(__xludf.DUMMYFUNCTION("""COMPUTED_VALUE"""),"isolated point")</f>
        <v>isolated point</v>
      </c>
      <c r="C458" s="2" t="str">
        <f>IFERROR(__xludf.DUMMYFUNCTION("""COMPUTED_VALUE"""),"eristetty piste")</f>
        <v>eristetty piste</v>
      </c>
      <c r="D458" s="5"/>
      <c r="E458" s="5"/>
      <c r="F458" s="11"/>
      <c r="G458" s="11"/>
    </row>
    <row r="459">
      <c r="A459" s="2" t="str">
        <f>IFERROR(__xludf.DUMMYFUNCTION("""COMPUTED_VALUE"""),"isometri")</f>
        <v>isometri</v>
      </c>
      <c r="B459" s="2" t="str">
        <f>IFERROR(__xludf.DUMMYFUNCTION("""COMPUTED_VALUE"""),"isometry")</f>
        <v>isometry</v>
      </c>
      <c r="C459" s="2" t="str">
        <f>IFERROR(__xludf.DUMMYFUNCTION("""COMPUTED_VALUE"""),"isometria (etäisyyden säilyttävä kuvaus)")</f>
        <v>isometria (etäisyyden säilyttävä kuvaus)</v>
      </c>
      <c r="D459" s="5"/>
      <c r="E459" s="5"/>
      <c r="F459" s="11"/>
      <c r="G459" s="11"/>
    </row>
    <row r="460">
      <c r="A460" s="2" t="str">
        <f>IFERROR(__xludf.DUMMYFUNCTION("""COMPUTED_VALUE"""),"isometrisk")</f>
        <v>isometrisk</v>
      </c>
      <c r="B460" s="2" t="str">
        <f>IFERROR(__xludf.DUMMYFUNCTION("""COMPUTED_VALUE"""),"isometric")</f>
        <v>isometric</v>
      </c>
      <c r="C460" s="2" t="str">
        <f>IFERROR(__xludf.DUMMYFUNCTION("""COMPUTED_VALUE"""),"isometrinen")</f>
        <v>isometrinen</v>
      </c>
      <c r="D460" s="5"/>
      <c r="E460" s="5"/>
      <c r="F460" s="11"/>
      <c r="G460" s="11"/>
    </row>
    <row r="461">
      <c r="A461" s="2" t="str">
        <f>IFERROR(__xludf.DUMMYFUNCTION("""COMPUTED_VALUE"""),"isomorf")</f>
        <v>isomorf</v>
      </c>
      <c r="B461" s="2" t="str">
        <f>IFERROR(__xludf.DUMMYFUNCTION("""COMPUTED_VALUE"""),"isomorphic")</f>
        <v>isomorphic</v>
      </c>
      <c r="C461" s="2" t="str">
        <f>IFERROR(__xludf.DUMMYFUNCTION("""COMPUTED_VALUE"""),"isomorfinen")</f>
        <v>isomorfinen</v>
      </c>
      <c r="D461" s="5"/>
      <c r="E461" s="5"/>
      <c r="F461" s="11"/>
      <c r="G461" s="11"/>
    </row>
    <row r="462">
      <c r="A462" s="2" t="str">
        <f>IFERROR(__xludf.DUMMYFUNCTION("""COMPUTED_VALUE"""),"isomorfism")</f>
        <v>isomorfism</v>
      </c>
      <c r="B462" s="2" t="str">
        <f>IFERROR(__xludf.DUMMYFUNCTION("""COMPUTED_VALUE"""),"isomorphism")</f>
        <v>isomorphism</v>
      </c>
      <c r="C462" s="2" t="str">
        <f>IFERROR(__xludf.DUMMYFUNCTION("""COMPUTED_VALUE"""),"isomorfismi, isomorfia")</f>
        <v>isomorfismi, isomorfia</v>
      </c>
      <c r="D462" s="5"/>
      <c r="E462" s="5"/>
      <c r="F462" s="11"/>
      <c r="G462" s="11"/>
    </row>
    <row r="463">
      <c r="A463" s="2" t="str">
        <f>IFERROR(__xludf.DUMMYFUNCTION("""COMPUTED_VALUE"""),"iteration")</f>
        <v>iteration</v>
      </c>
      <c r="B463" s="2" t="str">
        <f>IFERROR(__xludf.DUMMYFUNCTION("""COMPUTED_VALUE"""),"iteration")</f>
        <v>iteration</v>
      </c>
      <c r="C463" s="2" t="str">
        <f>IFERROR(__xludf.DUMMYFUNCTION("""COMPUTED_VALUE"""),"iteraatio")</f>
        <v>iteraatio</v>
      </c>
      <c r="D463" s="5"/>
      <c r="E463" s="5"/>
      <c r="F463" s="11"/>
      <c r="G463" s="11"/>
    </row>
    <row r="464">
      <c r="A464" s="2" t="str">
        <f>IFERROR(__xludf.DUMMYFUNCTION("""COMPUTED_VALUE"""),"Jakob matris")</f>
        <v>Jakob matris</v>
      </c>
      <c r="B464" s="2" t="str">
        <f>IFERROR(__xludf.DUMMYFUNCTION("""COMPUTED_VALUE"""),"Jacobian matrix")</f>
        <v>Jacobian matrix</v>
      </c>
      <c r="C464" s="2" t="str">
        <f>IFERROR(__xludf.DUMMYFUNCTION("""COMPUTED_VALUE"""),"Jacobin matriisi")</f>
        <v>Jacobin matriisi</v>
      </c>
      <c r="D464" s="5"/>
      <c r="E464" s="5"/>
      <c r="F464" s="11"/>
      <c r="G464" s="11"/>
    </row>
    <row r="465">
      <c r="A465" s="2" t="str">
        <f>IFERROR(__xludf.DUMMYFUNCTION("""COMPUTED_VALUE"""),"Jakobdeterminant")</f>
        <v>Jakobdeterminant</v>
      </c>
      <c r="B465" s="2" t="str">
        <f>IFERROR(__xludf.DUMMYFUNCTION("""COMPUTED_VALUE"""),"Jacobian")</f>
        <v>Jacobian</v>
      </c>
      <c r="C465" s="2" t="str">
        <f>IFERROR(__xludf.DUMMYFUNCTION("""COMPUTED_VALUE"""),"Jacobin determinantti, funktionaalideterminantti")</f>
        <v>Jacobin determinantti, funktionaalideterminantti</v>
      </c>
      <c r="D465" s="5"/>
      <c r="E465" s="5"/>
      <c r="F465" s="11"/>
      <c r="G465" s="11"/>
    </row>
    <row r="466">
      <c r="A466" s="2" t="str">
        <f>IFERROR(__xludf.DUMMYFUNCTION("""COMPUTED_VALUE"""),"Jordan-form")</f>
        <v>Jordan-form</v>
      </c>
      <c r="B466" s="2" t="str">
        <f>IFERROR(__xludf.DUMMYFUNCTION("""COMPUTED_VALUE"""),"Jordan form")</f>
        <v>Jordan form</v>
      </c>
      <c r="C466" s="2" t="str">
        <f>IFERROR(__xludf.DUMMYFUNCTION("""COMPUTED_VALUE"""),"Jordanin muoto")</f>
        <v>Jordanin muoto</v>
      </c>
      <c r="D466" s="5"/>
      <c r="E466" s="5"/>
      <c r="F466" s="11"/>
      <c r="G466" s="11"/>
    </row>
    <row r="467">
      <c r="A467" s="2" t="str">
        <f>IFERROR(__xludf.DUMMYFUNCTION("""COMPUTED_VALUE"""),"jämförelsetest")</f>
        <v>jämförelsetest</v>
      </c>
      <c r="B467" s="2" t="str">
        <f>IFERROR(__xludf.DUMMYFUNCTION("""COMPUTED_VALUE"""),"comparison test")</f>
        <v>comparison test</v>
      </c>
      <c r="C467" s="2" t="str">
        <f>IFERROR(__xludf.DUMMYFUNCTION("""COMPUTED_VALUE"""),"vertailutesti")</f>
        <v>vertailutesti</v>
      </c>
      <c r="D467" s="5"/>
      <c r="E467" s="5"/>
      <c r="F467" s="11"/>
      <c r="G467" s="11"/>
    </row>
    <row r="468">
      <c r="A468" s="2" t="str">
        <f>IFERROR(__xludf.DUMMYFUNCTION("""COMPUTED_VALUE"""),"jämn")</f>
        <v>jämn</v>
      </c>
      <c r="B468" s="2" t="str">
        <f>IFERROR(__xludf.DUMMYFUNCTION("""COMPUTED_VALUE"""),"even")</f>
        <v>even</v>
      </c>
      <c r="C468" s="2" t="str">
        <f>IFERROR(__xludf.DUMMYFUNCTION("""COMPUTED_VALUE"""),"parillinen")</f>
        <v>parillinen</v>
      </c>
      <c r="D468" s="5"/>
      <c r="E468" s="5"/>
      <c r="F468" s="11"/>
      <c r="G468" s="11"/>
    </row>
    <row r="469">
      <c r="A469" s="2" t="str">
        <f>IFERROR(__xludf.DUMMYFUNCTION("""COMPUTED_VALUE"""),"kanonisk")</f>
        <v>kanonisk</v>
      </c>
      <c r="B469" s="2" t="str">
        <f>IFERROR(__xludf.DUMMYFUNCTION("""COMPUTED_VALUE"""),"canonical")</f>
        <v>canonical</v>
      </c>
      <c r="C469" s="2" t="str">
        <f>IFERROR(__xludf.DUMMYFUNCTION("""COMPUTED_VALUE"""),"kanoninen")</f>
        <v>kanoninen</v>
      </c>
      <c r="D469" s="5"/>
      <c r="E469" s="5"/>
      <c r="F469" s="11"/>
      <c r="G469" s="11"/>
    </row>
    <row r="470">
      <c r="A470" s="2" t="str">
        <f>IFERROR(__xludf.DUMMYFUNCTION("""COMPUTED_VALUE"""),"kant")</f>
        <v>kant</v>
      </c>
      <c r="B470" s="2" t="str">
        <f>IFERROR(__xludf.DUMMYFUNCTION("""COMPUTED_VALUE"""),"edge")</f>
        <v>edge</v>
      </c>
      <c r="C470" s="2" t="str">
        <f>IFERROR(__xludf.DUMMYFUNCTION("""COMPUTED_VALUE"""),"särmä")</f>
        <v>särmä</v>
      </c>
      <c r="D470" s="5"/>
      <c r="E470" s="5"/>
      <c r="F470" s="11"/>
      <c r="G470" s="11"/>
    </row>
    <row r="471">
      <c r="A471" s="2" t="str">
        <f>IFERROR(__xludf.DUMMYFUNCTION("""COMPUTED_VALUE"""),"kaotisk")</f>
        <v>kaotisk</v>
      </c>
      <c r="B471" s="2" t="str">
        <f>IFERROR(__xludf.DUMMYFUNCTION("""COMPUTED_VALUE"""),"chaotic")</f>
        <v>chaotic</v>
      </c>
      <c r="C471" s="2" t="str">
        <f>IFERROR(__xludf.DUMMYFUNCTION("""COMPUTED_VALUE"""),"kaoottinen")</f>
        <v>kaoottinen</v>
      </c>
      <c r="D471" s="5"/>
      <c r="E471" s="5"/>
      <c r="F471" s="11"/>
      <c r="G471" s="11"/>
    </row>
    <row r="472">
      <c r="A472" s="2" t="str">
        <f>IFERROR(__xludf.DUMMYFUNCTION("""COMPUTED_VALUE"""),"kapitel")</f>
        <v>kapitel</v>
      </c>
      <c r="B472" s="2" t="str">
        <f>IFERROR(__xludf.DUMMYFUNCTION("""COMPUTED_VALUE"""),"chapter")</f>
        <v>chapter</v>
      </c>
      <c r="C472" s="2" t="str">
        <f>IFERROR(__xludf.DUMMYFUNCTION("""COMPUTED_VALUE"""),"luku")</f>
        <v>luku</v>
      </c>
      <c r="D472" s="5"/>
      <c r="E472" s="5"/>
      <c r="F472" s="11"/>
      <c r="G472" s="11"/>
    </row>
    <row r="473">
      <c r="A473" s="2" t="str">
        <f>IFERROR(__xludf.DUMMYFUNCTION("""COMPUTED_VALUE"""),"karakteristisk")</f>
        <v>karakteristisk</v>
      </c>
      <c r="B473" s="2" t="str">
        <f>IFERROR(__xludf.DUMMYFUNCTION("""COMPUTED_VALUE"""),"characteristic")</f>
        <v>characteristic</v>
      </c>
      <c r="C473" s="2" t="str">
        <f>IFERROR(__xludf.DUMMYFUNCTION("""COMPUTED_VALUE"""),"karakteristinen; karakteristika (kunnan)")</f>
        <v>karakteristinen; karakteristika (kunnan)</v>
      </c>
      <c r="D473" s="5"/>
      <c r="E473" s="5"/>
      <c r="F473" s="11"/>
      <c r="G473" s="11"/>
    </row>
    <row r="474">
      <c r="A474" s="2" t="str">
        <f>IFERROR(__xludf.DUMMYFUNCTION("""COMPUTED_VALUE"""),"karakteristisk ekvation")</f>
        <v>karakteristisk ekvation</v>
      </c>
      <c r="B474" s="2" t="str">
        <f>IFERROR(__xludf.DUMMYFUNCTION("""COMPUTED_VALUE"""),"characteristic equation")</f>
        <v>characteristic equation</v>
      </c>
      <c r="C474" s="2" t="str">
        <f>IFERROR(__xludf.DUMMYFUNCTION("""COMPUTED_VALUE"""),"karakteristinen yhtälö")</f>
        <v>karakteristinen yhtälö</v>
      </c>
      <c r="D474" s="5"/>
      <c r="E474" s="5"/>
      <c r="F474" s="11"/>
      <c r="G474" s="11"/>
    </row>
    <row r="475">
      <c r="A475" s="2" t="str">
        <f>IFERROR(__xludf.DUMMYFUNCTION("""COMPUTED_VALUE"""),"karakteristisk funktion")</f>
        <v>karakteristisk funktion</v>
      </c>
      <c r="B475" s="2" t="str">
        <f>IFERROR(__xludf.DUMMYFUNCTION("""COMPUTED_VALUE"""),"characteristic function")</f>
        <v>characteristic function</v>
      </c>
      <c r="C475" s="2" t="str">
        <f>IFERROR(__xludf.DUMMYFUNCTION("""COMPUTED_VALUE"""),"karakteristinen funktio")</f>
        <v>karakteristinen funktio</v>
      </c>
      <c r="D475" s="5"/>
      <c r="E475" s="5"/>
      <c r="F475" s="11"/>
      <c r="G475" s="11"/>
    </row>
    <row r="476">
      <c r="A476" s="2" t="str">
        <f>IFERROR(__xludf.DUMMYFUNCTION("""COMPUTED_VALUE"""),"kardinalitet, mäktighet")</f>
        <v>kardinalitet, mäktighet</v>
      </c>
      <c r="B476" s="2" t="str">
        <f>IFERROR(__xludf.DUMMYFUNCTION("""COMPUTED_VALUE"""),"cardinality")</f>
        <v>cardinality</v>
      </c>
      <c r="C476" s="2" t="str">
        <f>IFERROR(__xludf.DUMMYFUNCTION("""COMPUTED_VALUE"""),"mahtavuus")</f>
        <v>mahtavuus</v>
      </c>
      <c r="D476" s="5"/>
      <c r="E476" s="5"/>
      <c r="F476" s="11"/>
      <c r="G476" s="11"/>
    </row>
    <row r="477">
      <c r="A477" s="2" t="str">
        <f>IFERROR(__xludf.DUMMYFUNCTION("""COMPUTED_VALUE"""),"kardioid")</f>
        <v>kardioid</v>
      </c>
      <c r="B477" s="2" t="str">
        <f>IFERROR(__xludf.DUMMYFUNCTION("""COMPUTED_VALUE"""),"cardioid")</f>
        <v>cardioid</v>
      </c>
      <c r="C477" s="2" t="str">
        <f>IFERROR(__xludf.DUMMYFUNCTION("""COMPUTED_VALUE"""),"kardioidi")</f>
        <v>kardioidi</v>
      </c>
      <c r="D477" s="5"/>
      <c r="E477" s="5"/>
      <c r="F477" s="11"/>
      <c r="G477" s="11"/>
    </row>
    <row r="478">
      <c r="A478" s="2" t="str">
        <f>IFERROR(__xludf.DUMMYFUNCTION("""COMPUTED_VALUE"""),"kartesisk")</f>
        <v>kartesisk</v>
      </c>
      <c r="B478" s="2" t="str">
        <f>IFERROR(__xludf.DUMMYFUNCTION("""COMPUTED_VALUE"""),"Cartesian")</f>
        <v>Cartesian</v>
      </c>
      <c r="C478" s="2" t="str">
        <f>IFERROR(__xludf.DUMMYFUNCTION("""COMPUTED_VALUE"""),"karteesinen")</f>
        <v>karteesinen</v>
      </c>
      <c r="D478" s="5"/>
      <c r="E478" s="5"/>
      <c r="F478" s="11"/>
      <c r="G478" s="11"/>
    </row>
    <row r="479">
      <c r="A479" s="2" t="str">
        <f>IFERROR(__xludf.DUMMYFUNCTION("""COMPUTED_VALUE"""),"katet (-en -er)")</f>
        <v>katet (-en -er)</v>
      </c>
      <c r="B479" s="2" t="str">
        <f>IFERROR(__xludf.DUMMYFUNCTION("""COMPUTED_VALUE"""),"leg (of a triangle)")</f>
        <v>leg (of a triangle)</v>
      </c>
      <c r="C479" s="2" t="str">
        <f>IFERROR(__xludf.DUMMYFUNCTION("""COMPUTED_VALUE"""),"kateetti (kolmion)")</f>
        <v>kateetti (kolmion)</v>
      </c>
      <c r="D479" s="5"/>
      <c r="E479" s="5"/>
      <c r="F479" s="11"/>
      <c r="G479" s="11"/>
    </row>
    <row r="480">
      <c r="A480" s="2" t="str">
        <f>IFERROR(__xludf.DUMMYFUNCTION("""COMPUTED_VALUE"""),"ked")</f>
        <v>ked</v>
      </c>
      <c r="B480" s="2" t="str">
        <f>IFERROR(__xludf.DUMMYFUNCTION("""COMPUTED_VALUE"""),"chain")</f>
        <v>chain</v>
      </c>
      <c r="C480" s="2" t="str">
        <f>IFERROR(__xludf.DUMMYFUNCTION("""COMPUTED_VALUE"""),"ketju")</f>
        <v>ketju</v>
      </c>
      <c r="D480" s="5"/>
      <c r="E480" s="5"/>
      <c r="F480" s="11"/>
      <c r="G480" s="11"/>
    </row>
    <row r="481">
      <c r="A481" s="2" t="str">
        <f>IFERROR(__xludf.DUMMYFUNCTION("""COMPUTED_VALUE"""),"kedjebråk")</f>
        <v>kedjebråk</v>
      </c>
      <c r="B481" s="2" t="str">
        <f>IFERROR(__xludf.DUMMYFUNCTION("""COMPUTED_VALUE"""),"continued fraction")</f>
        <v>continued fraction</v>
      </c>
      <c r="C481" s="2" t="str">
        <f>IFERROR(__xludf.DUMMYFUNCTION("""COMPUTED_VALUE"""),"ketjumurtoluku")</f>
        <v>ketjumurtoluku</v>
      </c>
      <c r="D481" s="5"/>
      <c r="E481" s="5"/>
      <c r="F481" s="11"/>
      <c r="G481" s="11"/>
    </row>
    <row r="482">
      <c r="A482" s="2" t="str">
        <f>IFERROR(__xludf.DUMMYFUNCTION("""COMPUTED_VALUE"""),"kedjeregeln")</f>
        <v>kedjeregeln</v>
      </c>
      <c r="B482" s="2" t="str">
        <f>IFERROR(__xludf.DUMMYFUNCTION("""COMPUTED_VALUE"""),"chain rule")</f>
        <v>chain rule</v>
      </c>
      <c r="C482" s="2" t="str">
        <f>IFERROR(__xludf.DUMMYFUNCTION("""COMPUTED_VALUE"""),"ketjusääntö")</f>
        <v>ketjusääntö</v>
      </c>
      <c r="D482" s="5"/>
      <c r="E482" s="5"/>
      <c r="F482" s="11"/>
      <c r="G482" s="11"/>
    </row>
    <row r="483">
      <c r="A483" s="2" t="str">
        <f>IFERROR(__xludf.DUMMYFUNCTION("""COMPUTED_VALUE"""),"khi")</f>
        <v>khi</v>
      </c>
      <c r="B483" s="2" t="str">
        <f>IFERROR(__xludf.DUMMYFUNCTION("""COMPUTED_VALUE"""),"chi")</f>
        <v>chi</v>
      </c>
      <c r="C483" s="2" t="str">
        <f>IFERROR(__xludf.DUMMYFUNCTION("""COMPUTED_VALUE"""),"khii")</f>
        <v>khii</v>
      </c>
      <c r="D483" s="5"/>
      <c r="E483" s="5"/>
      <c r="F483" s="11"/>
      <c r="G483" s="11"/>
    </row>
    <row r="484">
      <c r="A484" s="2" t="str">
        <f>IFERROR(__xludf.DUMMYFUNCTION("""COMPUTED_VALUE"""),"klockformad kurva")</f>
        <v>klockformad kurva</v>
      </c>
      <c r="B484" s="2" t="str">
        <f>IFERROR(__xludf.DUMMYFUNCTION("""COMPUTED_VALUE"""),"bell-shaped curve")</f>
        <v>bell-shaped curve</v>
      </c>
      <c r="C484" s="2" t="str">
        <f>IFERROR(__xludf.DUMMYFUNCTION("""COMPUTED_VALUE"""),"kellokäyrä")</f>
        <v>kellokäyrä</v>
      </c>
      <c r="D484" s="5"/>
      <c r="E484" s="5"/>
      <c r="F484" s="11"/>
      <c r="G484" s="11"/>
    </row>
    <row r="485">
      <c r="A485" s="2" t="str">
        <f>IFERROR(__xludf.DUMMYFUNCTION("""COMPUTED_VALUE"""),"klot")</f>
        <v>klot</v>
      </c>
      <c r="B485" s="2" t="str">
        <f>IFERROR(__xludf.DUMMYFUNCTION("""COMPUTED_VALUE"""),"ball")</f>
        <v>ball</v>
      </c>
      <c r="C485" s="2" t="str">
        <f>IFERROR(__xludf.DUMMYFUNCTION("""COMPUTED_VALUE"""),"kuula, pallo")</f>
        <v>kuula, pallo</v>
      </c>
      <c r="D485" s="5"/>
      <c r="E485" s="5"/>
      <c r="F485" s="11"/>
      <c r="G485" s="11"/>
    </row>
    <row r="486">
      <c r="A486" s="2" t="str">
        <f>IFERROR(__xludf.DUMMYFUNCTION("""COMPUTED_VALUE"""),"knippe")</f>
        <v>knippe</v>
      </c>
      <c r="B486" s="2" t="str">
        <f>IFERROR(__xludf.DUMMYFUNCTION("""COMPUTED_VALUE"""),"bundle")</f>
        <v>bundle</v>
      </c>
      <c r="C486" s="2" t="str">
        <f>IFERROR(__xludf.DUMMYFUNCTION("""COMPUTED_VALUE"""),"kimppu")</f>
        <v>kimppu</v>
      </c>
      <c r="D486" s="5"/>
      <c r="E486" s="5"/>
      <c r="F486" s="11"/>
      <c r="G486" s="11"/>
    </row>
    <row r="487">
      <c r="A487" s="2" t="str">
        <f>IFERROR(__xludf.DUMMYFUNCTION("""COMPUTED_VALUE"""),"knop")</f>
        <v>knop</v>
      </c>
      <c r="B487" s="2" t="str">
        <f>IFERROR(__xludf.DUMMYFUNCTION("""COMPUTED_VALUE"""),"knot")</f>
        <v>knot</v>
      </c>
      <c r="C487" s="2" t="str">
        <f>IFERROR(__xludf.DUMMYFUNCTION("""COMPUTED_VALUE"""),"solmu")</f>
        <v>solmu</v>
      </c>
      <c r="D487" s="5"/>
      <c r="E487" s="5"/>
      <c r="F487" s="11"/>
      <c r="G487" s="11"/>
    </row>
    <row r="488">
      <c r="A488" s="2" t="str">
        <f>IFERROR(__xludf.DUMMYFUNCTION("""COMPUTED_VALUE"""),"kodimension")</f>
        <v>kodimension</v>
      </c>
      <c r="B488" s="2" t="str">
        <f>IFERROR(__xludf.DUMMYFUNCTION("""COMPUTED_VALUE"""),"codimension")</f>
        <v>codimension</v>
      </c>
      <c r="C488" s="2" t="str">
        <f>IFERROR(__xludf.DUMMYFUNCTION("""COMPUTED_VALUE"""),"kodimensio")</f>
        <v>kodimensio</v>
      </c>
      <c r="D488" s="5"/>
      <c r="E488" s="5"/>
      <c r="F488" s="11"/>
      <c r="G488" s="11"/>
    </row>
    <row r="489">
      <c r="A489" s="2" t="str">
        <f>IFERROR(__xludf.DUMMYFUNCTION("""COMPUTED_VALUE"""),"koefficient")</f>
        <v>koefficient</v>
      </c>
      <c r="B489" s="2" t="str">
        <f>IFERROR(__xludf.DUMMYFUNCTION("""COMPUTED_VALUE"""),"coefficient")</f>
        <v>coefficient</v>
      </c>
      <c r="C489" s="2" t="str">
        <f>IFERROR(__xludf.DUMMYFUNCTION("""COMPUTED_VALUE"""),"kerroin")</f>
        <v>kerroin</v>
      </c>
      <c r="D489" s="5"/>
      <c r="E489" s="5"/>
      <c r="F489" s="11"/>
      <c r="G489" s="11"/>
    </row>
    <row r="490">
      <c r="A490" s="2" t="str">
        <f>IFERROR(__xludf.DUMMYFUNCTION("""COMPUTED_VALUE"""),"koersiv")</f>
        <v>koersiv</v>
      </c>
      <c r="B490" s="2" t="str">
        <f>IFERROR(__xludf.DUMMYFUNCTION("""COMPUTED_VALUE"""),"coercive")</f>
        <v>coercive</v>
      </c>
      <c r="C490" s="2" t="str">
        <f>IFERROR(__xludf.DUMMYFUNCTION("""COMPUTED_VALUE"""),"koersiivinen")</f>
        <v>koersiivinen</v>
      </c>
      <c r="D490" s="5"/>
      <c r="E490" s="5"/>
      <c r="F490" s="11"/>
      <c r="G490" s="11"/>
    </row>
    <row r="491">
      <c r="A491" s="2" t="str">
        <f>IFERROR(__xludf.DUMMYFUNCTION("""COMPUTED_VALUE"""),"kofaktor, algebraiska komplementet")</f>
        <v>kofaktor, algebraiska komplementet</v>
      </c>
      <c r="B491" s="2" t="str">
        <f>IFERROR(__xludf.DUMMYFUNCTION("""COMPUTED_VALUE"""),"cofactor")</f>
        <v>cofactor</v>
      </c>
      <c r="C491" s="2" t="str">
        <f>IFERROR(__xludf.DUMMYFUNCTION("""COMPUTED_VALUE"""),"liittotekijä (ei vakiintunut termi?)")</f>
        <v>liittotekijä (ei vakiintunut termi?)</v>
      </c>
      <c r="D491" s="5"/>
      <c r="E491" s="5"/>
      <c r="F491" s="11"/>
      <c r="G491" s="11"/>
    </row>
    <row r="492">
      <c r="A492" s="2" t="str">
        <f>IFERROR(__xludf.DUMMYFUNCTION("""COMPUTED_VALUE"""),"kollaps")</f>
        <v>kollaps</v>
      </c>
      <c r="B492" s="2" t="str">
        <f>IFERROR(__xludf.DUMMYFUNCTION("""COMPUTED_VALUE"""),"collapse")</f>
        <v>collapse</v>
      </c>
      <c r="C492" s="2" t="str">
        <f>IFERROR(__xludf.DUMMYFUNCTION("""COMPUTED_VALUE"""),"luhistus")</f>
        <v>luhistus</v>
      </c>
      <c r="D492" s="5"/>
      <c r="E492" s="5"/>
      <c r="F492" s="11"/>
      <c r="G492" s="11"/>
    </row>
    <row r="493">
      <c r="A493" s="2" t="str">
        <f>IFERROR(__xludf.DUMMYFUNCTION("""COMPUTED_VALUE"""),"kolonnrum")</f>
        <v>kolonnrum</v>
      </c>
      <c r="B493" s="2" t="str">
        <f>IFERROR(__xludf.DUMMYFUNCTION("""COMPUTED_VALUE"""),"column space")</f>
        <v>column space</v>
      </c>
      <c r="C493" s="2" t="str">
        <f>IFERROR(__xludf.DUMMYFUNCTION("""COMPUTED_VALUE"""),"sarakeavaruus, kuva-avaruus")</f>
        <v>sarakeavaruus, kuva-avaruus</v>
      </c>
      <c r="D493" s="5"/>
      <c r="E493" s="5"/>
      <c r="F493" s="11"/>
      <c r="G493" s="11"/>
    </row>
    <row r="494">
      <c r="A494" s="2" t="str">
        <f>IFERROR(__xludf.DUMMYFUNCTION("""COMPUTED_VALUE"""),"kombination")</f>
        <v>kombination</v>
      </c>
      <c r="B494" s="2" t="str">
        <f>IFERROR(__xludf.DUMMYFUNCTION("""COMPUTED_VALUE"""),"combination")</f>
        <v>combination</v>
      </c>
      <c r="C494" s="2" t="str">
        <f>IFERROR(__xludf.DUMMYFUNCTION("""COMPUTED_VALUE"""),"kombinaatio, yhdistely, yhdistelmä")</f>
        <v>kombinaatio, yhdistely, yhdistelmä</v>
      </c>
      <c r="D494" s="5"/>
      <c r="E494" s="5"/>
      <c r="F494" s="11"/>
      <c r="G494" s="11"/>
    </row>
    <row r="495">
      <c r="A495" s="2" t="str">
        <f>IFERROR(__xludf.DUMMYFUNCTION("""COMPUTED_VALUE"""),"kommutativitet")</f>
        <v>kommutativitet</v>
      </c>
      <c r="B495" s="2" t="str">
        <f>IFERROR(__xludf.DUMMYFUNCTION("""COMPUTED_VALUE"""),"commutative law, commutativity")</f>
        <v>commutative law, commutativity</v>
      </c>
      <c r="C495" s="2" t="str">
        <f>IFERROR(__xludf.DUMMYFUNCTION("""COMPUTED_VALUE"""),"vaihdannaisuus, kommutatiivisuus")</f>
        <v>vaihdannaisuus, kommutatiivisuus</v>
      </c>
      <c r="D495" s="5"/>
      <c r="E495" s="5"/>
      <c r="F495" s="11"/>
      <c r="G495" s="11"/>
    </row>
    <row r="496">
      <c r="A496" s="2" t="str">
        <f>IFERROR(__xludf.DUMMYFUNCTION("""COMPUTED_VALUE"""),"kommutera")</f>
        <v>kommutera</v>
      </c>
      <c r="B496" s="2" t="str">
        <f>IFERROR(__xludf.DUMMYFUNCTION("""COMPUTED_VALUE"""),"commute")</f>
        <v>commute</v>
      </c>
      <c r="C496" s="2" t="str">
        <f>IFERROR(__xludf.DUMMYFUNCTION("""COMPUTED_VALUE"""),"kommutoida")</f>
        <v>kommutoida</v>
      </c>
      <c r="D496" s="5"/>
      <c r="E496" s="5"/>
      <c r="F496" s="11"/>
      <c r="G496" s="11"/>
    </row>
    <row r="497">
      <c r="A497" s="2" t="str">
        <f>IFERROR(__xludf.DUMMYFUNCTION("""COMPUTED_VALUE"""),"kompakt")</f>
        <v>kompakt</v>
      </c>
      <c r="B497" s="2" t="str">
        <f>IFERROR(__xludf.DUMMYFUNCTION("""COMPUTED_VALUE"""),"compact")</f>
        <v>compact</v>
      </c>
      <c r="C497" s="2" t="str">
        <f>IFERROR(__xludf.DUMMYFUNCTION("""COMPUTED_VALUE"""),"kompakti")</f>
        <v>kompakti</v>
      </c>
      <c r="D497" s="5"/>
      <c r="E497" s="5"/>
      <c r="F497" s="11"/>
      <c r="G497" s="11"/>
    </row>
    <row r="498">
      <c r="A498" s="2" t="str">
        <f>IFERROR(__xludf.DUMMYFUNCTION("""COMPUTED_VALUE"""),"komplement")</f>
        <v>komplement</v>
      </c>
      <c r="B498" s="2" t="str">
        <f>IFERROR(__xludf.DUMMYFUNCTION("""COMPUTED_VALUE"""),"complement")</f>
        <v>complement</v>
      </c>
      <c r="C498" s="2" t="str">
        <f>IFERROR(__xludf.DUMMYFUNCTION("""COMPUTED_VALUE"""),"komplementti")</f>
        <v>komplementti</v>
      </c>
      <c r="D498" s="5"/>
      <c r="E498" s="5"/>
      <c r="F498" s="11"/>
      <c r="G498" s="11"/>
    </row>
    <row r="499">
      <c r="A499" s="2" t="str">
        <f>IFERROR(__xludf.DUMMYFUNCTION("""COMPUTED_VALUE"""),"komplementvinkel")</f>
        <v>komplementvinkel</v>
      </c>
      <c r="B499" s="2" t="str">
        <f>IFERROR(__xludf.DUMMYFUNCTION("""COMPUTED_VALUE"""),"complementary angle")</f>
        <v>complementary angle</v>
      </c>
      <c r="C499" s="2" t="str">
        <f>IFERROR(__xludf.DUMMYFUNCTION("""COMPUTED_VALUE"""),"komplementtikulma (90-a)")</f>
        <v>komplementtikulma (90-a)</v>
      </c>
      <c r="D499" s="5"/>
      <c r="E499" s="5"/>
      <c r="F499" s="11"/>
      <c r="G499" s="11"/>
    </row>
    <row r="500">
      <c r="A500" s="2" t="str">
        <f>IFERROR(__xludf.DUMMYFUNCTION("""COMPUTED_VALUE"""),"komplettera")</f>
        <v>komplettera</v>
      </c>
      <c r="B500" s="2" t="str">
        <f>IFERROR(__xludf.DUMMYFUNCTION("""COMPUTED_VALUE"""),"complete")</f>
        <v>complete</v>
      </c>
      <c r="C500" s="2" t="str">
        <f>IFERROR(__xludf.DUMMYFUNCTION("""COMPUTED_VALUE"""),"täydellistää")</f>
        <v>täydellistää</v>
      </c>
      <c r="D500" s="5"/>
      <c r="E500" s="5"/>
      <c r="F500" s="11"/>
      <c r="G500" s="11"/>
    </row>
    <row r="501">
      <c r="A501" s="2" t="str">
        <f>IFERROR(__xludf.DUMMYFUNCTION("""COMPUTED_VALUE"""),"komplexa talplanet")</f>
        <v>komplexa talplanet</v>
      </c>
      <c r="B501" s="2" t="str">
        <f>IFERROR(__xludf.DUMMYFUNCTION("""COMPUTED_VALUE"""),"complex plane")</f>
        <v>complex plane</v>
      </c>
      <c r="C501" s="2" t="str">
        <f>IFERROR(__xludf.DUMMYFUNCTION("""COMPUTED_VALUE"""),"kompleksitaso")</f>
        <v>kompleksitaso</v>
      </c>
      <c r="D501" s="5"/>
      <c r="E501" s="5"/>
      <c r="F501" s="11"/>
      <c r="G501" s="11"/>
    </row>
    <row r="502">
      <c r="A502" s="2" t="str">
        <f>IFERROR(__xludf.DUMMYFUNCTION("""COMPUTED_VALUE"""),"komplext konjugat(tal)")</f>
        <v>komplext konjugat(tal)</v>
      </c>
      <c r="B502" s="2" t="str">
        <f>IFERROR(__xludf.DUMMYFUNCTION("""COMPUTED_VALUE"""),"conjugate, complex conjugate")</f>
        <v>conjugate, complex conjugate</v>
      </c>
      <c r="C502" s="2" t="str">
        <f>IFERROR(__xludf.DUMMYFUNCTION("""COMPUTED_VALUE"""),"liittoluku")</f>
        <v>liittoluku</v>
      </c>
      <c r="D502" s="5"/>
      <c r="E502" s="5"/>
      <c r="F502" s="11"/>
      <c r="G502" s="11"/>
    </row>
    <row r="503">
      <c r="A503" s="2" t="str">
        <f>IFERROR(__xludf.DUMMYFUNCTION("""COMPUTED_VALUE"""),"komplext tal")</f>
        <v>komplext tal</v>
      </c>
      <c r="B503" s="2" t="str">
        <f>IFERROR(__xludf.DUMMYFUNCTION("""COMPUTED_VALUE"""),"complex number")</f>
        <v>complex number</v>
      </c>
      <c r="C503" s="2" t="str">
        <f>IFERROR(__xludf.DUMMYFUNCTION("""COMPUTED_VALUE"""),"kompleksiluku")</f>
        <v>kompleksiluku</v>
      </c>
      <c r="D503" s="5"/>
      <c r="E503" s="5"/>
      <c r="F503" s="11"/>
      <c r="G503" s="11"/>
    </row>
    <row r="504">
      <c r="A504" s="2" t="str">
        <f>IFERROR(__xludf.DUMMYFUNCTION("""COMPUTED_VALUE"""),"komponent")</f>
        <v>komponent</v>
      </c>
      <c r="B504" s="2" t="str">
        <f>IFERROR(__xludf.DUMMYFUNCTION("""COMPUTED_VALUE"""),"component")</f>
        <v>component</v>
      </c>
      <c r="C504" s="2" t="str">
        <f>IFERROR(__xludf.DUMMYFUNCTION("""COMPUTED_VALUE"""),"komponentti")</f>
        <v>komponentti</v>
      </c>
      <c r="D504" s="5"/>
      <c r="E504" s="5"/>
      <c r="F504" s="11"/>
      <c r="G504" s="11"/>
    </row>
    <row r="505">
      <c r="A505" s="2" t="str">
        <f>IFERROR(__xludf.DUMMYFUNCTION("""COMPUTED_VALUE"""),"kon")</f>
        <v>kon</v>
      </c>
      <c r="B505" s="2" t="str">
        <f>IFERROR(__xludf.DUMMYFUNCTION("""COMPUTED_VALUE"""),"cone")</f>
        <v>cone</v>
      </c>
      <c r="C505" s="2" t="str">
        <f>IFERROR(__xludf.DUMMYFUNCTION("""COMPUTED_VALUE"""),"kartio")</f>
        <v>kartio</v>
      </c>
      <c r="D505" s="5"/>
      <c r="E505" s="5"/>
      <c r="F505" s="11"/>
      <c r="G505" s="11"/>
    </row>
    <row r="506">
      <c r="A506" s="2" t="str">
        <f>IFERROR(__xludf.DUMMYFUNCTION("""COMPUTED_VALUE"""),"konform avbildning")</f>
        <v>konform avbildning</v>
      </c>
      <c r="B506" s="2" t="str">
        <f>IFERROR(__xludf.DUMMYFUNCTION("""COMPUTED_VALUE"""),"conformal mapping")</f>
        <v>conformal mapping</v>
      </c>
      <c r="C506" s="2" t="str">
        <f>IFERROR(__xludf.DUMMYFUNCTION("""COMPUTED_VALUE"""),"konformikuvaus")</f>
        <v>konformikuvaus</v>
      </c>
      <c r="D506" s="5"/>
      <c r="E506" s="5"/>
      <c r="F506" s="11"/>
      <c r="G506" s="11"/>
    </row>
    <row r="507">
      <c r="A507" s="2" t="str">
        <f>IFERROR(__xludf.DUMMYFUNCTION("""COMPUTED_VALUE"""),"konjugatlinjär")</f>
        <v>konjugatlinjär</v>
      </c>
      <c r="B507" s="2" t="str">
        <f>IFERROR(__xludf.DUMMYFUNCTION("""COMPUTED_VALUE"""),"conjugate linear")</f>
        <v>conjugate linear</v>
      </c>
      <c r="C507" s="2" t="str">
        <f>IFERROR(__xludf.DUMMYFUNCTION("""COMPUTED_VALUE"""),"konjugaattilineaarinen")</f>
        <v>konjugaattilineaarinen</v>
      </c>
      <c r="D507" s="5"/>
      <c r="E507" s="5"/>
      <c r="F507" s="11"/>
      <c r="G507" s="11"/>
    </row>
    <row r="508">
      <c r="A508" s="2" t="str">
        <f>IFERROR(__xludf.DUMMYFUNCTION("""COMPUTED_VALUE"""),"konjugatlinjär")</f>
        <v>konjugatlinjär</v>
      </c>
      <c r="B508" s="2" t="str">
        <f>IFERROR(__xludf.DUMMYFUNCTION("""COMPUTED_VALUE"""),"conjugate transpose")</f>
        <v>conjugate transpose</v>
      </c>
      <c r="C508" s="2" t="str">
        <f>IFERROR(__xludf.DUMMYFUNCTION("""COMPUTED_VALUE"""),"hermitoitu matriisi")</f>
        <v>hermitoitu matriisi</v>
      </c>
      <c r="D508" s="5"/>
      <c r="E508" s="5"/>
      <c r="F508" s="11"/>
      <c r="G508" s="11"/>
    </row>
    <row r="509">
      <c r="A509" s="2" t="str">
        <f>IFERROR(__xludf.DUMMYFUNCTION("""COMPUTED_VALUE"""),"konjugatpar")</f>
        <v>konjugatpar</v>
      </c>
      <c r="B509" s="2" t="str">
        <f>IFERROR(__xludf.DUMMYFUNCTION("""COMPUTED_VALUE"""),"conjugate pair")</f>
        <v>conjugate pair</v>
      </c>
      <c r="C509" s="2" t="str">
        <f>IFERROR(__xludf.DUMMYFUNCTION("""COMPUTED_VALUE"""),"liittolukupari")</f>
        <v>liittolukupari</v>
      </c>
      <c r="D509" s="5"/>
      <c r="E509" s="5"/>
      <c r="F509" s="11"/>
      <c r="G509" s="11"/>
    </row>
    <row r="510">
      <c r="A510" s="2" t="str">
        <f>IFERROR(__xludf.DUMMYFUNCTION("""COMPUTED_VALUE"""),"konjugatrum")</f>
        <v>konjugatrum</v>
      </c>
      <c r="B510" s="2" t="str">
        <f>IFERROR(__xludf.DUMMYFUNCTION("""COMPUTED_VALUE"""),"conjugate space, dual space, adjoint space")</f>
        <v>conjugate space, dual space, adjoint space</v>
      </c>
      <c r="C510" s="2" t="str">
        <f>IFERROR(__xludf.DUMMYFUNCTION("""COMPUTED_VALUE"""),"duaali(avaruus)")</f>
        <v>duaali(avaruus)</v>
      </c>
      <c r="D510" s="5"/>
      <c r="E510" s="5"/>
      <c r="F510" s="11"/>
      <c r="G510" s="11"/>
    </row>
    <row r="511">
      <c r="A511" s="2" t="str">
        <f>IFERROR(__xludf.DUMMYFUNCTION("""COMPUTED_VALUE"""),"konjugerade gradientmetoden")</f>
        <v>konjugerade gradientmetoden</v>
      </c>
      <c r="B511" s="2" t="str">
        <f>IFERROR(__xludf.DUMMYFUNCTION("""COMPUTED_VALUE"""),"conjugate gradients")</f>
        <v>conjugate gradients</v>
      </c>
      <c r="C511" s="2" t="str">
        <f>IFERROR(__xludf.DUMMYFUNCTION("""COMPUTED_VALUE"""),"liittogradienttimenetelmä")</f>
        <v>liittogradienttimenetelmä</v>
      </c>
      <c r="D511" s="5"/>
      <c r="E511" s="5"/>
      <c r="F511" s="11"/>
      <c r="G511" s="11"/>
    </row>
    <row r="512">
      <c r="A512" s="2" t="str">
        <f>IFERROR(__xludf.DUMMYFUNCTION("""COMPUTED_VALUE"""),"konkav")</f>
        <v>konkav</v>
      </c>
      <c r="B512" s="2" t="str">
        <f>IFERROR(__xludf.DUMMYFUNCTION("""COMPUTED_VALUE"""),"concave (function), concave down, convex up")</f>
        <v>concave (function), concave down, convex up</v>
      </c>
      <c r="C512" s="2" t="str">
        <f>IFERROR(__xludf.DUMMYFUNCTION("""COMPUTED_VALUE"""),"kovera, alhaalta kovera, ylöspäin kupera, konkaavi")</f>
        <v>kovera, alhaalta kovera, ylöspäin kupera, konkaavi</v>
      </c>
      <c r="D512" s="5"/>
      <c r="E512" s="5"/>
      <c r="F512" s="11"/>
      <c r="G512" s="11"/>
    </row>
    <row r="513">
      <c r="A513" s="2" t="str">
        <f>IFERROR(__xludf.DUMMYFUNCTION("""COMPUTED_VALUE"""),"konkavitet")</f>
        <v>konkavitet</v>
      </c>
      <c r="B513" s="2" t="str">
        <f>IFERROR(__xludf.DUMMYFUNCTION("""COMPUTED_VALUE"""),"concavity")</f>
        <v>concavity</v>
      </c>
      <c r="C513" s="2" t="str">
        <f>IFERROR(__xludf.DUMMYFUNCTION("""COMPUTED_VALUE"""),"koveruus, konkaavius")</f>
        <v>koveruus, konkaavius</v>
      </c>
      <c r="D513" s="5"/>
      <c r="E513" s="5"/>
      <c r="F513" s="11"/>
      <c r="G513" s="11"/>
    </row>
    <row r="514">
      <c r="A514" s="2" t="str">
        <f>IFERROR(__xludf.DUMMYFUNCTION("""COMPUTED_VALUE"""),"konsistent")</f>
        <v>konsistent</v>
      </c>
      <c r="B514" s="2" t="str">
        <f>IFERROR(__xludf.DUMMYFUNCTION("""COMPUTED_VALUE"""),"consistent")</f>
        <v>consistent</v>
      </c>
      <c r="C514" s="2" t="str">
        <f>IFERROR(__xludf.DUMMYFUNCTION("""COMPUTED_VALUE"""),"yhteensopiva, konsistentti")</f>
        <v>yhteensopiva, konsistentti</v>
      </c>
      <c r="D514" s="5"/>
      <c r="E514" s="5"/>
      <c r="F514" s="11"/>
      <c r="G514" s="11"/>
    </row>
    <row r="515">
      <c r="A515" s="2" t="str">
        <f>IFERROR(__xludf.DUMMYFUNCTION("""COMPUTED_VALUE"""),"konstant")</f>
        <v>konstant</v>
      </c>
      <c r="B515" s="2" t="str">
        <f>IFERROR(__xludf.DUMMYFUNCTION("""COMPUTED_VALUE"""),"constant")</f>
        <v>constant</v>
      </c>
      <c r="C515" s="2" t="str">
        <f>IFERROR(__xludf.DUMMYFUNCTION("""COMPUTED_VALUE"""),"vakio")</f>
        <v>vakio</v>
      </c>
      <c r="D515" s="5"/>
      <c r="E515" s="5"/>
      <c r="F515" s="11"/>
      <c r="G515" s="11"/>
    </row>
    <row r="516">
      <c r="A516" s="2" t="str">
        <f>IFERROR(__xludf.DUMMYFUNCTION("""COMPUTED_VALUE"""),"kontinuerlig")</f>
        <v>kontinuerlig</v>
      </c>
      <c r="B516" s="2" t="str">
        <f>IFERROR(__xludf.DUMMYFUNCTION("""COMPUTED_VALUE"""),"continuous")</f>
        <v>continuous</v>
      </c>
      <c r="C516" s="2" t="str">
        <f>IFERROR(__xludf.DUMMYFUNCTION("""COMPUTED_VALUE"""),"jatkuva")</f>
        <v>jatkuva</v>
      </c>
      <c r="D516" s="5"/>
      <c r="E516" s="5"/>
      <c r="F516" s="11"/>
      <c r="G516" s="11"/>
    </row>
    <row r="517">
      <c r="A517" s="2" t="str">
        <f>IFERROR(__xludf.DUMMYFUNCTION("""COMPUTED_VALUE"""),"kontinuitet")</f>
        <v>kontinuitet</v>
      </c>
      <c r="B517" s="2" t="str">
        <f>IFERROR(__xludf.DUMMYFUNCTION("""COMPUTED_VALUE"""),"continuity")</f>
        <v>continuity</v>
      </c>
      <c r="C517" s="2" t="str">
        <f>IFERROR(__xludf.DUMMYFUNCTION("""COMPUTED_VALUE"""),"jatkuvuus")</f>
        <v>jatkuvuus</v>
      </c>
      <c r="D517" s="5"/>
      <c r="E517" s="5"/>
      <c r="F517" s="11"/>
      <c r="G517" s="11"/>
    </row>
    <row r="518">
      <c r="A518" s="2" t="str">
        <f>IFERROR(__xludf.DUMMYFUNCTION("""COMPUTED_VALUE"""),"kontinuitetspunkt")</f>
        <v>kontinuitetspunkt</v>
      </c>
      <c r="B518" s="2" t="str">
        <f>IFERROR(__xludf.DUMMYFUNCTION("""COMPUTED_VALUE"""),"point of continuity")</f>
        <v>point of continuity</v>
      </c>
      <c r="C518" s="2" t="str">
        <f>IFERROR(__xludf.DUMMYFUNCTION("""COMPUTED_VALUE"""),"jatkuvuuspiste")</f>
        <v>jatkuvuuspiste</v>
      </c>
      <c r="D518" s="5"/>
      <c r="E518" s="5"/>
      <c r="F518" s="11"/>
      <c r="G518" s="11"/>
    </row>
    <row r="519">
      <c r="A519" s="2" t="str">
        <f>IFERROR(__xludf.DUMMYFUNCTION("""COMPUTED_VALUE"""),"kontinuum")</f>
        <v>kontinuum</v>
      </c>
      <c r="B519" s="2" t="str">
        <f>IFERROR(__xludf.DUMMYFUNCTION("""COMPUTED_VALUE"""),"continuum")</f>
        <v>continuum</v>
      </c>
      <c r="C519" s="2" t="str">
        <f>IFERROR(__xludf.DUMMYFUNCTION("""COMPUTED_VALUE"""),"jatkumo, kontinuumi")</f>
        <v>jatkumo, kontinuumi</v>
      </c>
      <c r="D519" s="5"/>
      <c r="E519" s="5"/>
      <c r="F519" s="11"/>
      <c r="G519" s="11"/>
    </row>
    <row r="520">
      <c r="A520" s="2" t="str">
        <f>IFERROR(__xludf.DUMMYFUNCTION("""COMPUTED_VALUE"""),"kontrakterbar")</f>
        <v>kontrakterbar</v>
      </c>
      <c r="B520" s="2" t="str">
        <f>IFERROR(__xludf.DUMMYFUNCTION("""COMPUTED_VALUE"""),"contractible")</f>
        <v>contractible</v>
      </c>
      <c r="C520" s="2" t="str">
        <f>IFERROR(__xludf.DUMMYFUNCTION("""COMPUTED_VALUE"""),"kutistuva")</f>
        <v>kutistuva</v>
      </c>
      <c r="D520" s="5"/>
      <c r="E520" s="5"/>
      <c r="F520" s="11"/>
      <c r="G520" s="11"/>
    </row>
    <row r="521">
      <c r="A521" s="2" t="str">
        <f>IFERROR(__xludf.DUMMYFUNCTION("""COMPUTED_VALUE"""),"kontraktion")</f>
        <v>kontraktion</v>
      </c>
      <c r="B521" s="2" t="str">
        <f>IFERROR(__xludf.DUMMYFUNCTION("""COMPUTED_VALUE"""),"contraction")</f>
        <v>contraction</v>
      </c>
      <c r="C521" s="2" t="str">
        <f>IFERROR(__xludf.DUMMYFUNCTION("""COMPUTED_VALUE"""),"kutistus, kontraktio")</f>
        <v>kutistus, kontraktio</v>
      </c>
      <c r="D521" s="5"/>
      <c r="E521" s="5"/>
      <c r="F521" s="11"/>
      <c r="G521" s="11"/>
    </row>
    <row r="522">
      <c r="A522" s="2" t="str">
        <f>IFERROR(__xludf.DUMMYFUNCTION("""COMPUTED_VALUE"""),"kontur, höjdkurva")</f>
        <v>kontur, höjdkurva</v>
      </c>
      <c r="B522" s="2" t="str">
        <f>IFERROR(__xludf.DUMMYFUNCTION("""COMPUTED_VALUE"""),"contour, level curve")</f>
        <v>contour, level curve</v>
      </c>
      <c r="C522" s="2" t="str">
        <f>IFERROR(__xludf.DUMMYFUNCTION("""COMPUTED_VALUE"""),"tasa-arvokäyrä")</f>
        <v>tasa-arvokäyrä</v>
      </c>
      <c r="D522" s="5"/>
      <c r="E522" s="5"/>
      <c r="F522" s="11"/>
      <c r="G522" s="11"/>
    </row>
    <row r="523">
      <c r="A523" s="2" t="str">
        <f>IFERROR(__xludf.DUMMYFUNCTION("""COMPUTED_VALUE"""),"konvergens")</f>
        <v>konvergens</v>
      </c>
      <c r="B523" s="2" t="str">
        <f>IFERROR(__xludf.DUMMYFUNCTION("""COMPUTED_VALUE"""),"convergence")</f>
        <v>convergence</v>
      </c>
      <c r="C523" s="2" t="str">
        <f>IFERROR(__xludf.DUMMYFUNCTION("""COMPUTED_VALUE"""),"suppeneminen")</f>
        <v>suppeneminen</v>
      </c>
      <c r="D523" s="5"/>
      <c r="E523" s="5"/>
      <c r="F523" s="11"/>
      <c r="G523" s="11"/>
    </row>
    <row r="524">
      <c r="A524" s="2" t="str">
        <f>IFERROR(__xludf.DUMMYFUNCTION("""COMPUTED_VALUE"""),"konvergensradie")</f>
        <v>konvergensradie</v>
      </c>
      <c r="B524" s="2" t="str">
        <f>IFERROR(__xludf.DUMMYFUNCTION("""COMPUTED_VALUE"""),"radius of convergence")</f>
        <v>radius of convergence</v>
      </c>
      <c r="C524" s="2" t="str">
        <f>IFERROR(__xludf.DUMMYFUNCTION("""COMPUTED_VALUE"""),"suppenemissäde")</f>
        <v>suppenemissäde</v>
      </c>
      <c r="D524" s="5"/>
      <c r="E524" s="5"/>
      <c r="F524" s="11"/>
      <c r="G524" s="11"/>
    </row>
    <row r="525">
      <c r="A525" s="2" t="str">
        <f>IFERROR(__xludf.DUMMYFUNCTION("""COMPUTED_VALUE"""),"konvergera")</f>
        <v>konvergera</v>
      </c>
      <c r="B525" s="2" t="str">
        <f>IFERROR(__xludf.DUMMYFUNCTION("""COMPUTED_VALUE"""),"converge")</f>
        <v>converge</v>
      </c>
      <c r="C525" s="2" t="str">
        <f>IFERROR(__xludf.DUMMYFUNCTION("""COMPUTED_VALUE"""),"supeta")</f>
        <v>supeta</v>
      </c>
      <c r="D525" s="5"/>
      <c r="E525" s="5"/>
      <c r="F525" s="11"/>
      <c r="G525" s="11"/>
    </row>
    <row r="526">
      <c r="A526" s="2" t="str">
        <f>IFERROR(__xludf.DUMMYFUNCTION("""COMPUTED_VALUE"""),"konvex")</f>
        <v>konvex</v>
      </c>
      <c r="B526" s="2" t="str">
        <f>IFERROR(__xludf.DUMMYFUNCTION("""COMPUTED_VALUE"""),"convex (function), convex down, concave up")</f>
        <v>convex (function), convex down, concave up</v>
      </c>
      <c r="C526" s="2" t="str">
        <f>IFERROR(__xludf.DUMMYFUNCTION("""COMPUTED_VALUE"""),"konveksi, kupera, alaspäin kupera, ylhäältä kovera")</f>
        <v>konveksi, kupera, alaspäin kupera, ylhäältä kovera</v>
      </c>
      <c r="D526" s="5"/>
      <c r="E526" s="5"/>
      <c r="F526" s="11"/>
      <c r="G526" s="11"/>
    </row>
    <row r="527">
      <c r="A527" s="2" t="str">
        <f>IFERROR(__xludf.DUMMYFUNCTION("""COMPUTED_VALUE"""),"konvolution")</f>
        <v>konvolution</v>
      </c>
      <c r="B527" s="2" t="str">
        <f>IFERROR(__xludf.DUMMYFUNCTION("""COMPUTED_VALUE"""),"convolution")</f>
        <v>convolution</v>
      </c>
      <c r="C527" s="2" t="str">
        <f>IFERROR(__xludf.DUMMYFUNCTION("""COMPUTED_VALUE"""),"konvoluutio")</f>
        <v>konvoluutio</v>
      </c>
      <c r="D527" s="5"/>
      <c r="E527" s="5"/>
      <c r="F527" s="11"/>
      <c r="G527" s="11"/>
    </row>
    <row r="528">
      <c r="A528" s="2" t="str">
        <f>IFERROR(__xludf.DUMMYFUNCTION("""COMPUTED_VALUE"""),"koordinataxlar")</f>
        <v>koordinataxlar</v>
      </c>
      <c r="B528" s="2" t="str">
        <f>IFERROR(__xludf.DUMMYFUNCTION("""COMPUTED_VALUE"""),"coordinate axes")</f>
        <v>coordinate axes</v>
      </c>
      <c r="C528" s="2" t="str">
        <f>IFERROR(__xludf.DUMMYFUNCTION("""COMPUTED_VALUE"""),"koordinaattiakselit")</f>
        <v>koordinaattiakselit</v>
      </c>
      <c r="D528" s="5"/>
      <c r="E528" s="5"/>
      <c r="F528" s="11"/>
      <c r="G528" s="11"/>
    </row>
    <row r="529">
      <c r="A529" s="2" t="str">
        <f>IFERROR(__xludf.DUMMYFUNCTION("""COMPUTED_VALUE"""),"korda")</f>
        <v>korda</v>
      </c>
      <c r="B529" s="2" t="str">
        <f>IFERROR(__xludf.DUMMYFUNCTION("""COMPUTED_VALUE"""),"chord line, secant line")</f>
        <v>chord line, secant line</v>
      </c>
      <c r="C529" s="2" t="str">
        <f>IFERROR(__xludf.DUMMYFUNCTION("""COMPUTED_VALUE"""),"sekantti, jänne")</f>
        <v>sekantti, jänne</v>
      </c>
      <c r="D529" s="5"/>
      <c r="E529" s="5"/>
      <c r="F529" s="11"/>
      <c r="G529" s="11"/>
    </row>
    <row r="530">
      <c r="A530" s="2" t="str">
        <f>IFERROR(__xludf.DUMMYFUNCTION("""COMPUTED_VALUE"""),"korollarium, följdsats")</f>
        <v>korollarium, följdsats</v>
      </c>
      <c r="B530" s="2" t="str">
        <f>IFERROR(__xludf.DUMMYFUNCTION("""COMPUTED_VALUE"""),"corollary")</f>
        <v>corollary</v>
      </c>
      <c r="C530" s="2" t="str">
        <f>IFERROR(__xludf.DUMMYFUNCTION("""COMPUTED_VALUE"""),"korollaari, seuraus")</f>
        <v>korollaari, seuraus</v>
      </c>
      <c r="D530" s="5"/>
      <c r="E530" s="5"/>
      <c r="F530" s="11"/>
      <c r="G530" s="11"/>
    </row>
    <row r="531">
      <c r="A531" s="2" t="str">
        <f>IFERROR(__xludf.DUMMYFUNCTION("""COMPUTED_VALUE"""),"korrelation")</f>
        <v>korrelation</v>
      </c>
      <c r="B531" s="2" t="str">
        <f>IFERROR(__xludf.DUMMYFUNCTION("""COMPUTED_VALUE"""),"correlation")</f>
        <v>correlation</v>
      </c>
      <c r="C531" s="2" t="str">
        <f>IFERROR(__xludf.DUMMYFUNCTION("""COMPUTED_VALUE"""),"korrelaatio")</f>
        <v>korrelaatio</v>
      </c>
      <c r="D531" s="5"/>
      <c r="E531" s="5"/>
      <c r="F531" s="11"/>
      <c r="G531" s="11"/>
    </row>
    <row r="532">
      <c r="A532" s="2" t="str">
        <f>IFERROR(__xludf.DUMMYFUNCTION("""COMPUTED_VALUE"""),"kovarians")</f>
        <v>kovarians</v>
      </c>
      <c r="B532" s="2" t="str">
        <f>IFERROR(__xludf.DUMMYFUNCTION("""COMPUTED_VALUE"""),"covariance")</f>
        <v>covariance</v>
      </c>
      <c r="C532" s="2" t="str">
        <f>IFERROR(__xludf.DUMMYFUNCTION("""COMPUTED_VALUE"""),"kovarianssi")</f>
        <v>kovarianssi</v>
      </c>
      <c r="D532" s="5"/>
      <c r="E532" s="5"/>
      <c r="F532" s="11"/>
      <c r="G532" s="11"/>
    </row>
    <row r="533">
      <c r="A533" s="2" t="str">
        <f>IFERROR(__xludf.DUMMYFUNCTION("""COMPUTED_VALUE"""),"krage")</f>
        <v>krage</v>
      </c>
      <c r="B533" s="2" t="str">
        <f>IFERROR(__xludf.DUMMYFUNCTION("""COMPUTED_VALUE"""),"collar")</f>
        <v>collar</v>
      </c>
      <c r="C533" s="2" t="str">
        <f>IFERROR(__xludf.DUMMYFUNCTION("""COMPUTED_VALUE"""),"kaulus")</f>
        <v>kaulus</v>
      </c>
      <c r="D533" s="5"/>
      <c r="E533" s="5"/>
      <c r="F533" s="11"/>
      <c r="G533" s="11"/>
    </row>
    <row r="534">
      <c r="A534" s="2" t="str">
        <f>IFERROR(__xludf.DUMMYFUNCTION("""COMPUTED_VALUE"""),"kritisk punkt")</f>
        <v>kritisk punkt</v>
      </c>
      <c r="B534" s="2" t="str">
        <f>IFERROR(__xludf.DUMMYFUNCTION("""COMPUTED_VALUE"""),"critical point")</f>
        <v>critical point</v>
      </c>
      <c r="C534" s="2" t="str">
        <f>IFERROR(__xludf.DUMMYFUNCTION("""COMPUTED_VALUE"""),"kriittinen piste")</f>
        <v>kriittinen piste</v>
      </c>
      <c r="D534" s="5"/>
      <c r="E534" s="5"/>
      <c r="F534" s="11"/>
      <c r="G534" s="11"/>
    </row>
    <row r="535">
      <c r="A535" s="2" t="str">
        <f>IFERROR(__xludf.DUMMYFUNCTION("""COMPUTED_VALUE"""),"kroklinjiga koordinater")</f>
        <v>kroklinjiga koordinater</v>
      </c>
      <c r="B535" s="2" t="str">
        <f>IFERROR(__xludf.DUMMYFUNCTION("""COMPUTED_VALUE"""),"curvilinear coordinates")</f>
        <v>curvilinear coordinates</v>
      </c>
      <c r="C535" s="2" t="str">
        <f>IFERROR(__xludf.DUMMYFUNCTION("""COMPUTED_VALUE"""),"käyräviivaiset koordinaatit")</f>
        <v>käyräviivaiset koordinaatit</v>
      </c>
      <c r="D535" s="5"/>
      <c r="E535" s="5"/>
      <c r="F535" s="11"/>
      <c r="G535" s="11"/>
    </row>
    <row r="536">
      <c r="A536" s="2" t="str">
        <f>IFERROR(__xludf.DUMMYFUNCTION("""COMPUTED_VALUE"""),"krusning")</f>
        <v>krusning</v>
      </c>
      <c r="B536" s="2" t="str">
        <f>IFERROR(__xludf.DUMMYFUNCTION("""COMPUTED_VALUE"""),"wavelet")</f>
        <v>wavelet</v>
      </c>
      <c r="C536" s="2" t="str">
        <f>IFERROR(__xludf.DUMMYFUNCTION("""COMPUTED_VALUE"""),"aalloke, aaltonen")</f>
        <v>aalloke, aaltonen</v>
      </c>
      <c r="D536" s="5"/>
      <c r="E536" s="5"/>
      <c r="F536" s="11"/>
      <c r="G536" s="11"/>
    </row>
    <row r="537">
      <c r="A537" s="2" t="str">
        <f>IFERROR(__xludf.DUMMYFUNCTION("""COMPUTED_VALUE"""),"kryssprodukt, vektorprodukt")</f>
        <v>kryssprodukt, vektorprodukt</v>
      </c>
      <c r="B537" s="2" t="str">
        <f>IFERROR(__xludf.DUMMYFUNCTION("""COMPUTED_VALUE"""),"cross product")</f>
        <v>cross product</v>
      </c>
      <c r="C537" s="2" t="str">
        <f>IFERROR(__xludf.DUMMYFUNCTION("""COMPUTED_VALUE"""),"ristitulo, vektoritulo")</f>
        <v>ristitulo, vektoritulo</v>
      </c>
      <c r="D537" s="5"/>
      <c r="E537" s="5"/>
      <c r="F537" s="11"/>
      <c r="G537" s="11"/>
    </row>
    <row r="538">
      <c r="A538" s="2" t="str">
        <f>IFERROR(__xludf.DUMMYFUNCTION("""COMPUTED_VALUE"""),"krökning")</f>
        <v>krökning</v>
      </c>
      <c r="B538" s="2" t="str">
        <f>IFERROR(__xludf.DUMMYFUNCTION("""COMPUTED_VALUE"""),"curvature")</f>
        <v>curvature</v>
      </c>
      <c r="C538" s="2" t="str">
        <f>IFERROR(__xludf.DUMMYFUNCTION("""COMPUTED_VALUE"""),"kaarevuus")</f>
        <v>kaarevuus</v>
      </c>
      <c r="D538" s="5"/>
      <c r="E538" s="5"/>
      <c r="F538" s="11"/>
      <c r="G538" s="11"/>
    </row>
    <row r="539">
      <c r="A539" s="2" t="str">
        <f>IFERROR(__xludf.DUMMYFUNCTION("""COMPUTED_VALUE"""),"krökningscentrum")</f>
        <v>krökningscentrum</v>
      </c>
      <c r="B539" s="2" t="str">
        <f>IFERROR(__xludf.DUMMYFUNCTION("""COMPUTED_VALUE"""),"center of curvature")</f>
        <v>center of curvature</v>
      </c>
      <c r="C539" s="2" t="str">
        <f>IFERROR(__xludf.DUMMYFUNCTION("""COMPUTED_VALUE"""),"kaarevuuskeskipiste")</f>
        <v>kaarevuuskeskipiste</v>
      </c>
      <c r="D539" s="5"/>
      <c r="E539" s="5"/>
      <c r="F539" s="11"/>
      <c r="G539" s="11"/>
    </row>
    <row r="540">
      <c r="A540" s="2" t="str">
        <f>IFERROR(__xludf.DUMMYFUNCTION("""COMPUTED_VALUE"""),"krökningsradie")</f>
        <v>krökningsradie</v>
      </c>
      <c r="B540" s="2" t="str">
        <f>IFERROR(__xludf.DUMMYFUNCTION("""COMPUTED_VALUE"""),"radius of curvature")</f>
        <v>radius of curvature</v>
      </c>
      <c r="C540" s="2" t="str">
        <f>IFERROR(__xludf.DUMMYFUNCTION("""COMPUTED_VALUE"""),"kaarevuussäde")</f>
        <v>kaarevuussäde</v>
      </c>
      <c r="D540" s="5"/>
      <c r="E540" s="5"/>
      <c r="F540" s="11"/>
      <c r="G540" s="11"/>
    </row>
    <row r="541">
      <c r="A541" s="2" t="str">
        <f>IFERROR(__xludf.DUMMYFUNCTION("""COMPUTED_VALUE"""),"kub")</f>
        <v>kub</v>
      </c>
      <c r="B541" s="2" t="str">
        <f>IFERROR(__xludf.DUMMYFUNCTION("""COMPUTED_VALUE"""),"cube")</f>
        <v>cube</v>
      </c>
      <c r="C541" s="2" t="str">
        <f>IFERROR(__xludf.DUMMYFUNCTION("""COMPUTED_VALUE"""),"kuutio")</f>
        <v>kuutio</v>
      </c>
      <c r="D541" s="5"/>
      <c r="E541" s="5"/>
      <c r="F541" s="11"/>
      <c r="G541" s="11"/>
    </row>
    <row r="542">
      <c r="A542" s="2" t="str">
        <f>IFERROR(__xludf.DUMMYFUNCTION("""COMPUTED_VALUE"""),"kurva")</f>
        <v>kurva</v>
      </c>
      <c r="B542" s="2" t="str">
        <f>IFERROR(__xludf.DUMMYFUNCTION("""COMPUTED_VALUE"""),"curve")</f>
        <v>curve</v>
      </c>
      <c r="C542" s="2" t="str">
        <f>IFERROR(__xludf.DUMMYFUNCTION("""COMPUTED_VALUE"""),"käyrä")</f>
        <v>käyrä</v>
      </c>
      <c r="D542" s="5"/>
      <c r="E542" s="5"/>
      <c r="F542" s="11"/>
      <c r="G542" s="11"/>
    </row>
    <row r="543">
      <c r="A543" s="2" t="str">
        <f>IFERROR(__xludf.DUMMYFUNCTION("""COMPUTED_VALUE"""),"kurva I polärform")</f>
        <v>kurva I polärform</v>
      </c>
      <c r="B543" s="2" t="str">
        <f>IFERROR(__xludf.DUMMYFUNCTION("""COMPUTED_VALUE"""),"polar curve")</f>
        <v>polar curve</v>
      </c>
      <c r="C543" s="2" t="str">
        <f>IFERROR(__xludf.DUMMYFUNCTION("""COMPUTED_VALUE"""),"käyrä napakoordinaattimuodossa")</f>
        <v>käyrä napakoordinaattimuodossa</v>
      </c>
      <c r="D543" s="5"/>
      <c r="E543" s="5"/>
      <c r="F543" s="11"/>
      <c r="G543" s="11"/>
    </row>
    <row r="544">
      <c r="A544" s="2" t="str">
        <f>IFERROR(__xludf.DUMMYFUNCTION("""COMPUTED_VALUE"""),"kurvfamilj")</f>
        <v>kurvfamilj</v>
      </c>
      <c r="B544" s="2" t="str">
        <f>IFERROR(__xludf.DUMMYFUNCTION("""COMPUTED_VALUE"""),"family of curves")</f>
        <v>family of curves</v>
      </c>
      <c r="C544" s="2" t="str">
        <f>IFERROR(__xludf.DUMMYFUNCTION("""COMPUTED_VALUE"""),"käyräparvi")</f>
        <v>käyräparvi</v>
      </c>
      <c r="D544" s="5"/>
      <c r="E544" s="5"/>
      <c r="F544" s="11"/>
      <c r="G544" s="11"/>
    </row>
    <row r="545">
      <c r="A545" s="2" t="str">
        <f>IFERROR(__xludf.DUMMYFUNCTION("""COMPUTED_VALUE"""),"kurvintegral")</f>
        <v>kurvintegral</v>
      </c>
      <c r="B545" s="2" t="str">
        <f>IFERROR(__xludf.DUMMYFUNCTION("""COMPUTED_VALUE"""),"line integral")</f>
        <v>line integral</v>
      </c>
      <c r="C545" s="2" t="str">
        <f>IFERROR(__xludf.DUMMYFUNCTION("""COMPUTED_VALUE"""),"viivaintegraali")</f>
        <v>viivaintegraali</v>
      </c>
      <c r="D545" s="5"/>
      <c r="E545" s="5"/>
      <c r="F545" s="11"/>
      <c r="G545" s="11"/>
    </row>
    <row r="546">
      <c r="A546" s="2" t="str">
        <f>IFERROR(__xludf.DUMMYFUNCTION("""COMPUTED_VALUE"""),"kutva i parameterform")</f>
        <v>kutva i parameterform</v>
      </c>
      <c r="B546" s="2" t="str">
        <f>IFERROR(__xludf.DUMMYFUNCTION("""COMPUTED_VALUE"""),"parametric curve")</f>
        <v>parametric curve</v>
      </c>
      <c r="C546" s="2" t="str">
        <f>IFERROR(__xludf.DUMMYFUNCTION("""COMPUTED_VALUE"""),"parametrimuotoinen käyrä")</f>
        <v>parametrimuotoinen käyrä</v>
      </c>
      <c r="D546" s="5"/>
      <c r="E546" s="5"/>
      <c r="F546" s="11"/>
      <c r="G546" s="11"/>
    </row>
    <row r="547">
      <c r="A547" s="2" t="str">
        <f>IFERROR(__xludf.DUMMYFUNCTION("""COMPUTED_VALUE"""),"kvadrat")</f>
        <v>kvadrat</v>
      </c>
      <c r="B547" s="2" t="str">
        <f>IFERROR(__xludf.DUMMYFUNCTION("""COMPUTED_VALUE"""),"square")</f>
        <v>square</v>
      </c>
      <c r="C547" s="2" t="str">
        <f>IFERROR(__xludf.DUMMYFUNCTION("""COMPUTED_VALUE"""),"neliö")</f>
        <v>neliö</v>
      </c>
      <c r="D547" s="5"/>
      <c r="E547" s="5"/>
      <c r="F547" s="11"/>
      <c r="G547" s="11"/>
    </row>
    <row r="548">
      <c r="A548" s="2" t="str">
        <f>IFERROR(__xludf.DUMMYFUNCTION("""COMPUTED_VALUE"""),"kvadratisk approximation")</f>
        <v>kvadratisk approximation</v>
      </c>
      <c r="B548" s="2" t="str">
        <f>IFERROR(__xludf.DUMMYFUNCTION("""COMPUTED_VALUE"""),"quadratic approximation")</f>
        <v>quadratic approximation</v>
      </c>
      <c r="C548" s="2" t="str">
        <f>IFERROR(__xludf.DUMMYFUNCTION("""COMPUTED_VALUE"""),"kvadraattinen approksimaatio")</f>
        <v>kvadraattinen approksimaatio</v>
      </c>
      <c r="D548" s="5"/>
      <c r="E548" s="5"/>
      <c r="F548" s="11"/>
      <c r="G548" s="11"/>
    </row>
    <row r="549">
      <c r="A549" s="2" t="str">
        <f>IFERROR(__xludf.DUMMYFUNCTION("""COMPUTED_VALUE"""),"kvadratisk form")</f>
        <v>kvadratisk form</v>
      </c>
      <c r="B549" s="2" t="str">
        <f>IFERROR(__xludf.DUMMYFUNCTION("""COMPUTED_VALUE"""),"quadratic form")</f>
        <v>quadratic form</v>
      </c>
      <c r="C549" s="2" t="str">
        <f>IFERROR(__xludf.DUMMYFUNCTION("""COMPUTED_VALUE"""),"neliömuoto")</f>
        <v>neliömuoto</v>
      </c>
      <c r="D549" s="5"/>
      <c r="E549" s="5"/>
      <c r="F549" s="11"/>
      <c r="G549" s="11"/>
    </row>
    <row r="550">
      <c r="A550" s="2" t="str">
        <f>IFERROR(__xludf.DUMMYFUNCTION("""COMPUTED_VALUE"""),"kvadratisk matris")</f>
        <v>kvadratisk matris</v>
      </c>
      <c r="B550" s="2" t="str">
        <f>IFERROR(__xludf.DUMMYFUNCTION("""COMPUTED_VALUE"""),"square matrix")</f>
        <v>square matrix</v>
      </c>
      <c r="C550" s="2" t="str">
        <f>IFERROR(__xludf.DUMMYFUNCTION("""COMPUTED_VALUE"""),"neliömatriisi")</f>
        <v>neliömatriisi</v>
      </c>
      <c r="D550" s="5"/>
      <c r="E550" s="5"/>
      <c r="F550" s="11"/>
      <c r="G550" s="11"/>
    </row>
    <row r="551">
      <c r="A551" s="2" t="str">
        <f>IFERROR(__xludf.DUMMYFUNCTION("""COMPUTED_VALUE"""),"kvadratiskt medelvärde")</f>
        <v>kvadratiskt medelvärde</v>
      </c>
      <c r="B551" s="2" t="str">
        <f>IFERROR(__xludf.DUMMYFUNCTION("""COMPUTED_VALUE"""),"quadratic mean")</f>
        <v>quadratic mean</v>
      </c>
      <c r="C551" s="2" t="str">
        <f>IFERROR(__xludf.DUMMYFUNCTION("""COMPUTED_VALUE"""),"neliökeskiarvo")</f>
        <v>neliökeskiarvo</v>
      </c>
      <c r="D551" s="5"/>
      <c r="E551" s="5"/>
      <c r="F551" s="11"/>
      <c r="G551" s="11"/>
    </row>
    <row r="552">
      <c r="A552" s="2" t="str">
        <f>IFERROR(__xludf.DUMMYFUNCTION("""COMPUTED_VALUE"""),"kvadratrot")</f>
        <v>kvadratrot</v>
      </c>
      <c r="B552" s="2" t="str">
        <f>IFERROR(__xludf.DUMMYFUNCTION("""COMPUTED_VALUE"""),"square root")</f>
        <v>square root</v>
      </c>
      <c r="C552" s="2" t="str">
        <f>IFERROR(__xludf.DUMMYFUNCTION("""COMPUTED_VALUE"""),"neliöjuuri")</f>
        <v>neliöjuuri</v>
      </c>
      <c r="D552" s="5"/>
      <c r="E552" s="5"/>
      <c r="F552" s="11"/>
      <c r="G552" s="11"/>
    </row>
    <row r="553">
      <c r="A553" s="2" t="str">
        <f>IFERROR(__xludf.DUMMYFUNCTION("""COMPUTED_VALUE"""),"kvot")</f>
        <v>kvot</v>
      </c>
      <c r="B553" s="2" t="str">
        <f>IFERROR(__xludf.DUMMYFUNCTION("""COMPUTED_VALUE"""),"quotient")</f>
        <v>quotient</v>
      </c>
      <c r="C553" s="2" t="str">
        <f>IFERROR(__xludf.DUMMYFUNCTION("""COMPUTED_VALUE"""),"osamäärä")</f>
        <v>osamäärä</v>
      </c>
      <c r="D553" s="5"/>
      <c r="E553" s="5"/>
      <c r="F553" s="11"/>
      <c r="G553" s="11"/>
    </row>
    <row r="554">
      <c r="A554" s="2" t="str">
        <f>IFERROR(__xludf.DUMMYFUNCTION("""COMPUTED_VALUE"""),"kvotkriterium")</f>
        <v>kvotkriterium</v>
      </c>
      <c r="B554" s="2" t="str">
        <f>IFERROR(__xludf.DUMMYFUNCTION("""COMPUTED_VALUE"""),"ratio test")</f>
        <v>ratio test</v>
      </c>
      <c r="C554" s="2" t="str">
        <f>IFERROR(__xludf.DUMMYFUNCTION("""COMPUTED_VALUE"""),"suhdetesti")</f>
        <v>suhdetesti</v>
      </c>
      <c r="D554" s="5"/>
      <c r="E554" s="5"/>
      <c r="F554" s="11"/>
      <c r="G554" s="11"/>
    </row>
    <row r="555">
      <c r="A555" s="2" t="str">
        <f>IFERROR(__xludf.DUMMYFUNCTION("""COMPUTED_VALUE"""),"kägelsnitt")</f>
        <v>kägelsnitt</v>
      </c>
      <c r="B555" s="2" t="str">
        <f>IFERROR(__xludf.DUMMYFUNCTION("""COMPUTED_VALUE"""),"conic, conic section")</f>
        <v>conic, conic section</v>
      </c>
      <c r="C555" s="2" t="str">
        <f>IFERROR(__xludf.DUMMYFUNCTION("""COMPUTED_VALUE"""),"kartioleikkaus")</f>
        <v>kartioleikkaus</v>
      </c>
      <c r="D555" s="5"/>
      <c r="E555" s="5"/>
      <c r="F555" s="11"/>
      <c r="G555" s="11"/>
    </row>
    <row r="556">
      <c r="A556" s="2" t="str">
        <f>IFERROR(__xludf.DUMMYFUNCTION("""COMPUTED_VALUE"""),"källa")</f>
        <v>källa</v>
      </c>
      <c r="B556" s="2" t="str">
        <f>IFERROR(__xludf.DUMMYFUNCTION("""COMPUTED_VALUE"""),"source")</f>
        <v>source</v>
      </c>
      <c r="C556" s="2" t="str">
        <f>IFERROR(__xludf.DUMMYFUNCTION("""COMPUTED_VALUE"""),"lähde")</f>
        <v>lähde</v>
      </c>
      <c r="D556" s="5"/>
      <c r="E556" s="5"/>
      <c r="F556" s="11"/>
      <c r="G556" s="11"/>
    </row>
    <row r="557">
      <c r="A557" s="2" t="str">
        <f>IFERROR(__xludf.DUMMYFUNCTION("""COMPUTED_VALUE"""),"källfri")</f>
        <v>källfri</v>
      </c>
      <c r="B557" s="2" t="str">
        <f>IFERROR(__xludf.DUMMYFUNCTION("""COMPUTED_VALUE"""),"incompressible (oik. puristumaton)")</f>
        <v>incompressible (oik. puristumaton)</v>
      </c>
      <c r="C557" s="2" t="str">
        <f>IFERROR(__xludf.DUMMYFUNCTION("""COMPUTED_VALUE"""),"lähteetön (div f eli nabla.f on 0)")</f>
        <v>lähteetön (div f eli nabla.f on 0)</v>
      </c>
      <c r="D557" s="5"/>
      <c r="E557" s="5"/>
      <c r="F557" s="11"/>
      <c r="G557" s="11"/>
    </row>
    <row r="558">
      <c r="A558" s="2" t="str">
        <f>IFERROR(__xludf.DUMMYFUNCTION("""COMPUTED_VALUE"""),"kärna")</f>
        <v>kärna</v>
      </c>
      <c r="B558" s="2" t="str">
        <f>IFERROR(__xludf.DUMMYFUNCTION("""COMPUTED_VALUE"""),"null space, kernel")</f>
        <v>null space, kernel</v>
      </c>
      <c r="C558" s="2" t="str">
        <f>IFERROR(__xludf.DUMMYFUNCTION("""COMPUTED_VALUE"""),"ydin")</f>
        <v>ydin</v>
      </c>
      <c r="D558" s="5"/>
      <c r="E558" s="5"/>
      <c r="F558" s="11"/>
      <c r="G558" s="11"/>
    </row>
    <row r="559">
      <c r="A559" s="2" t="str">
        <f>IFERROR(__xludf.DUMMYFUNCTION("""COMPUTED_VALUE"""),"kärnan, nollrummet")</f>
        <v>kärnan, nollrummet</v>
      </c>
      <c r="B559" s="2" t="str">
        <f>IFERROR(__xludf.DUMMYFUNCTION("""COMPUTED_VALUE"""),"kernel, null space")</f>
        <v>kernel, null space</v>
      </c>
      <c r="C559" s="2" t="str">
        <f>IFERROR(__xludf.DUMMYFUNCTION("""COMPUTED_VALUE"""),"ydin")</f>
        <v>ydin</v>
      </c>
      <c r="D559" s="5"/>
      <c r="E559" s="5"/>
      <c r="F559" s="11"/>
      <c r="G559" s="11"/>
    </row>
    <row r="560">
      <c r="A560" s="2" t="str">
        <f>IFERROR(__xludf.DUMMYFUNCTION("""COMPUTED_VALUE"""),"kärnans dimension")</f>
        <v>kärnans dimension</v>
      </c>
      <c r="B560" s="2" t="str">
        <f>IFERROR(__xludf.DUMMYFUNCTION("""COMPUTED_VALUE"""),"nullity")</f>
        <v>nullity</v>
      </c>
      <c r="C560" s="2" t="str">
        <f>IFERROR(__xludf.DUMMYFUNCTION("""COMPUTED_VALUE"""),"nulliteetti (dim Ker T)")</f>
        <v>nulliteetti (dim Ker T)</v>
      </c>
      <c r="D560" s="5"/>
      <c r="E560" s="5"/>
      <c r="F560" s="11"/>
      <c r="G560" s="11"/>
    </row>
    <row r="561">
      <c r="A561" s="2" t="str">
        <f>IFERROR(__xludf.DUMMYFUNCTION("""COMPUTED_VALUE"""),"kö")</f>
        <v>kö</v>
      </c>
      <c r="B561" s="2" t="str">
        <f>IFERROR(__xludf.DUMMYFUNCTION("""COMPUTED_VALUE"""),"queue")</f>
        <v>queue</v>
      </c>
      <c r="C561" s="2" t="str">
        <f>IFERROR(__xludf.DUMMYFUNCTION("""COMPUTED_VALUE"""),"jono (ei lukujono)")</f>
        <v>jono (ei lukujono)</v>
      </c>
      <c r="D561" s="5"/>
      <c r="E561" s="5"/>
      <c r="F561" s="11"/>
      <c r="G561" s="11"/>
    </row>
    <row r="562">
      <c r="A562" s="2" t="str">
        <f>IFERROR(__xludf.DUMMYFUNCTION("""COMPUTED_VALUE"""),"köteori")</f>
        <v>köteori</v>
      </c>
      <c r="B562" s="2" t="str">
        <f>IFERROR(__xludf.DUMMYFUNCTION("""COMPUTED_VALUE"""),"queueing theory")</f>
        <v>queueing theory</v>
      </c>
      <c r="C562" s="2" t="str">
        <f>IFERROR(__xludf.DUMMYFUNCTION("""COMPUTED_VALUE"""),"jonoteoria")</f>
        <v>jonoteoria</v>
      </c>
      <c r="D562" s="5"/>
      <c r="E562" s="5"/>
      <c r="F562" s="11"/>
      <c r="G562" s="11"/>
    </row>
    <row r="563">
      <c r="A563" s="2" t="str">
        <f>IFERROR(__xludf.DUMMYFUNCTION("""COMPUTED_VALUE"""),"Lagranges koefficienter")</f>
        <v>Lagranges koefficienter</v>
      </c>
      <c r="B563" s="2" t="str">
        <f>IFERROR(__xludf.DUMMYFUNCTION("""COMPUTED_VALUE"""),"Lagrange multipliers")</f>
        <v>Lagrange multipliers</v>
      </c>
      <c r="C563" s="2" t="str">
        <f>IFERROR(__xludf.DUMMYFUNCTION("""COMPUTED_VALUE"""),"Lagrangen kertoimet")</f>
        <v>Lagrangen kertoimet</v>
      </c>
      <c r="D563" s="5"/>
      <c r="E563" s="5"/>
      <c r="F563" s="11"/>
      <c r="G563" s="11"/>
    </row>
    <row r="564">
      <c r="A564" s="2" t="str">
        <f>IFERROR(__xludf.DUMMYFUNCTION("""COMPUTED_VALUE"""),"Lagranges restterm")</f>
        <v>Lagranges restterm</v>
      </c>
      <c r="B564" s="2" t="str">
        <f>IFERROR(__xludf.DUMMYFUNCTION("""COMPUTED_VALUE"""),"Lagrange remainder")</f>
        <v>Lagrange remainder</v>
      </c>
      <c r="C564" s="2" t="str">
        <f>IFERROR(__xludf.DUMMYFUNCTION("""COMPUTED_VALUE"""),"Lagrangen jäännöstermi (Taylorin polynomin)")</f>
        <v>Lagrangen jäännöstermi (Taylorin polynomin)</v>
      </c>
      <c r="D564" s="5"/>
      <c r="E564" s="5"/>
      <c r="F564" s="11"/>
      <c r="G564" s="11"/>
    </row>
    <row r="565">
      <c r="A565" s="2" t="str">
        <f>IFERROR(__xludf.DUMMYFUNCTION("""COMPUTED_VALUE"""),"Laplacetransformation")</f>
        <v>Laplacetransformation</v>
      </c>
      <c r="B565" s="2" t="str">
        <f>IFERROR(__xludf.DUMMYFUNCTION("""COMPUTED_VALUE"""),"Laplace transform")</f>
        <v>Laplace transform</v>
      </c>
      <c r="C565" s="2" t="str">
        <f>IFERROR(__xludf.DUMMYFUNCTION("""COMPUTED_VALUE"""),"Laplace-muunnos (""laplas"")")</f>
        <v>Laplace-muunnos ("laplas")</v>
      </c>
      <c r="D565" s="5"/>
      <c r="E565" s="5"/>
      <c r="F565" s="11"/>
      <c r="G565" s="11"/>
    </row>
    <row r="566">
      <c r="A566" s="2" t="str">
        <f>IFERROR(__xludf.DUMMYFUNCTION("""COMPUTED_VALUE"""),"Lebesgue-mått")</f>
        <v>Lebesgue-mått</v>
      </c>
      <c r="B566" s="2" t="str">
        <f>IFERROR(__xludf.DUMMYFUNCTION("""COMPUTED_VALUE"""),"Lebesgue measure (""le'beg"")")</f>
        <v>Lebesgue measure ("le'beg")</v>
      </c>
      <c r="C566" s="2" t="str">
        <f>IFERROR(__xludf.DUMMYFUNCTION("""COMPUTED_VALUE"""),"Lebesguen mitta")</f>
        <v>Lebesguen mitta</v>
      </c>
      <c r="D566" s="5"/>
      <c r="E566" s="5"/>
      <c r="F566" s="11"/>
      <c r="G566" s="11"/>
    </row>
    <row r="567">
      <c r="A567" s="2" t="str">
        <f>IFERROR(__xludf.DUMMYFUNCTION("""COMPUTED_VALUE"""),"lemma, hjälpsats")</f>
        <v>lemma, hjälpsats</v>
      </c>
      <c r="B567" s="2" t="str">
        <f>IFERROR(__xludf.DUMMYFUNCTION("""COMPUTED_VALUE"""),"lemma")</f>
        <v>lemma</v>
      </c>
      <c r="C567" s="2" t="str">
        <f>IFERROR(__xludf.DUMMYFUNCTION("""COMPUTED_VALUE"""),"lemma, apulause")</f>
        <v>lemma, apulause</v>
      </c>
      <c r="D567" s="5"/>
      <c r="E567" s="5"/>
      <c r="F567" s="11"/>
      <c r="G567" s="11"/>
    </row>
    <row r="568">
      <c r="A568" s="2" t="str">
        <f>IFERROR(__xludf.DUMMYFUNCTION("""COMPUTED_VALUE"""),"lemniskata")</f>
        <v>lemniskata</v>
      </c>
      <c r="B568" s="2" t="str">
        <f>IFERROR(__xludf.DUMMYFUNCTION("""COMPUTED_VALUE"""),"lemniscate")</f>
        <v>lemniscate</v>
      </c>
      <c r="C568" s="2" t="str">
        <f>IFERROR(__xludf.DUMMYFUNCTION("""COMPUTED_VALUE"""),"lemniskaatta")</f>
        <v>lemniskaatta</v>
      </c>
      <c r="D568" s="5"/>
      <c r="E568" s="5"/>
      <c r="F568" s="11"/>
      <c r="G568" s="11"/>
    </row>
    <row r="569">
      <c r="A569" s="2" t="str">
        <f>IFERROR(__xludf.DUMMYFUNCTION("""COMPUTED_VALUE"""),"likformig fördelning")</f>
        <v>likformig fördelning</v>
      </c>
      <c r="B569" s="2" t="str">
        <f>IFERROR(__xludf.DUMMYFUNCTION("""COMPUTED_VALUE"""),"uniform distribution")</f>
        <v>uniform distribution</v>
      </c>
      <c r="C569" s="2" t="str">
        <f>IFERROR(__xludf.DUMMYFUNCTION("""COMPUTED_VALUE"""),"tasajakauma")</f>
        <v>tasajakauma</v>
      </c>
      <c r="D569" s="5"/>
      <c r="E569" s="5"/>
      <c r="F569" s="11"/>
      <c r="G569" s="11"/>
    </row>
    <row r="570">
      <c r="A570" s="2" t="str">
        <f>IFERROR(__xludf.DUMMYFUNCTION("""COMPUTED_VALUE"""),"likformig konvergens")</f>
        <v>likformig konvergens</v>
      </c>
      <c r="B570" s="2" t="str">
        <f>IFERROR(__xludf.DUMMYFUNCTION("""COMPUTED_VALUE"""),"uniform convergence")</f>
        <v>uniform convergence</v>
      </c>
      <c r="C570" s="2" t="str">
        <f>IFERROR(__xludf.DUMMYFUNCTION("""COMPUTED_VALUE"""),"tasainen suppeneminen")</f>
        <v>tasainen suppeneminen</v>
      </c>
      <c r="D570" s="5"/>
      <c r="E570" s="5"/>
      <c r="F570" s="11"/>
      <c r="G570" s="11"/>
    </row>
    <row r="571">
      <c r="A571" s="2" t="str">
        <f>IFERROR(__xludf.DUMMYFUNCTION("""COMPUTED_VALUE"""),"likformigt konvex")</f>
        <v>likformigt konvex</v>
      </c>
      <c r="B571" s="2" t="str">
        <f>IFERROR(__xludf.DUMMYFUNCTION("""COMPUTED_VALUE"""),"uniformly convex")</f>
        <v>uniformly convex</v>
      </c>
      <c r="C571" s="2" t="str">
        <f>IFERROR(__xludf.DUMMYFUNCTION("""COMPUTED_VALUE"""),"tasaisesti konveksi")</f>
        <v>tasaisesti konveksi</v>
      </c>
      <c r="D571" s="5"/>
      <c r="E571" s="5"/>
      <c r="F571" s="11"/>
      <c r="G571" s="11"/>
    </row>
    <row r="572">
      <c r="A572" s="2" t="str">
        <f>IFERROR(__xludf.DUMMYFUNCTION("""COMPUTED_VALUE"""),"linje")</f>
        <v>linje</v>
      </c>
      <c r="B572" s="2" t="str">
        <f>IFERROR(__xludf.DUMMYFUNCTION("""COMPUTED_VALUE"""),"line, straight line")</f>
        <v>line, straight line</v>
      </c>
      <c r="C572" s="2" t="str">
        <f>IFERROR(__xludf.DUMMYFUNCTION("""COMPUTED_VALUE"""),"suora")</f>
        <v>suora</v>
      </c>
      <c r="D572" s="5"/>
      <c r="E572" s="5"/>
      <c r="F572" s="11"/>
      <c r="G572" s="11"/>
    </row>
    <row r="573">
      <c r="A573" s="2" t="str">
        <f>IFERROR(__xludf.DUMMYFUNCTION("""COMPUTED_VALUE"""),"linjär transformation")</f>
        <v>linjär transformation</v>
      </c>
      <c r="B573" s="2" t="str">
        <f>IFERROR(__xludf.DUMMYFUNCTION("""COMPUTED_VALUE"""),"linear transformation")</f>
        <v>linear transformation</v>
      </c>
      <c r="C573" s="2" t="str">
        <f>IFERROR(__xludf.DUMMYFUNCTION("""COMPUTED_VALUE"""),"lineaarikuvaus, lineaarimuunnos")</f>
        <v>lineaarikuvaus, lineaarimuunnos</v>
      </c>
      <c r="D573" s="5"/>
      <c r="E573" s="5"/>
      <c r="F573" s="11"/>
      <c r="G573" s="11"/>
    </row>
    <row r="574">
      <c r="A574" s="2" t="str">
        <f>IFERROR(__xludf.DUMMYFUNCTION("""COMPUTED_VALUE"""),"linjäralgebra")</f>
        <v>linjäralgebra</v>
      </c>
      <c r="B574" s="2" t="str">
        <f>IFERROR(__xludf.DUMMYFUNCTION("""COMPUTED_VALUE"""),"linear algebra")</f>
        <v>linear algebra</v>
      </c>
      <c r="C574" s="2" t="str">
        <f>IFERROR(__xludf.DUMMYFUNCTION("""COMPUTED_VALUE"""),"lineaarialgebra")</f>
        <v>lineaarialgebra</v>
      </c>
      <c r="D574" s="5"/>
      <c r="E574" s="5"/>
      <c r="F574" s="11"/>
      <c r="G574" s="11"/>
    </row>
    <row r="575">
      <c r="A575" s="2" t="str">
        <f>IFERROR(__xludf.DUMMYFUNCTION("""COMPUTED_VALUE"""),"linjärkombination")</f>
        <v>linjärkombination</v>
      </c>
      <c r="B575" s="2" t="str">
        <f>IFERROR(__xludf.DUMMYFUNCTION("""COMPUTED_VALUE"""),"linear combination")</f>
        <v>linear combination</v>
      </c>
      <c r="C575" s="2" t="str">
        <f>IFERROR(__xludf.DUMMYFUNCTION("""COMPUTED_VALUE"""),"lineaarikombinaatio, lineaariyhdistely, lineaariyhdistelmä, lineaariyhdelmä")</f>
        <v>lineaarikombinaatio, lineaariyhdistely, lineaariyhdistelmä, lineaariyhdelmä</v>
      </c>
      <c r="D575" s="5"/>
      <c r="E575" s="5"/>
      <c r="F575" s="11"/>
      <c r="G575" s="11"/>
    </row>
    <row r="576">
      <c r="A576" s="2" t="str">
        <f>IFERROR(__xludf.DUMMYFUNCTION("""COMPUTED_VALUE"""),"linjärt hölje")</f>
        <v>linjärt hölje</v>
      </c>
      <c r="B576" s="2" t="str">
        <f>IFERROR(__xludf.DUMMYFUNCTION("""COMPUTED_VALUE"""),"span")</f>
        <v>span</v>
      </c>
      <c r="C576" s="2" t="str">
        <f>IFERROR(__xludf.DUMMYFUNCTION("""COMPUTED_VALUE"""),"viritelmä")</f>
        <v>viritelmä</v>
      </c>
      <c r="D576" s="5"/>
      <c r="E576" s="5"/>
      <c r="F576" s="11"/>
      <c r="G576" s="11"/>
    </row>
    <row r="577">
      <c r="A577" s="2" t="str">
        <f>IFERROR(__xludf.DUMMYFUNCTION("""COMPUTED_VALUE"""),"linjärt oberoende")</f>
        <v>linjärt oberoende</v>
      </c>
      <c r="B577" s="2" t="str">
        <f>IFERROR(__xludf.DUMMYFUNCTION("""COMPUTED_VALUE"""),"linearly independent")</f>
        <v>linearly independent</v>
      </c>
      <c r="C577" s="2" t="str">
        <f>IFERROR(__xludf.DUMMYFUNCTION("""COMPUTED_VALUE"""),"lineaarisesti riippumaton")</f>
        <v>lineaarisesti riippumaton</v>
      </c>
      <c r="D577" s="5"/>
      <c r="E577" s="5"/>
      <c r="F577" s="11"/>
      <c r="G577" s="11"/>
    </row>
    <row r="578">
      <c r="A578" s="2" t="str">
        <f>IFERROR(__xludf.DUMMYFUNCTION("""COMPUTED_VALUE"""),"linjärt rum")</f>
        <v>linjärt rum</v>
      </c>
      <c r="B578" s="2" t="str">
        <f>IFERROR(__xludf.DUMMYFUNCTION("""COMPUTED_VALUE"""),"linear space, vector space")</f>
        <v>linear space, vector space</v>
      </c>
      <c r="C578" s="2" t="str">
        <f>IFERROR(__xludf.DUMMYFUNCTION("""COMPUTED_VALUE"""),"vektoriavaruus, lineaariavaruus")</f>
        <v>vektoriavaruus, lineaariavaruus</v>
      </c>
      <c r="D578" s="5"/>
      <c r="E578" s="5"/>
      <c r="F578" s="11"/>
      <c r="G578" s="11"/>
    </row>
    <row r="579">
      <c r="A579" s="2" t="str">
        <f>IFERROR(__xludf.DUMMYFUNCTION("""COMPUTED_VALUE"""),"lodrät vektor")</f>
        <v>lodrät vektor</v>
      </c>
      <c r="B579" s="2" t="str">
        <f>IFERROR(__xludf.DUMMYFUNCTION("""COMPUTED_VALUE"""),"column vector")</f>
        <v>column vector</v>
      </c>
      <c r="C579" s="2" t="str">
        <f>IFERROR(__xludf.DUMMYFUNCTION("""COMPUTED_VALUE"""),"pystyvektori")</f>
        <v>pystyvektori</v>
      </c>
      <c r="D579" s="5"/>
      <c r="E579" s="5"/>
      <c r="F579" s="11"/>
      <c r="G579" s="11"/>
    </row>
    <row r="580">
      <c r="A580" s="2" t="str">
        <f>IFERROR(__xludf.DUMMYFUNCTION("""COMPUTED_VALUE"""),"lodrät, vertikal")</f>
        <v>lodrät, vertikal</v>
      </c>
      <c r="B580" s="2" t="str">
        <f>IFERROR(__xludf.DUMMYFUNCTION("""COMPUTED_VALUE"""),"vertical")</f>
        <v>vertical</v>
      </c>
      <c r="C580" s="2" t="str">
        <f>IFERROR(__xludf.DUMMYFUNCTION("""COMPUTED_VALUE"""),"pystysuora")</f>
        <v>pystysuora</v>
      </c>
      <c r="D580" s="5"/>
      <c r="E580" s="5"/>
      <c r="F580" s="11"/>
      <c r="G580" s="11"/>
    </row>
    <row r="581">
      <c r="A581" s="2" t="str">
        <f>IFERROR(__xludf.DUMMYFUNCTION("""COMPUTED_VALUE"""),"logaritm")</f>
        <v>logaritm</v>
      </c>
      <c r="B581" s="2" t="str">
        <f>IFERROR(__xludf.DUMMYFUNCTION("""COMPUTED_VALUE"""),"logarithm")</f>
        <v>logarithm</v>
      </c>
      <c r="C581" s="2" t="str">
        <f>IFERROR(__xludf.DUMMYFUNCTION("""COMPUTED_VALUE"""),"logaritmi")</f>
        <v>logaritmi</v>
      </c>
      <c r="D581" s="5"/>
      <c r="E581" s="5"/>
      <c r="F581" s="11"/>
      <c r="G581" s="11"/>
    </row>
    <row r="582">
      <c r="A582" s="2" t="str">
        <f>IFERROR(__xludf.DUMMYFUNCTION("""COMPUTED_VALUE"""),"lokal")</f>
        <v>lokal</v>
      </c>
      <c r="B582" s="2" t="str">
        <f>IFERROR(__xludf.DUMMYFUNCTION("""COMPUTED_VALUE"""),"local")</f>
        <v>local</v>
      </c>
      <c r="C582" s="2" t="str">
        <f>IFERROR(__xludf.DUMMYFUNCTION("""COMPUTED_VALUE"""),"lokaali, paikallinen")</f>
        <v>lokaali, paikallinen</v>
      </c>
      <c r="D582" s="5"/>
      <c r="E582" s="5"/>
      <c r="F582" s="11"/>
      <c r="G582" s="11"/>
    </row>
    <row r="583">
      <c r="A583" s="2" t="str">
        <f>IFERROR(__xludf.DUMMYFUNCTION("""COMPUTED_VALUE"""),"lokalt extremvärde")</f>
        <v>lokalt extremvärde</v>
      </c>
      <c r="B583" s="2" t="str">
        <f>IFERROR(__xludf.DUMMYFUNCTION("""COMPUTED_VALUE"""),"local extremum")</f>
        <v>local extremum</v>
      </c>
      <c r="C583" s="2" t="str">
        <f>IFERROR(__xludf.DUMMYFUNCTION("""COMPUTED_VALUE"""),"paikallinen ääriarvo, lokaali ääriarvo")</f>
        <v>paikallinen ääriarvo, lokaali ääriarvo</v>
      </c>
      <c r="D583" s="5"/>
      <c r="E583" s="5"/>
      <c r="F583" s="11"/>
      <c r="G583" s="11"/>
    </row>
    <row r="584">
      <c r="A584" s="2" t="str">
        <f>IFERROR(__xludf.DUMMYFUNCTION("""COMPUTED_VALUE"""),"lokalt integrerbar")</f>
        <v>lokalt integrerbar</v>
      </c>
      <c r="B584" s="2" t="str">
        <f>IFERROR(__xludf.DUMMYFUNCTION("""COMPUTED_VALUE"""),"locally integrable")</f>
        <v>locally integrable</v>
      </c>
      <c r="C584" s="2" t="str">
        <f>IFERROR(__xludf.DUMMYFUNCTION("""COMPUTED_VALUE"""),"lokaalisti integroituva")</f>
        <v>lokaalisti integroituva</v>
      </c>
      <c r="D584" s="5"/>
      <c r="E584" s="5"/>
      <c r="F584" s="11"/>
      <c r="G584" s="11"/>
    </row>
    <row r="585">
      <c r="A585" s="2" t="str">
        <f>IFERROR(__xludf.DUMMYFUNCTION("""COMPUTED_VALUE"""),"lokalt ändlig, lokalt begränsad")</f>
        <v>lokalt ändlig, lokalt begränsad</v>
      </c>
      <c r="B585" s="2" t="str">
        <f>IFERROR(__xludf.DUMMYFUNCTION("""COMPUTED_VALUE"""),"locally finite")</f>
        <v>locally finite</v>
      </c>
      <c r="C585" s="2" t="str">
        <f>IFERROR(__xludf.DUMMYFUNCTION("""COMPUTED_VALUE"""),"lokaalisti äärellinen")</f>
        <v>lokaalisti äärellinen</v>
      </c>
      <c r="D585" s="5"/>
      <c r="E585" s="5"/>
      <c r="F585" s="11"/>
      <c r="G585" s="11"/>
    </row>
    <row r="586">
      <c r="A586" s="2" t="str">
        <f>IFERROR(__xludf.DUMMYFUNCTION("""COMPUTED_VALUE"""),"lägre gräns")</f>
        <v>lägre gräns</v>
      </c>
      <c r="B586" s="2" t="str">
        <f>IFERROR(__xludf.DUMMYFUNCTION("""COMPUTED_VALUE"""),"lower bound")</f>
        <v>lower bound</v>
      </c>
      <c r="C586" s="2" t="str">
        <f>IFERROR(__xludf.DUMMYFUNCTION("""COMPUTED_VALUE"""),"alaraja")</f>
        <v>alaraja</v>
      </c>
      <c r="D586" s="5"/>
      <c r="E586" s="5"/>
      <c r="F586" s="11"/>
      <c r="G586" s="11"/>
    </row>
    <row r="587">
      <c r="A587" s="2" t="str">
        <f>IFERROR(__xludf.DUMMYFUNCTION("""COMPUTED_VALUE"""),"längd")</f>
        <v>längd</v>
      </c>
      <c r="B587" s="2" t="str">
        <f>IFERROR(__xludf.DUMMYFUNCTION("""COMPUTED_VALUE"""),"length")</f>
        <v>length</v>
      </c>
      <c r="C587" s="2" t="str">
        <f>IFERROR(__xludf.DUMMYFUNCTION("""COMPUTED_VALUE"""),"pituus")</f>
        <v>pituus</v>
      </c>
      <c r="D587" s="5"/>
      <c r="E587" s="5"/>
      <c r="F587" s="11"/>
      <c r="G587" s="11"/>
    </row>
    <row r="588">
      <c r="A588" s="2" t="str">
        <f>IFERROR(__xludf.DUMMYFUNCTION("""COMPUTED_VALUE"""),"länk")</f>
        <v>länk</v>
      </c>
      <c r="B588" s="2" t="str">
        <f>IFERROR(__xludf.DUMMYFUNCTION("""COMPUTED_VALUE"""),"link")</f>
        <v>link</v>
      </c>
      <c r="C588" s="2" t="str">
        <f>IFERROR(__xludf.DUMMYFUNCTION("""COMPUTED_VALUE"""),"linkki")</f>
        <v>linkki</v>
      </c>
      <c r="D588" s="5"/>
      <c r="E588" s="5"/>
      <c r="F588" s="11"/>
      <c r="G588" s="11"/>
    </row>
    <row r="589">
      <c r="A589" s="2" t="str">
        <f>IFERROR(__xludf.DUMMYFUNCTION("""COMPUTED_VALUE"""),"lösning")</f>
        <v>lösning</v>
      </c>
      <c r="B589" s="2" t="str">
        <f>IFERROR(__xludf.DUMMYFUNCTION("""COMPUTED_VALUE"""),"solution")</f>
        <v>solution</v>
      </c>
      <c r="C589" s="2" t="str">
        <f>IFERROR(__xludf.DUMMYFUNCTION("""COMPUTED_VALUE"""),"ratkaisu")</f>
        <v>ratkaisu</v>
      </c>
      <c r="D589" s="5"/>
      <c r="E589" s="5"/>
      <c r="F589" s="11"/>
      <c r="G589" s="11"/>
    </row>
    <row r="590">
      <c r="A590" s="2" t="str">
        <f>IFERROR(__xludf.DUMMYFUNCTION("""COMPUTED_VALUE"""),"mantissa")</f>
        <v>mantissa</v>
      </c>
      <c r="B590" s="2" t="str">
        <f>IFERROR(__xludf.DUMMYFUNCTION("""COMPUTED_VALUE"""),"mantissa")</f>
        <v>mantissa</v>
      </c>
      <c r="C590" s="2" t="str">
        <f>IFERROR(__xludf.DUMMYFUNCTION("""COMPUTED_VALUE"""),"mantissa")</f>
        <v>mantissa</v>
      </c>
      <c r="D590" s="5"/>
      <c r="E590" s="5"/>
      <c r="F590" s="11"/>
      <c r="G590" s="11"/>
    </row>
    <row r="591">
      <c r="A591" s="2" t="str">
        <f>IFERROR(__xludf.DUMMYFUNCTION("""COMPUTED_VALUE"""),"matris")</f>
        <v>matris</v>
      </c>
      <c r="B591" s="2" t="str">
        <f>IFERROR(__xludf.DUMMYFUNCTION("""COMPUTED_VALUE"""),"matrix")</f>
        <v>matrix</v>
      </c>
      <c r="C591" s="2" t="str">
        <f>IFERROR(__xludf.DUMMYFUNCTION("""COMPUTED_VALUE"""),"matriisi")</f>
        <v>matriisi</v>
      </c>
      <c r="D591" s="5"/>
      <c r="E591" s="5"/>
      <c r="F591" s="11"/>
      <c r="G591" s="11"/>
    </row>
    <row r="592">
      <c r="A592" s="2" t="str">
        <f>IFERROR(__xludf.DUMMYFUNCTION("""COMPUTED_VALUE"""),"matrisnorm")</f>
        <v>matrisnorm</v>
      </c>
      <c r="B592" s="2" t="str">
        <f>IFERROR(__xludf.DUMMYFUNCTION("""COMPUTED_VALUE"""),"matrix norm")</f>
        <v>matrix norm</v>
      </c>
      <c r="C592" s="2" t="str">
        <f>IFERROR(__xludf.DUMMYFUNCTION("""COMPUTED_VALUE"""),"matriisinormi")</f>
        <v>matriisinormi</v>
      </c>
      <c r="D592" s="5"/>
      <c r="E592" s="5"/>
      <c r="F592" s="11"/>
      <c r="G592" s="11"/>
    </row>
    <row r="593">
      <c r="A593" s="2" t="str">
        <f>IFERROR(__xludf.DUMMYFUNCTION("""COMPUTED_VALUE"""),"maximera")</f>
        <v>maximera</v>
      </c>
      <c r="B593" s="2" t="str">
        <f>IFERROR(__xludf.DUMMYFUNCTION("""COMPUTED_VALUE"""),"maximize")</f>
        <v>maximize</v>
      </c>
      <c r="C593" s="2" t="str">
        <f>IFERROR(__xludf.DUMMYFUNCTION("""COMPUTED_VALUE"""),"maksimoida")</f>
        <v>maksimoida</v>
      </c>
      <c r="D593" s="5"/>
      <c r="E593" s="5"/>
      <c r="F593" s="11"/>
      <c r="G593" s="11"/>
    </row>
    <row r="594">
      <c r="A594" s="2" t="str">
        <f>IFERROR(__xludf.DUMMYFUNCTION("""COMPUTED_VALUE"""),"maximum")</f>
        <v>maximum</v>
      </c>
      <c r="B594" s="2" t="str">
        <f>IFERROR(__xludf.DUMMYFUNCTION("""COMPUTED_VALUE"""),"maximum")</f>
        <v>maximum</v>
      </c>
      <c r="C594" s="2" t="str">
        <f>IFERROR(__xludf.DUMMYFUNCTION("""COMPUTED_VALUE"""),"maksimi")</f>
        <v>maksimi</v>
      </c>
      <c r="D594" s="5"/>
      <c r="E594" s="5"/>
      <c r="F594" s="11"/>
      <c r="G594" s="11"/>
    </row>
    <row r="595">
      <c r="A595" s="2" t="str">
        <f>IFERROR(__xludf.DUMMYFUNCTION("""COMPUTED_VALUE"""),"medelavvikelse")</f>
        <v>medelavvikelse</v>
      </c>
      <c r="B595" s="2" t="str">
        <f>IFERROR(__xludf.DUMMYFUNCTION("""COMPUTED_VALUE"""),"mean deviation")</f>
        <v>mean deviation</v>
      </c>
      <c r="C595" s="2" t="str">
        <f>IFERROR(__xludf.DUMMYFUNCTION("""COMPUTED_VALUE"""),"keskipoikkeama")</f>
        <v>keskipoikkeama</v>
      </c>
      <c r="D595" s="5"/>
      <c r="E595" s="5"/>
      <c r="F595" s="11"/>
      <c r="G595" s="11"/>
    </row>
    <row r="596">
      <c r="A596" s="2" t="str">
        <f>IFERROR(__xludf.DUMMYFUNCTION("""COMPUTED_VALUE"""),"medelpunkt")</f>
        <v>medelpunkt</v>
      </c>
      <c r="B596" s="2" t="str">
        <f>IFERROR(__xludf.DUMMYFUNCTION("""COMPUTED_VALUE"""),"center, centre")</f>
        <v>center, centre</v>
      </c>
      <c r="C596" s="2" t="str">
        <f>IFERROR(__xludf.DUMMYFUNCTION("""COMPUTED_VALUE"""),"keskipiste (ympyrän, ...)")</f>
        <v>keskipiste (ympyrän, ...)</v>
      </c>
      <c r="D596" s="5"/>
      <c r="E596" s="5"/>
      <c r="F596" s="11"/>
      <c r="G596" s="11"/>
    </row>
    <row r="597">
      <c r="A597" s="2" t="str">
        <f>IFERROR(__xludf.DUMMYFUNCTION("""COMPUTED_VALUE"""),"medelvärde, medeltal")</f>
        <v>medelvärde, medeltal</v>
      </c>
      <c r="B597" s="2" t="str">
        <f>IFERROR(__xludf.DUMMYFUNCTION("""COMPUTED_VALUE"""),"mean")</f>
        <v>mean</v>
      </c>
      <c r="C597" s="2" t="str">
        <f>IFERROR(__xludf.DUMMYFUNCTION("""COMPUTED_VALUE"""),"keskiarvo")</f>
        <v>keskiarvo</v>
      </c>
      <c r="D597" s="5"/>
      <c r="E597" s="5"/>
      <c r="F597" s="11"/>
      <c r="G597" s="11"/>
    </row>
    <row r="598">
      <c r="A598" s="2" t="str">
        <f>IFERROR(__xludf.DUMMYFUNCTION("""COMPUTED_VALUE"""),"medelvärdes satsen")</f>
        <v>medelvärdes satsen</v>
      </c>
      <c r="B598" s="2" t="str">
        <f>IFERROR(__xludf.DUMMYFUNCTION("""COMPUTED_VALUE"""),"mean value theorem")</f>
        <v>mean value theorem</v>
      </c>
      <c r="C598" s="2" t="str">
        <f>IFERROR(__xludf.DUMMYFUNCTION("""COMPUTED_VALUE"""),"väliarvolause")</f>
        <v>väliarvolause</v>
      </c>
      <c r="D598" s="5"/>
      <c r="E598" s="5"/>
      <c r="F598" s="11"/>
      <c r="G598" s="11"/>
    </row>
    <row r="599">
      <c r="A599" s="2" t="str">
        <f>IFERROR(__xludf.DUMMYFUNCTION("""COMPUTED_VALUE"""),"median")</f>
        <v>median</v>
      </c>
      <c r="B599" s="2" t="str">
        <f>IFERROR(__xludf.DUMMYFUNCTION("""COMPUTED_VALUE"""),"median")</f>
        <v>median</v>
      </c>
      <c r="C599" s="2" t="str">
        <f>IFERROR(__xludf.DUMMYFUNCTION("""COMPUTED_VALUE"""),"mediaani")</f>
        <v>mediaani</v>
      </c>
      <c r="D599" s="5"/>
      <c r="E599" s="5"/>
      <c r="F599" s="11"/>
      <c r="G599" s="11"/>
    </row>
    <row r="600">
      <c r="A600" s="2" t="str">
        <f>IFERROR(__xludf.DUMMYFUNCTION("""COMPUTED_VALUE"""),"metrik")</f>
        <v>metrik</v>
      </c>
      <c r="B600" s="2" t="str">
        <f>IFERROR(__xludf.DUMMYFUNCTION("""COMPUTED_VALUE"""),"metric")</f>
        <v>metric</v>
      </c>
      <c r="C600" s="2" t="str">
        <f>IFERROR(__xludf.DUMMYFUNCTION("""COMPUTED_VALUE"""),"metriikka")</f>
        <v>metriikka</v>
      </c>
      <c r="D600" s="5"/>
      <c r="E600" s="5"/>
      <c r="F600" s="11"/>
      <c r="G600" s="11"/>
    </row>
    <row r="601">
      <c r="A601" s="2" t="str">
        <f>IFERROR(__xludf.DUMMYFUNCTION("""COMPUTED_VALUE"""),"metriserbar")</f>
        <v>metriserbar</v>
      </c>
      <c r="B601" s="2" t="str">
        <f>IFERROR(__xludf.DUMMYFUNCTION("""COMPUTED_VALUE"""),"metrizable")</f>
        <v>metrizable</v>
      </c>
      <c r="C601" s="2" t="str">
        <f>IFERROR(__xludf.DUMMYFUNCTION("""COMPUTED_VALUE"""),"metristyvä")</f>
        <v>metristyvä</v>
      </c>
      <c r="D601" s="5"/>
      <c r="E601" s="5"/>
      <c r="F601" s="11"/>
      <c r="G601" s="11"/>
    </row>
    <row r="602">
      <c r="A602" s="2" t="str">
        <f>IFERROR(__xludf.DUMMYFUNCTION("""COMPUTED_VALUE"""),"metrisering")</f>
        <v>metrisering</v>
      </c>
      <c r="B602" s="2" t="str">
        <f>IFERROR(__xludf.DUMMYFUNCTION("""COMPUTED_VALUE"""),"metrization")</f>
        <v>metrization</v>
      </c>
      <c r="C602" s="2" t="str">
        <f>IFERROR(__xludf.DUMMYFUNCTION("""COMPUTED_VALUE"""),"metristys")</f>
        <v>metristys</v>
      </c>
      <c r="D602" s="5"/>
      <c r="E602" s="5"/>
      <c r="F602" s="11"/>
      <c r="G602" s="11"/>
    </row>
    <row r="603">
      <c r="A603" s="2" t="str">
        <f>IFERROR(__xludf.DUMMYFUNCTION("""COMPUTED_VALUE"""),"metriskt rum")</f>
        <v>metriskt rum</v>
      </c>
      <c r="B603" s="2" t="str">
        <f>IFERROR(__xludf.DUMMYFUNCTION("""COMPUTED_VALUE"""),"metric space")</f>
        <v>metric space</v>
      </c>
      <c r="C603" s="2" t="str">
        <f>IFERROR(__xludf.DUMMYFUNCTION("""COMPUTED_VALUE"""),"metrinen avaruus")</f>
        <v>metrinen avaruus</v>
      </c>
      <c r="D603" s="5"/>
      <c r="E603" s="5"/>
      <c r="F603" s="11"/>
      <c r="G603" s="11"/>
    </row>
    <row r="604">
      <c r="A604" s="2" t="str">
        <f>IFERROR(__xludf.DUMMYFUNCTION("""COMPUTED_VALUE"""),"minimera")</f>
        <v>minimera</v>
      </c>
      <c r="B604" s="2" t="str">
        <f>IFERROR(__xludf.DUMMYFUNCTION("""COMPUTED_VALUE"""),"minimize")</f>
        <v>minimize</v>
      </c>
      <c r="C604" s="2" t="str">
        <f>IFERROR(__xludf.DUMMYFUNCTION("""COMPUTED_VALUE"""),"minimoida")</f>
        <v>minimoida</v>
      </c>
      <c r="D604" s="5"/>
      <c r="E604" s="5"/>
      <c r="F604" s="11"/>
      <c r="G604" s="11"/>
    </row>
    <row r="605">
      <c r="A605" s="2" t="str">
        <f>IFERROR(__xludf.DUMMYFUNCTION("""COMPUTED_VALUE"""),"minimum")</f>
        <v>minimum</v>
      </c>
      <c r="B605" s="2" t="str">
        <f>IFERROR(__xludf.DUMMYFUNCTION("""COMPUTED_VALUE"""),"minimum")</f>
        <v>minimum</v>
      </c>
      <c r="C605" s="2" t="str">
        <f>IFERROR(__xludf.DUMMYFUNCTION("""COMPUTED_VALUE"""),"minimi")</f>
        <v>minimi</v>
      </c>
      <c r="D605" s="5"/>
      <c r="E605" s="5"/>
      <c r="F605" s="11"/>
      <c r="G605" s="11"/>
    </row>
    <row r="606">
      <c r="A606" s="2" t="str">
        <f>IFERROR(__xludf.DUMMYFUNCTION("""COMPUTED_VALUE"""),"minskande")</f>
        <v>minskande</v>
      </c>
      <c r="B606" s="2" t="str">
        <f>IFERROR(__xludf.DUMMYFUNCTION("""COMPUTED_VALUE"""),"decreasing")</f>
        <v>decreasing</v>
      </c>
      <c r="C606" s="2" t="str">
        <f>IFERROR(__xludf.DUMMYFUNCTION("""COMPUTED_VALUE"""),"vähenevä; aidosti vähenevä")</f>
        <v>vähenevä; aidosti vähenevä</v>
      </c>
      <c r="D606" s="5"/>
      <c r="E606" s="5"/>
      <c r="F606" s="11"/>
      <c r="G606" s="11"/>
    </row>
    <row r="607">
      <c r="A607" s="2" t="str">
        <f>IFERROR(__xludf.DUMMYFUNCTION("""COMPUTED_VALUE"""),"minsta gemensamma multipel")</f>
        <v>minsta gemensamma multipel</v>
      </c>
      <c r="B607" s="2" t="str">
        <f>IFERROR(__xludf.DUMMYFUNCTION("""COMPUTED_VALUE"""),"least common multiple")</f>
        <v>least common multiple</v>
      </c>
      <c r="C607" s="2" t="str">
        <f>IFERROR(__xludf.DUMMYFUNCTION("""COMPUTED_VALUE"""),"pienin yhteinen monikerta")</f>
        <v>pienin yhteinen monikerta</v>
      </c>
      <c r="D607" s="5"/>
      <c r="E607" s="5"/>
      <c r="F607" s="11"/>
      <c r="G607" s="11"/>
    </row>
    <row r="608">
      <c r="A608" s="2" t="str">
        <f>IFERROR(__xludf.DUMMYFUNCTION("""COMPUTED_VALUE"""),"minsta kvadrat")</f>
        <v>minsta kvadrat</v>
      </c>
      <c r="B608" s="2" t="str">
        <f>IFERROR(__xludf.DUMMYFUNCTION("""COMPUTED_VALUE"""),"least squares")</f>
        <v>least squares</v>
      </c>
      <c r="C608" s="2" t="str">
        <f>IFERROR(__xludf.DUMMYFUNCTION("""COMPUTED_VALUE"""),"pienin neliö(summa)")</f>
        <v>pienin neliö(summa)</v>
      </c>
      <c r="D608" s="5"/>
      <c r="E608" s="5"/>
      <c r="F608" s="11"/>
      <c r="G608" s="11"/>
    </row>
    <row r="609">
      <c r="A609" s="2" t="str">
        <f>IFERROR(__xludf.DUMMYFUNCTION("""COMPUTED_VALUE"""),"moment")</f>
        <v>moment</v>
      </c>
      <c r="B609" s="2" t="str">
        <f>IFERROR(__xludf.DUMMYFUNCTION("""COMPUTED_VALUE"""),"moment")</f>
        <v>moment</v>
      </c>
      <c r="C609" s="2" t="str">
        <f>IFERROR(__xludf.DUMMYFUNCTION("""COMPUTED_VALUE"""),"momentti")</f>
        <v>momentti</v>
      </c>
      <c r="D609" s="5"/>
      <c r="E609" s="5"/>
      <c r="F609" s="11"/>
      <c r="G609" s="11"/>
    </row>
    <row r="610">
      <c r="A610" s="2" t="str">
        <f>IFERROR(__xludf.DUMMYFUNCTION("""COMPUTED_VALUE"""),"monoid")</f>
        <v>monoid</v>
      </c>
      <c r="B610" s="2" t="str">
        <f>IFERROR(__xludf.DUMMYFUNCTION("""COMPUTED_VALUE"""),"monoid")</f>
        <v>monoid</v>
      </c>
      <c r="C610" s="2" t="str">
        <f>IFERROR(__xludf.DUMMYFUNCTION("""COMPUTED_VALUE"""),"monoidi")</f>
        <v>monoidi</v>
      </c>
      <c r="D610" s="5"/>
      <c r="E610" s="5"/>
      <c r="F610" s="11"/>
      <c r="G610" s="11"/>
    </row>
    <row r="611">
      <c r="A611" s="2" t="str">
        <f>IFERROR(__xludf.DUMMYFUNCTION("""COMPUTED_VALUE"""),"monoton")</f>
        <v>monoton</v>
      </c>
      <c r="B611" s="2" t="str">
        <f>IFERROR(__xludf.DUMMYFUNCTION("""COMPUTED_VALUE"""),"monotonic, monotone")</f>
        <v>monotonic, monotone</v>
      </c>
      <c r="C611" s="2" t="str">
        <f>IFERROR(__xludf.DUMMYFUNCTION("""COMPUTED_VALUE"""),"monotoninen")</f>
        <v>monotoninen</v>
      </c>
      <c r="D611" s="5"/>
      <c r="E611" s="5"/>
      <c r="F611" s="11"/>
      <c r="G611" s="11"/>
    </row>
    <row r="612">
      <c r="A612" s="2" t="str">
        <f>IFERROR(__xludf.DUMMYFUNCTION("""COMPUTED_VALUE"""),"motargument")</f>
        <v>motargument</v>
      </c>
      <c r="B612" s="2" t="str">
        <f>IFERROR(__xludf.DUMMYFUNCTION("""COMPUTED_VALUE"""),"contraposition")</f>
        <v>contraposition</v>
      </c>
      <c r="C612" s="2" t="str">
        <f>IFERROR(__xludf.DUMMYFUNCTION("""COMPUTED_VALUE"""),"vastaväite")</f>
        <v>vastaväite</v>
      </c>
      <c r="D612" s="5"/>
      <c r="E612" s="5"/>
      <c r="F612" s="11"/>
      <c r="G612" s="11"/>
    </row>
    <row r="613">
      <c r="A613" s="2" t="str">
        <f>IFERROR(__xludf.DUMMYFUNCTION("""COMPUTED_VALUE"""),"motsatt riktad")</f>
        <v>motsatt riktad</v>
      </c>
      <c r="B613" s="2" t="str">
        <f>IFERROR(__xludf.DUMMYFUNCTION("""COMPUTED_VALUE"""),"oppositely directed")</f>
        <v>oppositely directed</v>
      </c>
      <c r="C613" s="2" t="str">
        <f>IFERROR(__xludf.DUMMYFUNCTION("""COMPUTED_VALUE"""),"vastakkaissuuntainen")</f>
        <v>vastakkaissuuntainen</v>
      </c>
      <c r="D613" s="5"/>
      <c r="E613" s="5"/>
      <c r="F613" s="11"/>
      <c r="G613" s="11"/>
    </row>
    <row r="614">
      <c r="A614" s="2" t="str">
        <f>IFERROR(__xludf.DUMMYFUNCTION("""COMPUTED_VALUE"""),"motstånd, resistans")</f>
        <v>motstånd, resistans</v>
      </c>
      <c r="B614" s="2" t="str">
        <f>IFERROR(__xludf.DUMMYFUNCTION("""COMPUTED_VALUE"""),"resistance")</f>
        <v>resistance</v>
      </c>
      <c r="C614" s="2" t="str">
        <f>IFERROR(__xludf.DUMMYFUNCTION("""COMPUTED_VALUE"""),"vastus")</f>
        <v>vastus</v>
      </c>
      <c r="D614" s="5"/>
      <c r="E614" s="5"/>
      <c r="F614" s="11"/>
      <c r="G614" s="11"/>
    </row>
    <row r="615">
      <c r="A615" s="2" t="str">
        <f>IFERROR(__xludf.DUMMYFUNCTION("""COMPUTED_VALUE"""),"multinomialfördelning")</f>
        <v>multinomialfördelning</v>
      </c>
      <c r="B615" s="2" t="str">
        <f>IFERROR(__xludf.DUMMYFUNCTION("""COMPUTED_VALUE"""),"multinomial distribution")</f>
        <v>multinomial distribution</v>
      </c>
      <c r="C615" s="2" t="str">
        <f>IFERROR(__xludf.DUMMYFUNCTION("""COMPUTED_VALUE"""),"multinomijakauma")</f>
        <v>multinomijakauma</v>
      </c>
      <c r="D615" s="5"/>
      <c r="E615" s="5"/>
      <c r="F615" s="11"/>
      <c r="G615" s="11"/>
    </row>
    <row r="616">
      <c r="A616" s="2" t="str">
        <f>IFERROR(__xludf.DUMMYFUNCTION("""COMPUTED_VALUE"""),"multiplicera från höger")</f>
        <v>multiplicera från höger</v>
      </c>
      <c r="B616" s="2" t="str">
        <f>IFERROR(__xludf.DUMMYFUNCTION("""COMPUTED_VALUE"""),"multiply from the right")</f>
        <v>multiply from the right</v>
      </c>
      <c r="C616" s="2" t="str">
        <f>IFERROR(__xludf.DUMMYFUNCTION("""COMPUTED_VALUE"""),"kertoa oikealta")</f>
        <v>kertoa oikealta</v>
      </c>
      <c r="D616" s="5"/>
      <c r="E616" s="5"/>
      <c r="F616" s="11"/>
      <c r="G616" s="11"/>
    </row>
    <row r="617">
      <c r="A617" s="2" t="str">
        <f>IFERROR(__xludf.DUMMYFUNCTION("""COMPUTED_VALUE"""),"multiplikation")</f>
        <v>multiplikation</v>
      </c>
      <c r="B617" s="2" t="str">
        <f>IFERROR(__xludf.DUMMYFUNCTION("""COMPUTED_VALUE"""),"multiplication")</f>
        <v>multiplication</v>
      </c>
      <c r="C617" s="2" t="str">
        <f>IFERROR(__xludf.DUMMYFUNCTION("""COMPUTED_VALUE"""),"kertolasku")</f>
        <v>kertolasku</v>
      </c>
      <c r="D617" s="5"/>
      <c r="E617" s="5"/>
      <c r="F617" s="11"/>
      <c r="G617" s="11"/>
    </row>
    <row r="618">
      <c r="A618" s="2" t="str">
        <f>IFERROR(__xludf.DUMMYFUNCTION("""COMPUTED_VALUE"""),"multippel")</f>
        <v>multippel</v>
      </c>
      <c r="B618" s="2" t="str">
        <f>IFERROR(__xludf.DUMMYFUNCTION("""COMPUTED_VALUE"""),"multiple")</f>
        <v>multiple</v>
      </c>
      <c r="C618" s="2" t="str">
        <f>IFERROR(__xludf.DUMMYFUNCTION("""COMPUTED_VALUE"""),"monikerta")</f>
        <v>monikerta</v>
      </c>
      <c r="D618" s="5"/>
      <c r="E618" s="5"/>
      <c r="F618" s="11"/>
      <c r="G618" s="11"/>
    </row>
    <row r="619">
      <c r="A619" s="2" t="str">
        <f>IFERROR(__xludf.DUMMYFUNCTION("""COMPUTED_VALUE"""),"mångfald")</f>
        <v>mångfald</v>
      </c>
      <c r="B619" s="2" t="str">
        <f>IFERROR(__xludf.DUMMYFUNCTION("""COMPUTED_VALUE"""),"manifold")</f>
        <v>manifold</v>
      </c>
      <c r="C619" s="2" t="str">
        <f>IFERROR(__xludf.DUMMYFUNCTION("""COMPUTED_VALUE"""),"monisto")</f>
        <v>monisto</v>
      </c>
      <c r="D619" s="5"/>
      <c r="E619" s="5"/>
      <c r="F619" s="11"/>
      <c r="G619" s="11"/>
    </row>
    <row r="620">
      <c r="A620" s="2" t="str">
        <f>IFERROR(__xludf.DUMMYFUNCTION("""COMPUTED_VALUE"""),"mångfald")</f>
        <v>mångfald</v>
      </c>
      <c r="B620" s="2" t="str">
        <f>IFERROR(__xludf.DUMMYFUNCTION("""COMPUTED_VALUE"""),"multiplicity")</f>
        <v>multiplicity</v>
      </c>
      <c r="C620" s="2" t="str">
        <f>IFERROR(__xludf.DUMMYFUNCTION("""COMPUTED_VALUE"""),"kertaluku (juuren)")</f>
        <v>kertaluku (juuren)</v>
      </c>
      <c r="D620" s="5"/>
      <c r="E620" s="5"/>
      <c r="F620" s="11"/>
      <c r="G620" s="11"/>
    </row>
    <row r="621">
      <c r="A621" s="2" t="str">
        <f>IFERROR(__xludf.DUMMYFUNCTION("""COMPUTED_VALUE"""),"mångfaldigt egenvärde")</f>
        <v>mångfaldigt egenvärde</v>
      </c>
      <c r="B621" s="2" t="str">
        <f>IFERROR(__xludf.DUMMYFUNCTION("""COMPUTED_VALUE"""),"repeated eigenvalue")</f>
        <v>repeated eigenvalue</v>
      </c>
      <c r="C621" s="2" t="str">
        <f>IFERROR(__xludf.DUMMYFUNCTION("""COMPUTED_VALUE"""),"moninkertainen ominaisarvo")</f>
        <v>moninkertainen ominaisarvo</v>
      </c>
      <c r="D621" s="5"/>
      <c r="E621" s="5"/>
      <c r="F621" s="11"/>
      <c r="G621" s="11"/>
    </row>
    <row r="622">
      <c r="A622" s="2" t="str">
        <f>IFERROR(__xludf.DUMMYFUNCTION("""COMPUTED_VALUE"""),"månghörning")</f>
        <v>månghörning</v>
      </c>
      <c r="B622" s="2" t="str">
        <f>IFERROR(__xludf.DUMMYFUNCTION("""COMPUTED_VALUE"""),"polygon")</f>
        <v>polygon</v>
      </c>
      <c r="C622" s="2" t="str">
        <f>IFERROR(__xludf.DUMMYFUNCTION("""COMPUTED_VALUE"""),"monikulmio")</f>
        <v>monikulmio</v>
      </c>
      <c r="D622" s="5"/>
      <c r="E622" s="5"/>
      <c r="F622" s="11"/>
      <c r="G622" s="11"/>
    </row>
    <row r="623">
      <c r="A623" s="2" t="str">
        <f>IFERROR(__xludf.DUMMYFUNCTION("""COMPUTED_VALUE"""),"mått")</f>
        <v>mått</v>
      </c>
      <c r="B623" s="2" t="str">
        <f>IFERROR(__xludf.DUMMYFUNCTION("""COMPUTED_VALUE"""),"measure")</f>
        <v>measure</v>
      </c>
      <c r="C623" s="2" t="str">
        <f>IFERROR(__xludf.DUMMYFUNCTION("""COMPUTED_VALUE"""),"mitta")</f>
        <v>mitta</v>
      </c>
      <c r="D623" s="5"/>
      <c r="E623" s="5"/>
      <c r="F623" s="11"/>
      <c r="G623" s="11"/>
    </row>
    <row r="624">
      <c r="A624" s="2" t="str">
        <f>IFERROR(__xludf.DUMMYFUNCTION("""COMPUTED_VALUE"""),"mängd")</f>
        <v>mängd</v>
      </c>
      <c r="B624" s="2" t="str">
        <f>IFERROR(__xludf.DUMMYFUNCTION("""COMPUTED_VALUE"""),"set")</f>
        <v>set</v>
      </c>
      <c r="C624" s="2" t="str">
        <f>IFERROR(__xludf.DUMMYFUNCTION("""COMPUTED_VALUE"""),"joukko")</f>
        <v>joukko</v>
      </c>
      <c r="D624" s="5"/>
      <c r="E624" s="5"/>
      <c r="F624" s="11"/>
      <c r="G624" s="11"/>
    </row>
    <row r="625">
      <c r="A625" s="2" t="str">
        <f>IFERROR(__xludf.DUMMYFUNCTION("""COMPUTED_VALUE"""),"mätbar")</f>
        <v>mätbar</v>
      </c>
      <c r="B625" s="2" t="str">
        <f>IFERROR(__xludf.DUMMYFUNCTION("""COMPUTED_VALUE"""),"measurable")</f>
        <v>measurable</v>
      </c>
      <c r="C625" s="2" t="str">
        <f>IFERROR(__xludf.DUMMYFUNCTION("""COMPUTED_VALUE"""),"mitallinen")</f>
        <v>mitallinen</v>
      </c>
      <c r="D625" s="5"/>
      <c r="E625" s="5"/>
      <c r="F625" s="11"/>
      <c r="G625" s="11"/>
    </row>
    <row r="626">
      <c r="A626" s="2" t="str">
        <f>IFERROR(__xludf.DUMMYFUNCTION("""COMPUTED_VALUE"""),"mätbart rum")</f>
        <v>mätbart rum</v>
      </c>
      <c r="B626" s="2" t="str">
        <f>IFERROR(__xludf.DUMMYFUNCTION("""COMPUTED_VALUE"""),"measurable space")</f>
        <v>measurable space</v>
      </c>
      <c r="C626" s="2" t="str">
        <f>IFERROR(__xludf.DUMMYFUNCTION("""COMPUTED_VALUE"""),"mitta-avaruus, mitallinen avaruus")</f>
        <v>mitta-avaruus, mitallinen avaruus</v>
      </c>
      <c r="D626" s="5"/>
      <c r="E626" s="5"/>
      <c r="F626" s="11"/>
      <c r="G626" s="11"/>
    </row>
    <row r="627">
      <c r="A627" s="2" t="str">
        <f>IFERROR(__xludf.DUMMYFUNCTION("""COMPUTED_VALUE"""),"Möbius' band")</f>
        <v>Möbius' band</v>
      </c>
      <c r="B627" s="2" t="str">
        <f>IFERROR(__xludf.DUMMYFUNCTION("""COMPUTED_VALUE"""),"Möbius band")</f>
        <v>Möbius band</v>
      </c>
      <c r="C627" s="2" t="str">
        <f>IFERROR(__xludf.DUMMYFUNCTION("""COMPUTED_VALUE"""),"Möbiuksen nauha")</f>
        <v>Möbiuksen nauha</v>
      </c>
      <c r="D627" s="5"/>
      <c r="E627" s="5"/>
      <c r="F627" s="11"/>
      <c r="G627" s="11"/>
    </row>
    <row r="628">
      <c r="A628" s="2" t="str">
        <f>IFERROR(__xludf.DUMMYFUNCTION("""COMPUTED_VALUE"""),"möta")</f>
        <v>möta</v>
      </c>
      <c r="B628" s="2" t="str">
        <f>IFERROR(__xludf.DUMMYFUNCTION("""COMPUTED_VALUE"""),"meet")</f>
        <v>meet</v>
      </c>
      <c r="C628" s="2" t="str">
        <f>IFERROR(__xludf.DUMMYFUNCTION("""COMPUTED_VALUE"""),"kohdata")</f>
        <v>kohdata</v>
      </c>
      <c r="D628" s="5"/>
      <c r="E628" s="5"/>
      <c r="F628" s="11"/>
      <c r="G628" s="11"/>
    </row>
    <row r="629">
      <c r="A629" s="2" t="str">
        <f>IFERROR(__xludf.DUMMYFUNCTION("""COMPUTED_VALUE"""),"n-tippel")</f>
        <v>n-tippel</v>
      </c>
      <c r="B629" s="2" t="str">
        <f>IFERROR(__xludf.DUMMYFUNCTION("""COMPUTED_VALUE"""),"n-tuple")</f>
        <v>n-tuple</v>
      </c>
      <c r="C629" s="2" t="str">
        <f>IFERROR(__xludf.DUMMYFUNCTION("""COMPUTED_VALUE"""),"ännäkkö, n-jono")</f>
        <v>ännäkkö, n-jono</v>
      </c>
      <c r="D629" s="5"/>
      <c r="E629" s="5"/>
      <c r="F629" s="11"/>
      <c r="G629" s="11"/>
    </row>
    <row r="630">
      <c r="A630" s="2" t="str">
        <f>IFERROR(__xludf.DUMMYFUNCTION("""COMPUTED_VALUE"""),"naturlig logaritm")</f>
        <v>naturlig logaritm</v>
      </c>
      <c r="B630" s="2" t="str">
        <f>IFERROR(__xludf.DUMMYFUNCTION("""COMPUTED_VALUE"""),"natural logarithm")</f>
        <v>natural logarithm</v>
      </c>
      <c r="C630" s="2" t="str">
        <f>IFERROR(__xludf.DUMMYFUNCTION("""COMPUTED_VALUE"""),"luonnollinen logaritmi")</f>
        <v>luonnollinen logaritmi</v>
      </c>
      <c r="D630" s="5"/>
      <c r="E630" s="5"/>
      <c r="F630" s="11"/>
      <c r="G630" s="11"/>
    </row>
    <row r="631">
      <c r="A631" s="2" t="str">
        <f>IFERROR(__xludf.DUMMYFUNCTION("""COMPUTED_VALUE"""),"naturligt tal")</f>
        <v>naturligt tal</v>
      </c>
      <c r="B631" s="2" t="str">
        <f>IFERROR(__xludf.DUMMYFUNCTION("""COMPUTED_VALUE"""),"natural number")</f>
        <v>natural number</v>
      </c>
      <c r="C631" s="2" t="str">
        <f>IFERROR(__xludf.DUMMYFUNCTION("""COMPUTED_VALUE"""),"luonnollinen luku (yleensä 0,1,2,…; joskus 1,2,3,…)+B940")</f>
        <v>luonnollinen luku (yleensä 0,1,2,…; joskus 1,2,3,…)+B940</v>
      </c>
      <c r="D631" s="5"/>
      <c r="E631" s="5"/>
      <c r="F631" s="11"/>
      <c r="G631" s="11"/>
    </row>
    <row r="632">
      <c r="A632" s="2" t="str">
        <f>IFERROR(__xludf.DUMMYFUNCTION("""COMPUTED_VALUE"""),"nedre gränsvärde")</f>
        <v>nedre gränsvärde</v>
      </c>
      <c r="B632" s="2" t="str">
        <f>IFERROR(__xludf.DUMMYFUNCTION("""COMPUTED_VALUE"""),"limes inferior")</f>
        <v>limes inferior</v>
      </c>
      <c r="C632" s="2" t="str">
        <f>IFERROR(__xludf.DUMMYFUNCTION("""COMPUTED_VALUE"""),"alaraja-arvo (liminf)")</f>
        <v>alaraja-arvo (liminf)</v>
      </c>
      <c r="D632" s="5"/>
      <c r="E632" s="5"/>
      <c r="F632" s="11"/>
      <c r="G632" s="11"/>
    </row>
    <row r="633">
      <c r="A633" s="2" t="str">
        <f>IFERROR(__xludf.DUMMYFUNCTION("""COMPUTED_VALUE"""),"negativt definit")</f>
        <v>negativt definit</v>
      </c>
      <c r="B633" s="2" t="str">
        <f>IFERROR(__xludf.DUMMYFUNCTION("""COMPUTED_VALUE"""),"negative definite")</f>
        <v>negative definite</v>
      </c>
      <c r="C633" s="2" t="str">
        <f>IFERROR(__xludf.DUMMYFUNCTION("""COMPUTED_VALUE"""),"negatiividefiniitti, negatiivisesti definiitti")</f>
        <v>negatiividefiniitti, negatiivisesti definiitti</v>
      </c>
      <c r="D633" s="5"/>
      <c r="E633" s="5"/>
      <c r="F633" s="11"/>
      <c r="G633" s="11"/>
    </row>
    <row r="634">
      <c r="A634" s="2" t="str">
        <f>IFERROR(__xludf.DUMMYFUNCTION("""COMPUTED_VALUE"""),"nerv")</f>
        <v>nerv</v>
      </c>
      <c r="B634" s="2" t="str">
        <f>IFERROR(__xludf.DUMMYFUNCTION("""COMPUTED_VALUE"""),"nerve")</f>
        <v>nerve</v>
      </c>
      <c r="C634" s="2" t="str">
        <f>IFERROR(__xludf.DUMMYFUNCTION("""COMPUTED_VALUE"""),"hermo")</f>
        <v>hermo</v>
      </c>
      <c r="D634" s="5"/>
      <c r="E634" s="5"/>
      <c r="F634" s="11"/>
      <c r="G634" s="11"/>
    </row>
    <row r="635">
      <c r="A635" s="2" t="str">
        <f>IFERROR(__xludf.DUMMYFUNCTION("""COMPUTED_VALUE"""),"Newtons metod")</f>
        <v>Newtons metod</v>
      </c>
      <c r="B635" s="2" t="str">
        <f>IFERROR(__xludf.DUMMYFUNCTION("""COMPUTED_VALUE"""),"Newton's method")</f>
        <v>Newton's method</v>
      </c>
      <c r="C635" s="2" t="str">
        <f>IFERROR(__xludf.DUMMYFUNCTION("""COMPUTED_VALUE"""),"Newtonin menetelmä (""njuutton"")")</f>
        <v>Newtonin menetelmä ("njuutton")</v>
      </c>
      <c r="D635" s="5"/>
      <c r="E635" s="5"/>
      <c r="F635" s="11"/>
      <c r="G635" s="11"/>
    </row>
    <row r="636">
      <c r="A636" s="2" t="str">
        <f>IFERROR(__xludf.DUMMYFUNCTION("""COMPUTED_VALUE"""),"nollställe")</f>
        <v>nollställe</v>
      </c>
      <c r="B636" s="2" t="str">
        <f>IFERROR(__xludf.DUMMYFUNCTION("""COMPUTED_VALUE"""),"zero")</f>
        <v>zero</v>
      </c>
      <c r="C636" s="2" t="str">
        <f>IFERROR(__xludf.DUMMYFUNCTION("""COMPUTED_VALUE"""),"nolla; nollakohta, juuri (funktion)")</f>
        <v>nolla; nollakohta, juuri (funktion)</v>
      </c>
      <c r="D636" s="5"/>
      <c r="E636" s="5"/>
      <c r="F636" s="11"/>
      <c r="G636" s="11"/>
    </row>
    <row r="637">
      <c r="A637" s="2" t="str">
        <f>IFERROR(__xludf.DUMMYFUNCTION("""COMPUTED_VALUE"""),"nollvektor")</f>
        <v>nollvektor</v>
      </c>
      <c r="B637" s="2" t="str">
        <f>IFERROR(__xludf.DUMMYFUNCTION("""COMPUTED_VALUE"""),"zero vector")</f>
        <v>zero vector</v>
      </c>
      <c r="C637" s="2" t="str">
        <f>IFERROR(__xludf.DUMMYFUNCTION("""COMPUTED_VALUE"""),"nollavektori")</f>
        <v>nollavektori</v>
      </c>
      <c r="D637" s="5"/>
      <c r="E637" s="5"/>
      <c r="F637" s="11"/>
      <c r="G637" s="11"/>
    </row>
    <row r="638">
      <c r="A638" s="2" t="str">
        <f>IFERROR(__xludf.DUMMYFUNCTION("""COMPUTED_VALUE"""),"norm")</f>
        <v>norm</v>
      </c>
      <c r="B638" s="2" t="str">
        <f>IFERROR(__xludf.DUMMYFUNCTION("""COMPUTED_VALUE"""),"norm")</f>
        <v>norm</v>
      </c>
      <c r="C638" s="2" t="str">
        <f>IFERROR(__xludf.DUMMYFUNCTION("""COMPUTED_VALUE"""),"normi")</f>
        <v>normi</v>
      </c>
      <c r="D638" s="5"/>
      <c r="E638" s="5"/>
      <c r="F638" s="11"/>
      <c r="G638" s="11"/>
    </row>
    <row r="639">
      <c r="A639" s="2" t="str">
        <f>IFERROR(__xludf.DUMMYFUNCTION("""COMPUTED_VALUE"""),"normal")</f>
        <v>normal</v>
      </c>
      <c r="B639" s="2" t="str">
        <f>IFERROR(__xludf.DUMMYFUNCTION("""COMPUTED_VALUE"""),"normal line")</f>
        <v>normal line</v>
      </c>
      <c r="C639" s="2" t="str">
        <f>IFERROR(__xludf.DUMMYFUNCTION("""COMPUTED_VALUE"""),"normaali")</f>
        <v>normaali</v>
      </c>
      <c r="D639" s="5"/>
      <c r="E639" s="5"/>
      <c r="F639" s="11"/>
      <c r="G639" s="11"/>
    </row>
    <row r="640">
      <c r="A640" s="2" t="str">
        <f>IFERROR(__xludf.DUMMYFUNCTION("""COMPUTED_VALUE"""),"normalacceleration")</f>
        <v>normalacceleration</v>
      </c>
      <c r="B640" s="2" t="str">
        <f>IFERROR(__xludf.DUMMYFUNCTION("""COMPUTED_VALUE"""),"normal acceleration")</f>
        <v>normal acceleration</v>
      </c>
      <c r="C640" s="2" t="str">
        <f>IFERROR(__xludf.DUMMYFUNCTION("""COMPUTED_VALUE"""),"normaalikiihtyvyys")</f>
        <v>normaalikiihtyvyys</v>
      </c>
      <c r="D640" s="5"/>
      <c r="E640" s="5"/>
      <c r="F640" s="11"/>
      <c r="G640" s="11"/>
    </row>
    <row r="641">
      <c r="A641" s="2" t="str">
        <f>IFERROR(__xludf.DUMMYFUNCTION("""COMPUTED_VALUE"""),"normalfördelning")</f>
        <v>normalfördelning</v>
      </c>
      <c r="B641" s="2" t="str">
        <f>IFERROR(__xludf.DUMMYFUNCTION("""COMPUTED_VALUE"""),"Gauss distribution, normal distribution")</f>
        <v>Gauss distribution, normal distribution</v>
      </c>
      <c r="C641" s="2" t="str">
        <f>IFERROR(__xludf.DUMMYFUNCTION("""COMPUTED_VALUE"""),"normaalijakauma")</f>
        <v>normaalijakauma</v>
      </c>
      <c r="D641" s="5"/>
      <c r="E641" s="5"/>
      <c r="F641" s="11"/>
      <c r="G641" s="11"/>
    </row>
    <row r="642">
      <c r="A642" s="2" t="str">
        <f>IFERROR(__xludf.DUMMYFUNCTION("""COMPUTED_VALUE"""),"normalfördelning")</f>
        <v>normalfördelning</v>
      </c>
      <c r="B642" s="2" t="str">
        <f>IFERROR(__xludf.DUMMYFUNCTION("""COMPUTED_VALUE"""),"normal distribution, Gauss distribution")</f>
        <v>normal distribution, Gauss distribution</v>
      </c>
      <c r="C642" s="2" t="str">
        <f>IFERROR(__xludf.DUMMYFUNCTION("""COMPUTED_VALUE"""),"normaalijakauma")</f>
        <v>normaalijakauma</v>
      </c>
      <c r="D642" s="5"/>
      <c r="E642" s="5"/>
      <c r="F642" s="11"/>
      <c r="G642" s="11"/>
    </row>
    <row r="643">
      <c r="A643" s="2" t="str">
        <f>IFERROR(__xludf.DUMMYFUNCTION("""COMPUTED_VALUE"""),"normalmatris")</f>
        <v>normalmatris</v>
      </c>
      <c r="B643" s="2" t="str">
        <f>IFERROR(__xludf.DUMMYFUNCTION("""COMPUTED_VALUE"""),"normal matrix")</f>
        <v>normal matrix</v>
      </c>
      <c r="C643" s="2" t="str">
        <f>IFERROR(__xludf.DUMMYFUNCTION("""COMPUTED_VALUE"""),"normaali matriisi")</f>
        <v>normaali matriisi</v>
      </c>
      <c r="D643" s="5"/>
      <c r="E643" s="5"/>
      <c r="F643" s="11"/>
      <c r="G643" s="11"/>
    </row>
    <row r="644">
      <c r="A644" s="2" t="str">
        <f>IFERROR(__xludf.DUMMYFUNCTION("""COMPUTED_VALUE"""),"normalpolynom")</f>
        <v>normalpolynom</v>
      </c>
      <c r="B644" s="2" t="str">
        <f>IFERROR(__xludf.DUMMYFUNCTION("""COMPUTED_VALUE"""),"monic polynomial")</f>
        <v>monic polynomial</v>
      </c>
      <c r="C644" s="2" t="str">
        <f>IFERROR(__xludf.DUMMYFUNCTION("""COMPUTED_VALUE"""),"mooninen polynomi, pääpolynomi")</f>
        <v>mooninen polynomi, pääpolynomi</v>
      </c>
      <c r="D644" s="5"/>
      <c r="E644" s="5"/>
      <c r="F644" s="11"/>
      <c r="G644" s="11"/>
    </row>
    <row r="645">
      <c r="A645" s="2" t="str">
        <f>IFERROR(__xludf.DUMMYFUNCTION("""COMPUTED_VALUE"""),"normalriktad enhetsvektor")</f>
        <v>normalriktad enhetsvektor</v>
      </c>
      <c r="B645" s="2" t="str">
        <f>IFERROR(__xludf.DUMMYFUNCTION("""COMPUTED_VALUE"""),"unit normal (vector)")</f>
        <v>unit normal (vector)</v>
      </c>
      <c r="C645" s="2" t="str">
        <f>IFERROR(__xludf.DUMMYFUNCTION("""COMPUTED_VALUE"""),"yksikkönormaalivektori")</f>
        <v>yksikkönormaalivektori</v>
      </c>
      <c r="D645" s="5"/>
      <c r="E645" s="5"/>
      <c r="F645" s="11"/>
      <c r="G645" s="11"/>
    </row>
    <row r="646">
      <c r="A646" s="2" t="str">
        <f>IFERROR(__xludf.DUMMYFUNCTION("""COMPUTED_VALUE"""),"normalrum")</f>
        <v>normalrum</v>
      </c>
      <c r="B646" s="2" t="str">
        <f>IFERROR(__xludf.DUMMYFUNCTION("""COMPUTED_VALUE"""),"normal space")</f>
        <v>normal space</v>
      </c>
      <c r="C646" s="2" t="str">
        <f>IFERROR(__xludf.DUMMYFUNCTION("""COMPUTED_VALUE"""),"normaali avaruus")</f>
        <v>normaali avaruus</v>
      </c>
      <c r="D646" s="5"/>
      <c r="E646" s="5"/>
      <c r="F646" s="11"/>
      <c r="G646" s="11"/>
    </row>
    <row r="647">
      <c r="A647" s="2" t="str">
        <f>IFERROR(__xludf.DUMMYFUNCTION("""COMPUTED_VALUE"""),"normalvektor")</f>
        <v>normalvektor</v>
      </c>
      <c r="B647" s="2" t="str">
        <f>IFERROR(__xludf.DUMMYFUNCTION("""COMPUTED_VALUE"""),"normal vector")</f>
        <v>normal vector</v>
      </c>
      <c r="C647" s="2" t="str">
        <f>IFERROR(__xludf.DUMMYFUNCTION("""COMPUTED_VALUE"""),"normaali, normaalivektori, kohtisuora vektori")</f>
        <v>normaali, normaalivektori, kohtisuora vektori</v>
      </c>
      <c r="D647" s="5"/>
      <c r="E647" s="5"/>
      <c r="F647" s="11"/>
      <c r="G647" s="11"/>
    </row>
    <row r="648">
      <c r="A648" s="2" t="str">
        <f>IFERROR(__xludf.DUMMYFUNCTION("""COMPUTED_VALUE"""),"normerat rum")</f>
        <v>normerat rum</v>
      </c>
      <c r="B648" s="2" t="str">
        <f>IFERROR(__xludf.DUMMYFUNCTION("""COMPUTED_VALUE"""),"normed space")</f>
        <v>normed space</v>
      </c>
      <c r="C648" s="2" t="str">
        <f>IFERROR(__xludf.DUMMYFUNCTION("""COMPUTED_VALUE"""),"normiavaruus")</f>
        <v>normiavaruus</v>
      </c>
      <c r="D648" s="5"/>
      <c r="E648" s="5"/>
      <c r="F648" s="11"/>
      <c r="G648" s="11"/>
    </row>
    <row r="649">
      <c r="A649" s="2" t="str">
        <f>IFERROR(__xludf.DUMMYFUNCTION("""COMPUTED_VALUE"""),"normerbar")</f>
        <v>normerbar</v>
      </c>
      <c r="B649" s="2" t="str">
        <f>IFERROR(__xludf.DUMMYFUNCTION("""COMPUTED_VALUE"""),"normable")</f>
        <v>normable</v>
      </c>
      <c r="C649" s="2" t="str">
        <f>IFERROR(__xludf.DUMMYFUNCTION("""COMPUTED_VALUE"""),"normeerautuva, normalisoituva")</f>
        <v>normeerautuva, normalisoituva</v>
      </c>
      <c r="D649" s="5"/>
      <c r="E649" s="5"/>
      <c r="F649" s="11"/>
      <c r="G649" s="11"/>
    </row>
    <row r="650">
      <c r="A650" s="2" t="str">
        <f>IFERROR(__xludf.DUMMYFUNCTION("""COMPUTED_VALUE"""),"numerisk")</f>
        <v>numerisk</v>
      </c>
      <c r="B650" s="2" t="str">
        <f>IFERROR(__xludf.DUMMYFUNCTION("""COMPUTED_VALUE"""),"numerical")</f>
        <v>numerical</v>
      </c>
      <c r="C650" s="2" t="str">
        <f>IFERROR(__xludf.DUMMYFUNCTION("""COMPUTED_VALUE"""),"numeerinen")</f>
        <v>numeerinen</v>
      </c>
      <c r="D650" s="5"/>
      <c r="E650" s="5"/>
      <c r="F650" s="11"/>
      <c r="G650" s="11"/>
    </row>
    <row r="651">
      <c r="A651" s="2" t="str">
        <f>IFERROR(__xludf.DUMMYFUNCTION("""COMPUTED_VALUE"""),"nämnare")</f>
        <v>nämnare</v>
      </c>
      <c r="B651" s="2" t="str">
        <f>IFERROR(__xludf.DUMMYFUNCTION("""COMPUTED_VALUE"""),"divisor, denominator")</f>
        <v>divisor, denominator</v>
      </c>
      <c r="C651" s="2" t="str">
        <f>IFERROR(__xludf.DUMMYFUNCTION("""COMPUTED_VALUE"""),"jakaja")</f>
        <v>jakaja</v>
      </c>
      <c r="D651" s="5"/>
      <c r="E651" s="5"/>
      <c r="F651" s="11"/>
      <c r="G651" s="11"/>
    </row>
    <row r="652">
      <c r="A652" s="2" t="str">
        <f>IFERROR(__xludf.DUMMYFUNCTION("""COMPUTED_VALUE"""),"nödvändig")</f>
        <v>nödvändig</v>
      </c>
      <c r="B652" s="2" t="str">
        <f>IFERROR(__xludf.DUMMYFUNCTION("""COMPUTED_VALUE"""),"necessary")</f>
        <v>necessary</v>
      </c>
      <c r="C652" s="2" t="str">
        <f>IFERROR(__xludf.DUMMYFUNCTION("""COMPUTED_VALUE"""),"välttämätön")</f>
        <v>välttämätön</v>
      </c>
      <c r="D652" s="5"/>
      <c r="E652" s="5"/>
      <c r="F652" s="11"/>
      <c r="G652" s="11"/>
    </row>
    <row r="653">
      <c r="A653" s="2" t="str">
        <f>IFERROR(__xludf.DUMMYFUNCTION("""COMPUTED_VALUE"""),"oavanifrån semikontinuerlig")</f>
        <v>oavanifrån semikontinuerlig</v>
      </c>
      <c r="B653" s="2" t="str">
        <f>IFERROR(__xludf.DUMMYFUNCTION("""COMPUTED_VALUE"""),"upper semicontinuous")</f>
        <v>upper semicontinuous</v>
      </c>
      <c r="C653" s="2" t="str">
        <f>IFERROR(__xludf.DUMMYFUNCTION("""COMPUTED_VALUE"""),"ylhäältä puolijatkuva, ylöspäin puolijatkuva")</f>
        <v>ylhäältä puolijatkuva, ylöspäin puolijatkuva</v>
      </c>
      <c r="D653" s="5"/>
      <c r="E653" s="5"/>
      <c r="F653" s="11"/>
      <c r="G653" s="11"/>
    </row>
    <row r="654">
      <c r="A654" s="2" t="str">
        <f>IFERROR(__xludf.DUMMYFUNCTION("""COMPUTED_VALUE"""),"obegränsad")</f>
        <v>obegränsad</v>
      </c>
      <c r="B654" s="2" t="str">
        <f>IFERROR(__xludf.DUMMYFUNCTION("""COMPUTED_VALUE"""),"unbounded")</f>
        <v>unbounded</v>
      </c>
      <c r="C654" s="2" t="str">
        <f>IFERROR(__xludf.DUMMYFUNCTION("""COMPUTED_VALUE"""),"rajoittamaton; rajaton")</f>
        <v>rajoittamaton; rajaton</v>
      </c>
      <c r="D654" s="5"/>
      <c r="E654" s="5"/>
      <c r="F654" s="11"/>
      <c r="G654" s="11"/>
    </row>
    <row r="655">
      <c r="A655" s="2" t="str">
        <f>IFERROR(__xludf.DUMMYFUNCTION("""COMPUTED_VALUE"""),"oberoende")</f>
        <v>oberoende</v>
      </c>
      <c r="B655" s="2" t="str">
        <f>IFERROR(__xludf.DUMMYFUNCTION("""COMPUTED_VALUE"""),"independence")</f>
        <v>independence</v>
      </c>
      <c r="C655" s="2" t="str">
        <f>IFERROR(__xludf.DUMMYFUNCTION("""COMPUTED_VALUE"""),"riippumattomuus")</f>
        <v>riippumattomuus</v>
      </c>
      <c r="D655" s="5"/>
      <c r="E655" s="5"/>
      <c r="F655" s="11"/>
      <c r="G655" s="11"/>
    </row>
    <row r="656">
      <c r="A656" s="2" t="str">
        <f>IFERROR(__xludf.DUMMYFUNCTION("""COMPUTED_VALUE"""),"oberoende")</f>
        <v>oberoende</v>
      </c>
      <c r="B656" s="2" t="str">
        <f>IFERROR(__xludf.DUMMYFUNCTION("""COMPUTED_VALUE"""),"independent")</f>
        <v>independent</v>
      </c>
      <c r="C656" s="2" t="str">
        <f>IFERROR(__xludf.DUMMYFUNCTION("""COMPUTED_VALUE"""),"riippumaton")</f>
        <v>riippumaton</v>
      </c>
      <c r="D656" s="5"/>
      <c r="E656" s="5"/>
      <c r="F656" s="11"/>
      <c r="G656" s="11"/>
    </row>
    <row r="657">
      <c r="A657" s="2" t="str">
        <f>IFERROR(__xludf.DUMMYFUNCTION("""COMPUTED_VALUE"""),"obestämd")</f>
        <v>obestämd</v>
      </c>
      <c r="B657" s="2" t="str">
        <f>IFERROR(__xludf.DUMMYFUNCTION("""COMPUTED_VALUE"""),"indefinite")</f>
        <v>indefinite</v>
      </c>
      <c r="C657" s="2" t="str">
        <f>IFERROR(__xludf.DUMMYFUNCTION("""COMPUTED_VALUE"""),"indefiniitti (matriisi, neliömuoto)")</f>
        <v>indefiniitti (matriisi, neliömuoto)</v>
      </c>
      <c r="D657" s="5"/>
      <c r="E657" s="5"/>
      <c r="F657" s="11"/>
      <c r="G657" s="11"/>
    </row>
    <row r="658">
      <c r="A658" s="2" t="str">
        <f>IFERROR(__xludf.DUMMYFUNCTION("""COMPUTED_VALUE"""),"obestämd integral")</f>
        <v>obestämd integral</v>
      </c>
      <c r="B658" s="2" t="str">
        <f>IFERROR(__xludf.DUMMYFUNCTION("""COMPUTED_VALUE"""),"indefinite integral")</f>
        <v>indefinite integral</v>
      </c>
      <c r="C658" s="2" t="str">
        <f>IFERROR(__xludf.DUMMYFUNCTION("""COMPUTED_VALUE"""),"määräämätön integraali, epämääräinen integraali")</f>
        <v>määräämätön integraali, epämääräinen integraali</v>
      </c>
      <c r="D658" s="5"/>
      <c r="E658" s="5"/>
      <c r="F658" s="11"/>
      <c r="G658" s="11"/>
    </row>
    <row r="659">
      <c r="A659" s="2" t="str">
        <f>IFERROR(__xludf.DUMMYFUNCTION("""COMPUTED_VALUE"""),"obsestämda koefficienter")</f>
        <v>obsestämda koefficienter</v>
      </c>
      <c r="B659" s="2" t="str">
        <f>IFERROR(__xludf.DUMMYFUNCTION("""COMPUTED_VALUE"""),"undetermined coefficients")</f>
        <v>undetermined coefficients</v>
      </c>
      <c r="C659" s="2" t="str">
        <f>IFERROR(__xludf.DUMMYFUNCTION("""COMPUTED_VALUE"""),"määräämättömät kertoimet (yrite)")</f>
        <v>määräämättömät kertoimet (yrite)</v>
      </c>
      <c r="D659" s="5"/>
      <c r="E659" s="5"/>
      <c r="F659" s="11"/>
      <c r="G659" s="11"/>
    </row>
    <row r="660">
      <c r="A660" s="2" t="str">
        <f>IFERROR(__xludf.DUMMYFUNCTION("""COMPUTED_VALUE"""),"oegentlig integral")</f>
        <v>oegentlig integral</v>
      </c>
      <c r="B660" s="2" t="str">
        <f>IFERROR(__xludf.DUMMYFUNCTION("""COMPUTED_VALUE"""),"generalized integral, improper integral")</f>
        <v>generalized integral, improper integral</v>
      </c>
      <c r="C660" s="2" t="str">
        <f>IFERROR(__xludf.DUMMYFUNCTION("""COMPUTED_VALUE"""),"epäoleellinen integraali")</f>
        <v>epäoleellinen integraali</v>
      </c>
      <c r="D660" s="5"/>
      <c r="E660" s="5"/>
      <c r="F660" s="11"/>
      <c r="G660" s="11"/>
    </row>
    <row r="661">
      <c r="A661" s="2" t="str">
        <f>IFERROR(__xludf.DUMMYFUNCTION("""COMPUTED_VALUE"""),"oegentlig integral")</f>
        <v>oegentlig integral</v>
      </c>
      <c r="B661" s="2" t="str">
        <f>IFERROR(__xludf.DUMMYFUNCTION("""COMPUTED_VALUE"""),"improper integral")</f>
        <v>improper integral</v>
      </c>
      <c r="C661" s="2" t="str">
        <f>IFERROR(__xludf.DUMMYFUNCTION("""COMPUTED_VALUE"""),"epäoleellinen integraali")</f>
        <v>epäoleellinen integraali</v>
      </c>
      <c r="D661" s="5"/>
      <c r="E661" s="5"/>
      <c r="F661" s="11"/>
      <c r="G661" s="11"/>
    </row>
    <row r="662">
      <c r="A662" s="2" t="str">
        <f>IFERROR(__xludf.DUMMYFUNCTION("""COMPUTED_VALUE"""),"ohomogen")</f>
        <v>ohomogen</v>
      </c>
      <c r="B662" s="2" t="str">
        <f>IFERROR(__xludf.DUMMYFUNCTION("""COMPUTED_VALUE"""),"nonhomogeneous")</f>
        <v>nonhomogeneous</v>
      </c>
      <c r="C662" s="2" t="str">
        <f>IFERROR(__xludf.DUMMYFUNCTION("""COMPUTED_VALUE"""),"epähomogeeninen")</f>
        <v>epähomogeeninen</v>
      </c>
      <c r="D662" s="5"/>
      <c r="E662" s="5"/>
      <c r="F662" s="11"/>
      <c r="G662" s="11"/>
    </row>
    <row r="663">
      <c r="A663" s="2" t="str">
        <f>IFERROR(__xludf.DUMMYFUNCTION("""COMPUTED_VALUE"""),"okontinuerlig")</f>
        <v>okontinuerlig</v>
      </c>
      <c r="B663" s="2" t="str">
        <f>IFERROR(__xludf.DUMMYFUNCTION("""COMPUTED_VALUE"""),"discontinuous")</f>
        <v>discontinuous</v>
      </c>
      <c r="C663" s="2" t="str">
        <f>IFERROR(__xludf.DUMMYFUNCTION("""COMPUTED_VALUE"""),"epäjatkuva")</f>
        <v>epäjatkuva</v>
      </c>
      <c r="D663" s="5"/>
      <c r="E663" s="5"/>
      <c r="F663" s="11"/>
      <c r="G663" s="11"/>
    </row>
    <row r="664">
      <c r="A664" s="2" t="str">
        <f>IFERROR(__xludf.DUMMYFUNCTION("""COMPUTED_VALUE"""),"oktant")</f>
        <v>oktant</v>
      </c>
      <c r="B664" s="2" t="str">
        <f>IFERROR(__xludf.DUMMYFUNCTION("""COMPUTED_VALUE"""),"octant")</f>
        <v>octant</v>
      </c>
      <c r="C664" s="2" t="str">
        <f>IFERROR(__xludf.DUMMYFUNCTION("""COMPUTED_VALUE"""),"oktantti")</f>
        <v>oktantti</v>
      </c>
      <c r="D664" s="5"/>
      <c r="E664" s="5"/>
      <c r="F664" s="11"/>
      <c r="G664" s="11"/>
    </row>
    <row r="665">
      <c r="A665" s="2" t="str">
        <f>IFERROR(__xludf.DUMMYFUNCTION("""COMPUTED_VALUE"""),"olikhet")</f>
        <v>olikhet</v>
      </c>
      <c r="B665" s="2" t="str">
        <f>IFERROR(__xludf.DUMMYFUNCTION("""COMPUTED_VALUE"""),"inequality")</f>
        <v>inequality</v>
      </c>
      <c r="C665" s="2" t="str">
        <f>IFERROR(__xludf.DUMMYFUNCTION("""COMPUTED_VALUE"""),"epäyhtälö")</f>
        <v>epäyhtälö</v>
      </c>
      <c r="D665" s="5"/>
      <c r="E665" s="5"/>
      <c r="F665" s="11"/>
      <c r="G665" s="11"/>
    </row>
    <row r="666">
      <c r="A666" s="2" t="str">
        <f>IFERROR(__xludf.DUMMYFUNCTION("""COMPUTED_VALUE"""),"olinjär")</f>
        <v>olinjär</v>
      </c>
      <c r="B666" s="2" t="str">
        <f>IFERROR(__xludf.DUMMYFUNCTION("""COMPUTED_VALUE"""),"nonlinear")</f>
        <v>nonlinear</v>
      </c>
      <c r="C666" s="2" t="str">
        <f>IFERROR(__xludf.DUMMYFUNCTION("""COMPUTED_VALUE"""),"epälineaarinen")</f>
        <v>epälineaarinen</v>
      </c>
      <c r="D666" s="5"/>
      <c r="E666" s="5"/>
      <c r="F666" s="11"/>
      <c r="G666" s="11"/>
    </row>
    <row r="667">
      <c r="A667" s="2" t="str">
        <f>IFERROR(__xludf.DUMMYFUNCTION("""COMPUTED_VALUE"""),"omgivning")</f>
        <v>omgivning</v>
      </c>
      <c r="B667" s="2" t="str">
        <f>IFERROR(__xludf.DUMMYFUNCTION("""COMPUTED_VALUE"""),"neighborhood")</f>
        <v>neighborhood</v>
      </c>
      <c r="C667" s="2" t="str">
        <f>IFERROR(__xludf.DUMMYFUNCTION("""COMPUTED_VALUE"""),"ympäristö")</f>
        <v>ympäristö</v>
      </c>
      <c r="D667" s="5"/>
      <c r="E667" s="5"/>
      <c r="F667" s="11"/>
      <c r="G667" s="11"/>
    </row>
    <row r="668">
      <c r="A668" s="2" t="str">
        <f>IFERROR(__xludf.DUMMYFUNCTION("""COMPUTED_VALUE"""),"omgivningsbas")</f>
        <v>omgivningsbas</v>
      </c>
      <c r="B668" s="2" t="str">
        <f>IFERROR(__xludf.DUMMYFUNCTION("""COMPUTED_VALUE"""),"neighborhood basis")</f>
        <v>neighborhood basis</v>
      </c>
      <c r="C668" s="2" t="str">
        <f>IFERROR(__xludf.DUMMYFUNCTION("""COMPUTED_VALUE"""),"ympäristökanta")</f>
        <v>ympäristökanta</v>
      </c>
      <c r="D668" s="5"/>
      <c r="E668" s="5"/>
      <c r="F668" s="11"/>
      <c r="G668" s="11"/>
    </row>
    <row r="669">
      <c r="A669" s="2" t="str">
        <f>IFERROR(__xludf.DUMMYFUNCTION("""COMPUTED_VALUE"""),"omkrets")</f>
        <v>omkrets</v>
      </c>
      <c r="B669" s="2" t="str">
        <f>IFERROR(__xludf.DUMMYFUNCTION("""COMPUTED_VALUE"""),"circumference")</f>
        <v>circumference</v>
      </c>
      <c r="C669" s="2" t="str">
        <f>IFERROR(__xludf.DUMMYFUNCTION("""COMPUTED_VALUE"""),"ympärysmitta")</f>
        <v>ympärysmitta</v>
      </c>
      <c r="D669" s="5"/>
      <c r="E669" s="5"/>
      <c r="F669" s="11"/>
      <c r="G669" s="11"/>
    </row>
    <row r="670">
      <c r="A670" s="2" t="str">
        <f>IFERROR(__xludf.DUMMYFUNCTION("""COMPUTED_VALUE"""),"område")</f>
        <v>område</v>
      </c>
      <c r="B670" s="2" t="str">
        <f>IFERROR(__xludf.DUMMYFUNCTION("""COMPUTED_VALUE"""),"domain")</f>
        <v>domain</v>
      </c>
      <c r="C670" s="2" t="str">
        <f>IFERROR(__xludf.DUMMYFUNCTION("""COMPUTED_VALUE"""),"määrittelyjoukko; alue")</f>
        <v>määrittelyjoukko; alue</v>
      </c>
      <c r="D670" s="5"/>
      <c r="E670" s="5"/>
      <c r="F670" s="11"/>
      <c r="G670" s="11"/>
    </row>
    <row r="671">
      <c r="A671" s="2" t="str">
        <f>IFERROR(__xludf.DUMMYFUNCTION("""COMPUTED_VALUE"""),"område")</f>
        <v>område</v>
      </c>
      <c r="B671" s="2" t="str">
        <f>IFERROR(__xludf.DUMMYFUNCTION("""COMPUTED_VALUE"""),"region")</f>
        <v>region</v>
      </c>
      <c r="C671" s="2" t="str">
        <f>IFERROR(__xludf.DUMMYFUNCTION("""COMPUTED_VALUE"""),"alue")</f>
        <v>alue</v>
      </c>
      <c r="D671" s="5"/>
      <c r="E671" s="5"/>
      <c r="F671" s="11"/>
      <c r="G671" s="11"/>
    </row>
    <row r="672">
      <c r="A672" s="2" t="str">
        <f>IFERROR(__xludf.DUMMYFUNCTION("""COMPUTED_VALUE"""),"omskriven cirkel")</f>
        <v>omskriven cirkel</v>
      </c>
      <c r="B672" s="2" t="str">
        <f>IFERROR(__xludf.DUMMYFUNCTION("""COMPUTED_VALUE"""),"outscribed circle")</f>
        <v>outscribed circle</v>
      </c>
      <c r="C672" s="2" t="str">
        <f>IFERROR(__xludf.DUMMYFUNCTION("""COMPUTED_VALUE"""),"ympäri piirretty ympyrä")</f>
        <v>ympäri piirretty ympyrä</v>
      </c>
      <c r="D672" s="5"/>
      <c r="E672" s="5"/>
      <c r="F672" s="11"/>
      <c r="G672" s="11"/>
    </row>
    <row r="673">
      <c r="A673" s="2" t="str">
        <f>IFERROR(__xludf.DUMMYFUNCTION("""COMPUTED_VALUE"""),"omvänd, reciprok")</f>
        <v>omvänd, reciprok</v>
      </c>
      <c r="B673" s="2" t="str">
        <f>IFERROR(__xludf.DUMMYFUNCTION("""COMPUTED_VALUE"""),"reciprocal")</f>
        <v>reciprocal</v>
      </c>
      <c r="C673" s="2" t="str">
        <f>IFERROR(__xludf.DUMMYFUNCTION("""COMPUTED_VALUE"""),"käänteis, resiprookki-, resiprookkinen")</f>
        <v>käänteis, resiprookki-, resiprookkinen</v>
      </c>
      <c r="D673" s="5"/>
      <c r="E673" s="5"/>
      <c r="F673" s="11"/>
      <c r="G673" s="11"/>
    </row>
    <row r="674">
      <c r="A674" s="2" t="str">
        <f>IFERROR(__xludf.DUMMYFUNCTION("""COMPUTED_VALUE"""),"operator")</f>
        <v>operator</v>
      </c>
      <c r="B674" s="2" t="str">
        <f>IFERROR(__xludf.DUMMYFUNCTION("""COMPUTED_VALUE"""),"operator")</f>
        <v>operator</v>
      </c>
      <c r="C674" s="2" t="str">
        <f>IFERROR(__xludf.DUMMYFUNCTION("""COMPUTED_VALUE"""),"operaattori")</f>
        <v>operaattori</v>
      </c>
      <c r="D674" s="5"/>
      <c r="E674" s="5"/>
      <c r="F674" s="11"/>
      <c r="G674" s="11"/>
    </row>
    <row r="675">
      <c r="A675" s="2" t="str">
        <f>IFERROR(__xludf.DUMMYFUNCTION("""COMPUTED_VALUE"""),"optimal")</f>
        <v>optimal</v>
      </c>
      <c r="B675" s="2" t="str">
        <f>IFERROR(__xludf.DUMMYFUNCTION("""COMPUTED_VALUE"""),"optimal")</f>
        <v>optimal</v>
      </c>
      <c r="C675" s="2" t="str">
        <f>IFERROR(__xludf.DUMMYFUNCTION("""COMPUTED_VALUE"""),"optimaalinen")</f>
        <v>optimaalinen</v>
      </c>
      <c r="D675" s="5"/>
      <c r="E675" s="5"/>
      <c r="F675" s="11"/>
      <c r="G675" s="11"/>
    </row>
    <row r="676">
      <c r="A676" s="2" t="str">
        <f>IFERROR(__xludf.DUMMYFUNCTION("""COMPUTED_VALUE"""),"optimera")</f>
        <v>optimera</v>
      </c>
      <c r="B676" s="2" t="str">
        <f>IFERROR(__xludf.DUMMYFUNCTION("""COMPUTED_VALUE"""),"optimize")</f>
        <v>optimize</v>
      </c>
      <c r="C676" s="2" t="str">
        <f>IFERROR(__xludf.DUMMYFUNCTION("""COMPUTED_VALUE"""),"optimoida")</f>
        <v>optimoida</v>
      </c>
      <c r="D676" s="5"/>
      <c r="E676" s="5"/>
      <c r="F676" s="11"/>
      <c r="G676" s="11"/>
    </row>
    <row r="677">
      <c r="A677" s="2" t="str">
        <f>IFERROR(__xludf.DUMMYFUNCTION("""COMPUTED_VALUE"""),"ordnat par")</f>
        <v>ordnat par</v>
      </c>
      <c r="B677" s="2" t="str">
        <f>IFERROR(__xludf.DUMMYFUNCTION("""COMPUTED_VALUE"""),"ordered pair")</f>
        <v>ordered pair</v>
      </c>
      <c r="C677" s="2" t="str">
        <f>IFERROR(__xludf.DUMMYFUNCTION("""COMPUTED_VALUE"""),"järjestetty pari")</f>
        <v>järjestetty pari</v>
      </c>
      <c r="D677" s="5"/>
      <c r="E677" s="5"/>
      <c r="F677" s="11"/>
      <c r="G677" s="11"/>
    </row>
    <row r="678">
      <c r="A678" s="2" t="str">
        <f>IFERROR(__xludf.DUMMYFUNCTION("""COMPUTED_VALUE"""),"ordo")</f>
        <v>ordo</v>
      </c>
      <c r="B678" s="2" t="str">
        <f>IFERROR(__xludf.DUMMYFUNCTION("""COMPUTED_VALUE"""),"big-O notation")</f>
        <v>big-O notation</v>
      </c>
      <c r="C678" s="2" t="str">
        <f>IFERROR(__xludf.DUMMYFUNCTION("""COMPUTED_VALUE"""),"iso-O-merkintä, iso ordo")</f>
        <v>iso-O-merkintä, iso ordo</v>
      </c>
      <c r="D678" s="5"/>
      <c r="E678" s="5"/>
      <c r="F678" s="11"/>
      <c r="G678" s="11"/>
    </row>
    <row r="679">
      <c r="A679" s="2" t="str">
        <f>IFERROR(__xludf.DUMMYFUNCTION("""COMPUTED_VALUE"""),"orienterad")</f>
        <v>orienterad</v>
      </c>
      <c r="B679" s="2" t="str">
        <f>IFERROR(__xludf.DUMMYFUNCTION("""COMPUTED_VALUE"""),"oriented")</f>
        <v>oriented</v>
      </c>
      <c r="C679" s="2" t="str">
        <f>IFERROR(__xludf.DUMMYFUNCTION("""COMPUTED_VALUE"""),"suunnistettu (pinta); suunnattu")</f>
        <v>suunnistettu (pinta); suunnattu</v>
      </c>
      <c r="D679" s="5"/>
      <c r="E679" s="5"/>
      <c r="F679" s="11"/>
      <c r="G679" s="11"/>
    </row>
    <row r="680">
      <c r="A680" s="2" t="str">
        <f>IFERROR(__xludf.DUMMYFUNCTION("""COMPUTED_VALUE"""),"orienterbar")</f>
        <v>orienterbar</v>
      </c>
      <c r="B680" s="2" t="str">
        <f>IFERROR(__xludf.DUMMYFUNCTION("""COMPUTED_VALUE"""),"orientable")</f>
        <v>orientable</v>
      </c>
      <c r="C680" s="2" t="str">
        <f>IFERROR(__xludf.DUMMYFUNCTION("""COMPUTED_VALUE"""),"suunnistuva (pinta)")</f>
        <v>suunnistuva (pinta)</v>
      </c>
      <c r="D680" s="5"/>
      <c r="E680" s="5"/>
      <c r="F680" s="11"/>
      <c r="G680" s="11"/>
    </row>
    <row r="681">
      <c r="A681" s="2" t="str">
        <f>IFERROR(__xludf.DUMMYFUNCTION("""COMPUTED_VALUE"""),"orientering")</f>
        <v>orientering</v>
      </c>
      <c r="B681" s="2" t="str">
        <f>IFERROR(__xludf.DUMMYFUNCTION("""COMPUTED_VALUE"""),"orientation")</f>
        <v>orientation</v>
      </c>
      <c r="C681" s="2" t="str">
        <f>IFERROR(__xludf.DUMMYFUNCTION("""COMPUTED_VALUE"""),"suunnistus")</f>
        <v>suunnistus</v>
      </c>
      <c r="D681" s="5"/>
      <c r="E681" s="5"/>
      <c r="F681" s="11"/>
      <c r="G681" s="11"/>
    </row>
    <row r="682">
      <c r="A682" s="2" t="str">
        <f>IFERROR(__xludf.DUMMYFUNCTION("""COMPUTED_VALUE"""),"orienteringsbytande")</f>
        <v>orienteringsbytande</v>
      </c>
      <c r="B682" s="2" t="str">
        <f>IFERROR(__xludf.DUMMYFUNCTION("""COMPUTED_VALUE"""),"orientation reversing")</f>
        <v>orientation reversing</v>
      </c>
      <c r="C682" s="2" t="str">
        <f>IFERROR(__xludf.DUMMYFUNCTION("""COMPUTED_VALUE"""),"suunnankääntävä")</f>
        <v>suunnankääntävä</v>
      </c>
      <c r="D682" s="5"/>
      <c r="E682" s="5"/>
      <c r="F682" s="11"/>
      <c r="G682" s="11"/>
    </row>
    <row r="683">
      <c r="A683" s="2" t="str">
        <f>IFERROR(__xludf.DUMMYFUNCTION("""COMPUTED_VALUE"""),"orienteringskonserverande")</f>
        <v>orienteringskonserverande</v>
      </c>
      <c r="B683" s="2" t="str">
        <f>IFERROR(__xludf.DUMMYFUNCTION("""COMPUTED_VALUE"""),"orientation preserving")</f>
        <v>orientation preserving</v>
      </c>
      <c r="C683" s="2" t="str">
        <f>IFERROR(__xludf.DUMMYFUNCTION("""COMPUTED_VALUE"""),"suunnansäilyttävä")</f>
        <v>suunnansäilyttävä</v>
      </c>
      <c r="D683" s="5"/>
      <c r="E683" s="5"/>
      <c r="F683" s="11"/>
      <c r="G683" s="11"/>
    </row>
    <row r="684">
      <c r="A684" s="2" t="str">
        <f>IFERROR(__xludf.DUMMYFUNCTION("""COMPUTED_VALUE"""),"origo")</f>
        <v>origo</v>
      </c>
      <c r="B684" s="2" t="str">
        <f>IFERROR(__xludf.DUMMYFUNCTION("""COMPUTED_VALUE"""),"origin")</f>
        <v>origin</v>
      </c>
      <c r="C684" s="2" t="str">
        <f>IFERROR(__xludf.DUMMYFUNCTION("""COMPUTED_VALUE"""),"origo")</f>
        <v>origo</v>
      </c>
      <c r="D684" s="5"/>
      <c r="E684" s="5"/>
      <c r="F684" s="11"/>
      <c r="G684" s="11"/>
    </row>
    <row r="685">
      <c r="A685" s="2" t="str">
        <f>IFERROR(__xludf.DUMMYFUNCTION("""COMPUTED_VALUE"""),"ortogonalkomplement")</f>
        <v>ortogonalkomplement</v>
      </c>
      <c r="B685" s="2" t="str">
        <f>IFERROR(__xludf.DUMMYFUNCTION("""COMPUTED_VALUE"""),"orthogonal complement")</f>
        <v>orthogonal complement</v>
      </c>
      <c r="C685" s="2" t="str">
        <f>IFERROR(__xludf.DUMMYFUNCTION("""COMPUTED_VALUE"""),"ortogonaalikomplementti, ortokomplementti, orto")</f>
        <v>ortogonaalikomplementti, ortokomplementti, orto</v>
      </c>
      <c r="D685" s="5"/>
      <c r="E685" s="5"/>
      <c r="F685" s="11"/>
      <c r="G685" s="11"/>
    </row>
    <row r="686">
      <c r="A686" s="2" t="str">
        <f>IFERROR(__xludf.DUMMYFUNCTION("""COMPUTED_VALUE"""),"ortogonalmatris")</f>
        <v>ortogonalmatris</v>
      </c>
      <c r="B686" s="2" t="str">
        <f>IFERROR(__xludf.DUMMYFUNCTION("""COMPUTED_VALUE"""),"orthogonal matrix")</f>
        <v>orthogonal matrix</v>
      </c>
      <c r="C686" s="2" t="str">
        <f>IFERROR(__xludf.DUMMYFUNCTION("""COMPUTED_VALUE"""),"ortogonaalinen matriisi")</f>
        <v>ortogonaalinen matriisi</v>
      </c>
      <c r="D686" s="5"/>
      <c r="E686" s="5"/>
      <c r="F686" s="11"/>
      <c r="G686" s="11"/>
    </row>
    <row r="687">
      <c r="A687" s="2" t="str">
        <f>IFERROR(__xludf.DUMMYFUNCTION("""COMPUTED_VALUE"""),"ortonormerad")</f>
        <v>ortonormerad</v>
      </c>
      <c r="B687" s="2" t="str">
        <f>IFERROR(__xludf.DUMMYFUNCTION("""COMPUTED_VALUE"""),"orthonormal")</f>
        <v>orthonormal</v>
      </c>
      <c r="C687" s="2" t="str">
        <f>IFERROR(__xludf.DUMMYFUNCTION("""COMPUTED_VALUE"""),"ortonormeerattu, ortonormaali")</f>
        <v>ortonormeerattu, ortonormaali</v>
      </c>
      <c r="D687" s="5"/>
      <c r="E687" s="5"/>
      <c r="F687" s="11"/>
      <c r="G687" s="11"/>
    </row>
    <row r="688">
      <c r="A688" s="2" t="str">
        <f>IFERROR(__xludf.DUMMYFUNCTION("""COMPUTED_VALUE"""),"ortsvektor")</f>
        <v>ortsvektor</v>
      </c>
      <c r="B688" s="2" t="str">
        <f>IFERROR(__xludf.DUMMYFUNCTION("""COMPUTED_VALUE"""),"position vector")</f>
        <v>position vector</v>
      </c>
      <c r="C688" s="2" t="str">
        <f>IFERROR(__xludf.DUMMYFUNCTION("""COMPUTED_VALUE"""),"paikkavektori")</f>
        <v>paikkavektori</v>
      </c>
      <c r="D688" s="5"/>
      <c r="E688" s="5"/>
      <c r="F688" s="11"/>
      <c r="G688" s="11"/>
    </row>
    <row r="689">
      <c r="A689" s="2" t="str">
        <f>IFERROR(__xludf.DUMMYFUNCTION("""COMPUTED_VALUE"""),"osammanhängande")</f>
        <v>osammanhängande</v>
      </c>
      <c r="B689" s="2" t="str">
        <f>IFERROR(__xludf.DUMMYFUNCTION("""COMPUTED_VALUE"""),"disconnected")</f>
        <v>disconnected</v>
      </c>
      <c r="C689" s="2" t="str">
        <f>IFERROR(__xludf.DUMMYFUNCTION("""COMPUTED_VALUE"""),"epäyhtenäinen")</f>
        <v>epäyhtenäinen</v>
      </c>
      <c r="D689" s="5"/>
      <c r="E689" s="5"/>
      <c r="F689" s="11"/>
      <c r="G689" s="11"/>
    </row>
    <row r="690">
      <c r="A690" s="2" t="str">
        <f>IFERROR(__xludf.DUMMYFUNCTION("""COMPUTED_VALUE"""),"ostabil")</f>
        <v>ostabil</v>
      </c>
      <c r="B690" s="2" t="str">
        <f>IFERROR(__xludf.DUMMYFUNCTION("""COMPUTED_VALUE"""),"unstable")</f>
        <v>unstable</v>
      </c>
      <c r="C690" s="2" t="str">
        <f>IFERROR(__xludf.DUMMYFUNCTION("""COMPUTED_VALUE"""),"epästabiili")</f>
        <v>epästabiili</v>
      </c>
      <c r="D690" s="5"/>
      <c r="E690" s="5"/>
      <c r="F690" s="11"/>
      <c r="G690" s="11"/>
    </row>
    <row r="691">
      <c r="A691" s="2" t="str">
        <f>IFERROR(__xludf.DUMMYFUNCTION("""COMPUTED_VALUE"""),"ovanifrån begränsad")</f>
        <v>ovanifrån begränsad</v>
      </c>
      <c r="B691" s="2" t="str">
        <f>IFERROR(__xludf.DUMMYFUNCTION("""COMPUTED_VALUE"""),"bounded above")</f>
        <v>bounded above</v>
      </c>
      <c r="C691" s="2" t="str">
        <f>IFERROR(__xludf.DUMMYFUNCTION("""COMPUTED_VALUE"""),"ylhäältä rajoitettu (resp. alh., below)+B316")</f>
        <v>ylhäältä rajoitettu (resp. alh., below)+B316</v>
      </c>
      <c r="D691" s="5"/>
      <c r="E691" s="5"/>
      <c r="F691" s="11"/>
      <c r="G691" s="11"/>
    </row>
    <row r="692">
      <c r="A692" s="2" t="str">
        <f>IFERROR(__xludf.DUMMYFUNCTION("""COMPUTED_VALUE"""),"oändlig")</f>
        <v>oändlig</v>
      </c>
      <c r="B692" s="2" t="str">
        <f>IFERROR(__xludf.DUMMYFUNCTION("""COMPUTED_VALUE"""),"infinite")</f>
        <v>infinite</v>
      </c>
      <c r="C692" s="2" t="str">
        <f>IFERROR(__xludf.DUMMYFUNCTION("""COMPUTED_VALUE"""),"ääretön (adj.)")</f>
        <v>ääretön (adj.)</v>
      </c>
      <c r="D692" s="5"/>
      <c r="E692" s="5"/>
      <c r="F692" s="11"/>
      <c r="G692" s="11"/>
    </row>
    <row r="693">
      <c r="A693" s="2" t="str">
        <f>IFERROR(__xludf.DUMMYFUNCTION("""COMPUTED_VALUE"""),"oändlighet")</f>
        <v>oändlighet</v>
      </c>
      <c r="B693" s="2" t="str">
        <f>IFERROR(__xludf.DUMMYFUNCTION("""COMPUTED_VALUE"""),"infinity")</f>
        <v>infinity</v>
      </c>
      <c r="C693" s="2" t="str">
        <f>IFERROR(__xludf.DUMMYFUNCTION("""COMPUTED_VALUE"""),"ääretön (subst.)")</f>
        <v>ääretön (subst.)</v>
      </c>
      <c r="D693" s="5"/>
      <c r="E693" s="5"/>
      <c r="F693" s="11"/>
      <c r="G693" s="11"/>
    </row>
    <row r="694">
      <c r="A694" s="2" t="str">
        <f>IFERROR(__xludf.DUMMYFUNCTION("""COMPUTED_VALUE"""),"p-ad")</f>
        <v>p-ad</v>
      </c>
      <c r="B694" s="2" t="str">
        <f>IFERROR(__xludf.DUMMYFUNCTION("""COMPUTED_VALUE"""),"p-adic")</f>
        <v>p-adic</v>
      </c>
      <c r="C694" s="2" t="str">
        <f>IFERROR(__xludf.DUMMYFUNCTION("""COMPUTED_VALUE"""),"p-adinen")</f>
        <v>p-adinen</v>
      </c>
      <c r="D694" s="5"/>
      <c r="E694" s="5"/>
      <c r="F694" s="11"/>
      <c r="G694" s="11"/>
    </row>
    <row r="695">
      <c r="A695" s="2" t="str">
        <f>IFERROR(__xludf.DUMMYFUNCTION("""COMPUTED_VALUE"""),"parabel")</f>
        <v>parabel</v>
      </c>
      <c r="B695" s="2" t="str">
        <f>IFERROR(__xludf.DUMMYFUNCTION("""COMPUTED_VALUE"""),"parabola")</f>
        <v>parabola</v>
      </c>
      <c r="C695" s="2" t="str">
        <f>IFERROR(__xludf.DUMMYFUNCTION("""COMPUTED_VALUE"""),"paraabeli")</f>
        <v>paraabeli</v>
      </c>
      <c r="D695" s="5"/>
      <c r="E695" s="5"/>
      <c r="F695" s="11"/>
      <c r="G695" s="11"/>
    </row>
    <row r="696">
      <c r="A696" s="2" t="str">
        <f>IFERROR(__xludf.DUMMYFUNCTION("""COMPUTED_VALUE"""),"parabolisk")</f>
        <v>parabolisk</v>
      </c>
      <c r="B696" s="2" t="str">
        <f>IFERROR(__xludf.DUMMYFUNCTION("""COMPUTED_VALUE"""),"parabolic")</f>
        <v>parabolic</v>
      </c>
      <c r="C696" s="2" t="str">
        <f>IFERROR(__xludf.DUMMYFUNCTION("""COMPUTED_VALUE"""),"parabolinen")</f>
        <v>parabolinen</v>
      </c>
      <c r="D696" s="5"/>
      <c r="E696" s="5"/>
      <c r="F696" s="11"/>
      <c r="G696" s="11"/>
    </row>
    <row r="697">
      <c r="A697" s="2" t="str">
        <f>IFERROR(__xludf.DUMMYFUNCTION("""COMPUTED_VALUE"""),"paraboloid")</f>
        <v>paraboloid</v>
      </c>
      <c r="B697" s="2" t="str">
        <f>IFERROR(__xludf.DUMMYFUNCTION("""COMPUTED_VALUE"""),"paraboloid")</f>
        <v>paraboloid</v>
      </c>
      <c r="C697" s="2" t="str">
        <f>IFERROR(__xludf.DUMMYFUNCTION("""COMPUTED_VALUE"""),"paraboloidi")</f>
        <v>paraboloidi</v>
      </c>
      <c r="D697" s="5"/>
      <c r="E697" s="5"/>
      <c r="F697" s="11"/>
      <c r="G697" s="11"/>
    </row>
    <row r="698">
      <c r="A698" s="2" t="str">
        <f>IFERROR(__xludf.DUMMYFUNCTION("""COMPUTED_VALUE"""),"paragraf")</f>
        <v>paragraf</v>
      </c>
      <c r="B698" s="2" t="str">
        <f>IFERROR(__xludf.DUMMYFUNCTION("""COMPUTED_VALUE"""),"section")</f>
        <v>section</v>
      </c>
      <c r="C698" s="2" t="str">
        <f>IFERROR(__xludf.DUMMYFUNCTION("""COMPUTED_VALUE"""),"pykälä")</f>
        <v>pykälä</v>
      </c>
      <c r="D698" s="5"/>
      <c r="E698" s="5"/>
      <c r="F698" s="11"/>
      <c r="G698" s="11"/>
    </row>
    <row r="699">
      <c r="A699" s="2" t="str">
        <f>IFERROR(__xludf.DUMMYFUNCTION("""COMPUTED_VALUE"""),"parallelepiped")</f>
        <v>parallelepiped</v>
      </c>
      <c r="B699" s="2" t="str">
        <f>IFERROR(__xludf.DUMMYFUNCTION("""COMPUTED_VALUE"""),"parallelepiped")</f>
        <v>parallelepiped</v>
      </c>
      <c r="C699" s="2" t="str">
        <f>IFERROR(__xludf.DUMMYFUNCTION("""COMPUTED_VALUE"""),"suuntaissärmiö")</f>
        <v>suuntaissärmiö</v>
      </c>
      <c r="D699" s="5"/>
      <c r="E699" s="5"/>
      <c r="F699" s="11"/>
      <c r="G699" s="11"/>
    </row>
    <row r="700">
      <c r="A700" s="2" t="str">
        <f>IFERROR(__xludf.DUMMYFUNCTION("""COMPUTED_VALUE"""),"parallell")</f>
        <v>parallell</v>
      </c>
      <c r="B700" s="2" t="str">
        <f>IFERROR(__xludf.DUMMYFUNCTION("""COMPUTED_VALUE"""),"parallel")</f>
        <v>parallel</v>
      </c>
      <c r="C700" s="2" t="str">
        <f>IFERROR(__xludf.DUMMYFUNCTION("""COMPUTED_VALUE"""),"yhdensuuntainen; rinnakkainen")</f>
        <v>yhdensuuntainen; rinnakkainen</v>
      </c>
      <c r="D700" s="5"/>
      <c r="E700" s="5"/>
      <c r="F700" s="11"/>
      <c r="G700" s="11"/>
    </row>
    <row r="701">
      <c r="A701" s="2" t="str">
        <f>IFERROR(__xludf.DUMMYFUNCTION("""COMPUTED_VALUE"""),"parallellogram")</f>
        <v>parallellogram</v>
      </c>
      <c r="B701" s="2" t="str">
        <f>IFERROR(__xludf.DUMMYFUNCTION("""COMPUTED_VALUE"""),"parallelogram")</f>
        <v>parallelogram</v>
      </c>
      <c r="C701" s="2" t="str">
        <f>IFERROR(__xludf.DUMMYFUNCTION("""COMPUTED_VALUE"""),"suunnikas")</f>
        <v>suunnikas</v>
      </c>
      <c r="D701" s="5"/>
      <c r="E701" s="5"/>
      <c r="F701" s="11"/>
      <c r="G701" s="11"/>
    </row>
    <row r="702">
      <c r="A702" s="2" t="str">
        <f>IFERROR(__xludf.DUMMYFUNCTION("""COMPUTED_VALUE"""),"parameter")</f>
        <v>parameter</v>
      </c>
      <c r="B702" s="2" t="str">
        <f>IFERROR(__xludf.DUMMYFUNCTION("""COMPUTED_VALUE"""),"parameter")</f>
        <v>parameter</v>
      </c>
      <c r="C702" s="2" t="str">
        <f>IFERROR(__xludf.DUMMYFUNCTION("""COMPUTED_VALUE"""),"parametri")</f>
        <v>parametri</v>
      </c>
      <c r="D702" s="5"/>
      <c r="E702" s="5"/>
      <c r="F702" s="11"/>
      <c r="G702" s="11"/>
    </row>
    <row r="703">
      <c r="A703" s="2" t="str">
        <f>IFERROR(__xludf.DUMMYFUNCTION("""COMPUTED_VALUE"""),"parametrisering")</f>
        <v>parametrisering</v>
      </c>
      <c r="B703" s="2" t="str">
        <f>IFERROR(__xludf.DUMMYFUNCTION("""COMPUTED_VALUE"""),"parametrization")</f>
        <v>parametrization</v>
      </c>
      <c r="C703" s="2" t="str">
        <f>IFERROR(__xludf.DUMMYFUNCTION("""COMPUTED_VALUE"""),"parametrisointi")</f>
        <v>parametrisointi</v>
      </c>
      <c r="D703" s="5"/>
      <c r="E703" s="5"/>
      <c r="F703" s="11"/>
      <c r="G703" s="11"/>
    </row>
    <row r="704">
      <c r="A704" s="2" t="str">
        <f>IFERROR(__xludf.DUMMYFUNCTION("""COMPUTED_VALUE"""),"partialbråksutveckling")</f>
        <v>partialbråksutveckling</v>
      </c>
      <c r="B704" s="2" t="str">
        <f>IFERROR(__xludf.DUMMYFUNCTION("""COMPUTED_VALUE"""),"partial fraction decomposition")</f>
        <v>partial fraction decomposition</v>
      </c>
      <c r="C704" s="2" t="str">
        <f>IFERROR(__xludf.DUMMYFUNCTION("""COMPUTED_VALUE"""),"osamurtokehitelmä")</f>
        <v>osamurtokehitelmä</v>
      </c>
      <c r="D704" s="5"/>
      <c r="E704" s="5"/>
      <c r="F704" s="11"/>
      <c r="G704" s="11"/>
    </row>
    <row r="705">
      <c r="A705" s="2" t="str">
        <f>IFERROR(__xludf.DUMMYFUNCTION("""COMPUTED_VALUE"""),"partiell derivata")</f>
        <v>partiell derivata</v>
      </c>
      <c r="B705" s="2" t="str">
        <f>IFERROR(__xludf.DUMMYFUNCTION("""COMPUTED_VALUE"""),"partial derivative")</f>
        <v>partial derivative</v>
      </c>
      <c r="C705" s="2" t="str">
        <f>IFERROR(__xludf.DUMMYFUNCTION("""COMPUTED_VALUE"""),"osittaisderivaatta")</f>
        <v>osittaisderivaatta</v>
      </c>
      <c r="D705" s="5"/>
      <c r="E705" s="5"/>
      <c r="F705" s="11"/>
      <c r="G705" s="11"/>
    </row>
    <row r="706">
      <c r="A706" s="2" t="str">
        <f>IFERROR(__xludf.DUMMYFUNCTION("""COMPUTED_VALUE"""),"partiell differentialekvation")</f>
        <v>partiell differentialekvation</v>
      </c>
      <c r="B706" s="2" t="str">
        <f>IFERROR(__xludf.DUMMYFUNCTION("""COMPUTED_VALUE"""),"partial differential equation")</f>
        <v>partial differential equation</v>
      </c>
      <c r="C706" s="2" t="str">
        <f>IFERROR(__xludf.DUMMYFUNCTION("""COMPUTED_VALUE"""),"osittaisdifferentiaaliyhtälö")</f>
        <v>osittaisdifferentiaaliyhtälö</v>
      </c>
      <c r="D706" s="5"/>
      <c r="E706" s="5"/>
      <c r="F706" s="11"/>
      <c r="G706" s="11"/>
    </row>
    <row r="707">
      <c r="A707" s="2" t="str">
        <f>IFERROR(__xludf.DUMMYFUNCTION("""COMPUTED_VALUE"""),"partiell integration")</f>
        <v>partiell integration</v>
      </c>
      <c r="B707" s="2" t="str">
        <f>IFERROR(__xludf.DUMMYFUNCTION("""COMPUTED_VALUE"""),"integration by parts")</f>
        <v>integration by parts</v>
      </c>
      <c r="C707" s="2" t="str">
        <f>IFERROR(__xludf.DUMMYFUNCTION("""COMPUTED_VALUE"""),"osittaisintegrointi")</f>
        <v>osittaisintegrointi</v>
      </c>
      <c r="D707" s="5"/>
      <c r="E707" s="5"/>
      <c r="F707" s="11"/>
      <c r="G707" s="11"/>
    </row>
    <row r="708">
      <c r="A708" s="2" t="str">
        <f>IFERROR(__xludf.DUMMYFUNCTION("""COMPUTED_VALUE"""),"partiell pivåtering")</f>
        <v>partiell pivåtering</v>
      </c>
      <c r="B708" s="2" t="str">
        <f>IFERROR(__xludf.DUMMYFUNCTION("""COMPUTED_VALUE"""),"partial pivoting")</f>
        <v>partial pivoting</v>
      </c>
      <c r="C708" s="2" t="str">
        <f>IFERROR(__xludf.DUMMYFUNCTION("""COMPUTED_VALUE"""),"osittaistuenta")</f>
        <v>osittaistuenta</v>
      </c>
      <c r="D708" s="5"/>
      <c r="E708" s="5"/>
      <c r="F708" s="11"/>
      <c r="G708" s="11"/>
    </row>
    <row r="709">
      <c r="A709" s="2" t="str">
        <f>IFERROR(__xludf.DUMMYFUNCTION("""COMPUTED_VALUE"""),"parvis")</f>
        <v>parvis</v>
      </c>
      <c r="B709" s="2" t="str">
        <f>IFERROR(__xludf.DUMMYFUNCTION("""COMPUTED_VALUE"""),"pairwise")</f>
        <v>pairwise</v>
      </c>
      <c r="C709" s="2" t="str">
        <f>IFERROR(__xludf.DUMMYFUNCTION("""COMPUTED_VALUE"""),"pareittain")</f>
        <v>pareittain</v>
      </c>
      <c r="D709" s="5"/>
      <c r="E709" s="5"/>
      <c r="F709" s="11"/>
      <c r="G709" s="11"/>
    </row>
    <row r="710">
      <c r="A710" s="2" t="str">
        <f>IFERROR(__xludf.DUMMYFUNCTION("""COMPUTED_VALUE"""),"PDE")</f>
        <v>PDE</v>
      </c>
      <c r="B710" s="2" t="str">
        <f>IFERROR(__xludf.DUMMYFUNCTION("""COMPUTED_VALUE"""),"PDE")</f>
        <v>PDE</v>
      </c>
      <c r="C710" s="2" t="str">
        <f>IFERROR(__xludf.DUMMYFUNCTION("""COMPUTED_VALUE"""),"ODY")</f>
        <v>ODY</v>
      </c>
      <c r="D710" s="5"/>
      <c r="E710" s="5"/>
      <c r="F710" s="11"/>
      <c r="G710" s="11"/>
    </row>
    <row r="711">
      <c r="A711" s="2" t="str">
        <f>IFERROR(__xludf.DUMMYFUNCTION("""COMPUTED_VALUE"""),"pendel")</f>
        <v>pendel</v>
      </c>
      <c r="B711" s="2" t="str">
        <f>IFERROR(__xludf.DUMMYFUNCTION("""COMPUTED_VALUE"""),"pendulum")</f>
        <v>pendulum</v>
      </c>
      <c r="C711" s="2" t="str">
        <f>IFERROR(__xludf.DUMMYFUNCTION("""COMPUTED_VALUE"""),"heiluri")</f>
        <v>heiluri</v>
      </c>
      <c r="D711" s="5"/>
      <c r="E711" s="5"/>
      <c r="F711" s="11"/>
      <c r="G711" s="11"/>
    </row>
    <row r="712">
      <c r="A712" s="2" t="str">
        <f>IFERROR(__xludf.DUMMYFUNCTION("""COMPUTED_VALUE"""),"perfekt")</f>
        <v>perfekt</v>
      </c>
      <c r="B712" s="2" t="str">
        <f>IFERROR(__xludf.DUMMYFUNCTION("""COMPUTED_VALUE"""),"perfect")</f>
        <v>perfect</v>
      </c>
      <c r="C712" s="2" t="str">
        <f>IFERROR(__xludf.DUMMYFUNCTION("""COMPUTED_VALUE"""),"perfekti (joukko)")</f>
        <v>perfekti (joukko)</v>
      </c>
      <c r="D712" s="5"/>
      <c r="E712" s="5"/>
      <c r="F712" s="11"/>
      <c r="G712" s="11"/>
    </row>
    <row r="713">
      <c r="A713" s="2" t="str">
        <f>IFERROR(__xludf.DUMMYFUNCTION("""COMPUTED_VALUE"""),"period")</f>
        <v>period</v>
      </c>
      <c r="B713" s="2" t="str">
        <f>IFERROR(__xludf.DUMMYFUNCTION("""COMPUTED_VALUE"""),"period")</f>
        <v>period</v>
      </c>
      <c r="C713" s="2" t="str">
        <f>IFERROR(__xludf.DUMMYFUNCTION("""COMPUTED_VALUE"""),"jakso")</f>
        <v>jakso</v>
      </c>
      <c r="D713" s="5"/>
      <c r="E713" s="5"/>
      <c r="F713" s="11"/>
      <c r="G713" s="11"/>
    </row>
    <row r="714">
      <c r="A714" s="2" t="str">
        <f>IFERROR(__xludf.DUMMYFUNCTION("""COMPUTED_VALUE"""),"periodicitet")</f>
        <v>periodicitet</v>
      </c>
      <c r="B714" s="2" t="str">
        <f>IFERROR(__xludf.DUMMYFUNCTION("""COMPUTED_VALUE"""),"periodicity")</f>
        <v>periodicity</v>
      </c>
      <c r="C714" s="2" t="str">
        <f>IFERROR(__xludf.DUMMYFUNCTION("""COMPUTED_VALUE"""),"jaksollisuus")</f>
        <v>jaksollisuus</v>
      </c>
      <c r="D714" s="5"/>
      <c r="E714" s="5"/>
      <c r="F714" s="11"/>
      <c r="G714" s="11"/>
    </row>
    <row r="715">
      <c r="A715" s="2" t="str">
        <f>IFERROR(__xludf.DUMMYFUNCTION("""COMPUTED_VALUE"""),"periodisk")</f>
        <v>periodisk</v>
      </c>
      <c r="B715" s="2" t="str">
        <f>IFERROR(__xludf.DUMMYFUNCTION("""COMPUTED_VALUE"""),"periodic")</f>
        <v>periodic</v>
      </c>
      <c r="C715" s="2" t="str">
        <f>IFERROR(__xludf.DUMMYFUNCTION("""COMPUTED_VALUE"""),"jaksollinen")</f>
        <v>jaksollinen</v>
      </c>
      <c r="D715" s="5"/>
      <c r="E715" s="5"/>
      <c r="F715" s="11"/>
      <c r="G715" s="11"/>
    </row>
    <row r="716">
      <c r="A716" s="2" t="str">
        <f>IFERROR(__xludf.DUMMYFUNCTION("""COMPUTED_VALUE"""),"permutation")</f>
        <v>permutation</v>
      </c>
      <c r="B716" s="2" t="str">
        <f>IFERROR(__xludf.DUMMYFUNCTION("""COMPUTED_VALUE"""),"permutation")</f>
        <v>permutation</v>
      </c>
      <c r="C716" s="2" t="str">
        <f>IFERROR(__xludf.DUMMYFUNCTION("""COMPUTED_VALUE"""),"permutaatio, permutointi")</f>
        <v>permutaatio, permutointi</v>
      </c>
      <c r="D716" s="5"/>
      <c r="E716" s="5"/>
      <c r="F716" s="11"/>
      <c r="G716" s="11"/>
    </row>
    <row r="717">
      <c r="A717" s="2" t="str">
        <f>IFERROR(__xludf.DUMMYFUNCTION("""COMPUTED_VALUE"""),"pivå")</f>
        <v>pivå</v>
      </c>
      <c r="B717" s="2" t="str">
        <f>IFERROR(__xludf.DUMMYFUNCTION("""COMPUTED_VALUE"""),"pivot")</f>
        <v>pivot</v>
      </c>
      <c r="C717" s="2" t="str">
        <f>IFERROR(__xludf.DUMMYFUNCTION("""COMPUTED_VALUE"""),"tuki, tukialkio")</f>
        <v>tuki, tukialkio</v>
      </c>
      <c r="D717" s="5"/>
      <c r="E717" s="5"/>
      <c r="F717" s="11"/>
      <c r="G717" s="11"/>
    </row>
    <row r="718">
      <c r="A718" s="2" t="str">
        <f>IFERROR(__xludf.DUMMYFUNCTION("""COMPUTED_VALUE"""),"plan, yta")</f>
        <v>plan, yta</v>
      </c>
      <c r="B718" s="2" t="str">
        <f>IFERROR(__xludf.DUMMYFUNCTION("""COMPUTED_VALUE"""),"plane")</f>
        <v>plane</v>
      </c>
      <c r="C718" s="2" t="str">
        <f>IFERROR(__xludf.DUMMYFUNCTION("""COMPUTED_VALUE"""),"taso")</f>
        <v>taso</v>
      </c>
      <c r="D718" s="5"/>
      <c r="E718" s="5"/>
      <c r="F718" s="11"/>
      <c r="G718" s="11"/>
    </row>
    <row r="719">
      <c r="A719" s="2" t="str">
        <f>IFERROR(__xludf.DUMMYFUNCTION("""COMPUTED_VALUE"""),"planyta")</f>
        <v>planyta</v>
      </c>
      <c r="B719" s="2" t="str">
        <f>IFERROR(__xludf.DUMMYFUNCTION("""COMPUTED_VALUE"""),"plane region")</f>
        <v>plane region</v>
      </c>
      <c r="C719" s="2" t="str">
        <f>IFERROR(__xludf.DUMMYFUNCTION("""COMPUTED_VALUE"""),"tasoalue")</f>
        <v>tasoalue</v>
      </c>
      <c r="D719" s="5"/>
      <c r="E719" s="5"/>
      <c r="F719" s="11"/>
      <c r="G719" s="11"/>
    </row>
    <row r="720">
      <c r="A720" s="2" t="str">
        <f>IFERROR(__xludf.DUMMYFUNCTION("""COMPUTED_VALUE"""),"pol")</f>
        <v>pol</v>
      </c>
      <c r="B720" s="2" t="str">
        <f>IFERROR(__xludf.DUMMYFUNCTION("""COMPUTED_VALUE"""),"pole")</f>
        <v>pole</v>
      </c>
      <c r="C720" s="2" t="str">
        <f>IFERROR(__xludf.DUMMYFUNCTION("""COMPUTED_VALUE"""),"napa")</f>
        <v>napa</v>
      </c>
      <c r="D720" s="5"/>
      <c r="E720" s="5"/>
      <c r="F720" s="11"/>
      <c r="G720" s="11"/>
    </row>
    <row r="721">
      <c r="A721" s="2" t="str">
        <f>IFERROR(__xludf.DUMMYFUNCTION("""COMPUTED_VALUE"""),"polyeder")</f>
        <v>polyeder</v>
      </c>
      <c r="B721" s="2" t="str">
        <f>IFERROR(__xludf.DUMMYFUNCTION("""COMPUTED_VALUE"""),"polyhedron")</f>
        <v>polyhedron</v>
      </c>
      <c r="C721" s="2" t="str">
        <f>IFERROR(__xludf.DUMMYFUNCTION("""COMPUTED_VALUE"""),"monitahokas, tahokas")</f>
        <v>monitahokas, tahokas</v>
      </c>
      <c r="D721" s="5"/>
      <c r="E721" s="5"/>
      <c r="F721" s="11"/>
      <c r="G721" s="11"/>
    </row>
    <row r="722">
      <c r="A722" s="2" t="str">
        <f>IFERROR(__xludf.DUMMYFUNCTION("""COMPUTED_VALUE"""),"polynom")</f>
        <v>polynom</v>
      </c>
      <c r="B722" s="2" t="str">
        <f>IFERROR(__xludf.DUMMYFUNCTION("""COMPUTED_VALUE"""),"polynomial")</f>
        <v>polynomial</v>
      </c>
      <c r="C722" s="2" t="str">
        <f>IFERROR(__xludf.DUMMYFUNCTION("""COMPUTED_VALUE"""),"polynomi")</f>
        <v>polynomi</v>
      </c>
      <c r="D722" s="5"/>
      <c r="E722" s="5"/>
      <c r="F722" s="11"/>
      <c r="G722" s="11"/>
    </row>
    <row r="723">
      <c r="A723" s="2" t="str">
        <f>IFERROR(__xludf.DUMMYFUNCTION("""COMPUTED_VALUE"""),"polär form")</f>
        <v>polär form</v>
      </c>
      <c r="B723" s="2" t="str">
        <f>IFERROR(__xludf.DUMMYFUNCTION("""COMPUTED_VALUE"""),"polar form")</f>
        <v>polar form</v>
      </c>
      <c r="C723" s="2" t="str">
        <f>IFERROR(__xludf.DUMMYFUNCTION("""COMPUTED_VALUE"""),"napakoordinaattiesitys")</f>
        <v>napakoordinaattiesitys</v>
      </c>
      <c r="D723" s="5"/>
      <c r="E723" s="5"/>
      <c r="F723" s="11"/>
      <c r="G723" s="11"/>
    </row>
    <row r="724">
      <c r="A724" s="2" t="str">
        <f>IFERROR(__xludf.DUMMYFUNCTION("""COMPUTED_VALUE"""),"polära koordinater")</f>
        <v>polära koordinater</v>
      </c>
      <c r="B724" s="2" t="str">
        <f>IFERROR(__xludf.DUMMYFUNCTION("""COMPUTED_VALUE"""),"polar coordinates")</f>
        <v>polar coordinates</v>
      </c>
      <c r="C724" s="2" t="str">
        <f>IFERROR(__xludf.DUMMYFUNCTION("""COMPUTED_VALUE"""),"napakoordinaatit")</f>
        <v>napakoordinaatit</v>
      </c>
      <c r="D724" s="5"/>
      <c r="E724" s="5"/>
      <c r="F724" s="11"/>
      <c r="G724" s="11"/>
    </row>
    <row r="725">
      <c r="A725" s="2" t="str">
        <f>IFERROR(__xludf.DUMMYFUNCTION("""COMPUTED_VALUE"""),"poläraxel")</f>
        <v>poläraxel</v>
      </c>
      <c r="B725" s="2" t="str">
        <f>IFERROR(__xludf.DUMMYFUNCTION("""COMPUTED_VALUE"""),"polar axis")</f>
        <v>polar axis</v>
      </c>
      <c r="C725" s="2" t="str">
        <f>IFERROR(__xludf.DUMMYFUNCTION("""COMPUTED_VALUE"""),"napa-akseli, polaariakseli")</f>
        <v>napa-akseli, polaariakseli</v>
      </c>
      <c r="D725" s="5"/>
      <c r="E725" s="5"/>
      <c r="F725" s="11"/>
      <c r="G725" s="11"/>
    </row>
    <row r="726">
      <c r="A726" s="2" t="str">
        <f>IFERROR(__xludf.DUMMYFUNCTION("""COMPUTED_VALUE"""),"positiv")</f>
        <v>positiv</v>
      </c>
      <c r="B726" s="2" t="str">
        <f>IFERROR(__xludf.DUMMYFUNCTION("""COMPUTED_VALUE"""),"positive")</f>
        <v>positive</v>
      </c>
      <c r="C726" s="2" t="str">
        <f>IFERROR(__xludf.DUMMYFUNCTION("""COMPUTED_VALUE"""),"positiivinen")</f>
        <v>positiivinen</v>
      </c>
      <c r="D726" s="5"/>
      <c r="E726" s="5"/>
      <c r="F726" s="11"/>
      <c r="G726" s="11"/>
    </row>
    <row r="727">
      <c r="A727" s="2" t="str">
        <f>IFERROR(__xludf.DUMMYFUNCTION("""COMPUTED_VALUE"""),"positiv variation")</f>
        <v>positiv variation</v>
      </c>
      <c r="B727" s="2" t="str">
        <f>IFERROR(__xludf.DUMMYFUNCTION("""COMPUTED_VALUE"""),"positive variation (of a measure)")</f>
        <v>positive variation (of a measure)</v>
      </c>
      <c r="C727" s="2" t="str">
        <f>IFERROR(__xludf.DUMMYFUNCTION("""COMPUTED_VALUE"""),"positiivinen variaatio, ylävariaatio")</f>
        <v>positiivinen variaatio, ylävariaatio</v>
      </c>
      <c r="D727" s="5"/>
      <c r="E727" s="5"/>
      <c r="F727" s="11"/>
      <c r="G727" s="11"/>
    </row>
    <row r="728">
      <c r="A728" s="2" t="str">
        <f>IFERROR(__xludf.DUMMYFUNCTION("""COMPUTED_VALUE"""),"positivt definit")</f>
        <v>positivt definit</v>
      </c>
      <c r="B728" s="2" t="str">
        <f>IFERROR(__xludf.DUMMYFUNCTION("""COMPUTED_VALUE"""),"positive definite")</f>
        <v>positive definite</v>
      </c>
      <c r="C728" s="2" t="str">
        <f>IFERROR(__xludf.DUMMYFUNCTION("""COMPUTED_VALUE"""),"positiividefiniitti, positiivisesti definiitti")</f>
        <v>positiividefiniitti, positiivisesti definiitti</v>
      </c>
      <c r="D728" s="5"/>
      <c r="E728" s="5"/>
      <c r="F728" s="11"/>
      <c r="G728" s="11"/>
    </row>
    <row r="729">
      <c r="A729" s="2" t="str">
        <f>IFERROR(__xludf.DUMMYFUNCTION("""COMPUTED_VALUE"""),"potens")</f>
        <v>potens</v>
      </c>
      <c r="B729" s="2" t="str">
        <f>IFERROR(__xludf.DUMMYFUNCTION("""COMPUTED_VALUE"""),"power")</f>
        <v>power</v>
      </c>
      <c r="C729" s="2" t="str">
        <f>IFERROR(__xludf.DUMMYFUNCTION("""COMPUTED_VALUE"""),"potenssi; mahtavuus")</f>
        <v>potenssi; mahtavuus</v>
      </c>
      <c r="D729" s="5"/>
      <c r="E729" s="5"/>
      <c r="F729" s="11"/>
      <c r="G729" s="11"/>
    </row>
    <row r="730">
      <c r="A730" s="2" t="str">
        <f>IFERROR(__xludf.DUMMYFUNCTION("""COMPUTED_VALUE"""),"potensserie")</f>
        <v>potensserie</v>
      </c>
      <c r="B730" s="2" t="str">
        <f>IFERROR(__xludf.DUMMYFUNCTION("""COMPUTED_VALUE"""),"power series")</f>
        <v>power series</v>
      </c>
      <c r="C730" s="2" t="str">
        <f>IFERROR(__xludf.DUMMYFUNCTION("""COMPUTED_VALUE"""),"potenssisarja")</f>
        <v>potenssisarja</v>
      </c>
      <c r="D730" s="5"/>
      <c r="E730" s="5"/>
      <c r="F730" s="11"/>
      <c r="G730" s="11"/>
    </row>
    <row r="731">
      <c r="A731" s="2" t="str">
        <f>IFERROR(__xludf.DUMMYFUNCTION("""COMPUTED_VALUE"""),"precision")</f>
        <v>precision</v>
      </c>
      <c r="B731" s="2" t="str">
        <f>IFERROR(__xludf.DUMMYFUNCTION("""COMPUTED_VALUE"""),"precision")</f>
        <v>precision</v>
      </c>
      <c r="C731" s="2" t="str">
        <f>IFERROR(__xludf.DUMMYFUNCTION("""COMPUTED_VALUE"""),"tarkkuus, täsmällisyys")</f>
        <v>tarkkuus, täsmällisyys</v>
      </c>
      <c r="D731" s="5"/>
      <c r="E731" s="5"/>
      <c r="F731" s="11"/>
      <c r="G731" s="11"/>
    </row>
    <row r="732">
      <c r="A732" s="2" t="str">
        <f>IFERROR(__xludf.DUMMYFUNCTION("""COMPUTED_VALUE"""),"primtal")</f>
        <v>primtal</v>
      </c>
      <c r="B732" s="2" t="str">
        <f>IFERROR(__xludf.DUMMYFUNCTION("""COMPUTED_VALUE"""),"prime (number)")</f>
        <v>prime (number)</v>
      </c>
      <c r="C732" s="2" t="str">
        <f>IFERROR(__xludf.DUMMYFUNCTION("""COMPUTED_VALUE"""),"alkuluku, jaoton luku")</f>
        <v>alkuluku, jaoton luku</v>
      </c>
      <c r="D732" s="5"/>
      <c r="E732" s="5"/>
      <c r="F732" s="11"/>
      <c r="G732" s="11"/>
    </row>
    <row r="733">
      <c r="A733" s="2" t="str">
        <f>IFERROR(__xludf.DUMMYFUNCTION("""COMPUTED_VALUE"""),"principalvärde")</f>
        <v>principalvärde</v>
      </c>
      <c r="B733" s="2" t="str">
        <f>IFERROR(__xludf.DUMMYFUNCTION("""COMPUTED_VALUE"""),"principal value")</f>
        <v>principal value</v>
      </c>
      <c r="C733" s="2" t="str">
        <f>IFERROR(__xludf.DUMMYFUNCTION("""COMPUTED_VALUE"""),"pääarvo")</f>
        <v>pääarvo</v>
      </c>
      <c r="D733" s="5"/>
      <c r="E733" s="5"/>
      <c r="F733" s="11"/>
      <c r="G733" s="11"/>
    </row>
    <row r="734">
      <c r="A734" s="2" t="str">
        <f>IFERROR(__xludf.DUMMYFUNCTION("""COMPUTED_VALUE"""),"produkt")</f>
        <v>produkt</v>
      </c>
      <c r="B734" s="2" t="str">
        <f>IFERROR(__xludf.DUMMYFUNCTION("""COMPUTED_VALUE"""),"product")</f>
        <v>product</v>
      </c>
      <c r="C734" s="2" t="str">
        <f>IFERROR(__xludf.DUMMYFUNCTION("""COMPUTED_VALUE"""),"tulo")</f>
        <v>tulo</v>
      </c>
      <c r="D734" s="5"/>
      <c r="E734" s="5"/>
      <c r="F734" s="11"/>
      <c r="G734" s="11"/>
    </row>
    <row r="735">
      <c r="A735" s="2" t="str">
        <f>IFERROR(__xludf.DUMMYFUNCTION("""COMPUTED_VALUE"""),"produktrum")</f>
        <v>produktrum</v>
      </c>
      <c r="B735" s="2" t="str">
        <f>IFERROR(__xludf.DUMMYFUNCTION("""COMPUTED_VALUE"""),"product space")</f>
        <v>product space</v>
      </c>
      <c r="C735" s="2" t="str">
        <f>IFERROR(__xludf.DUMMYFUNCTION("""COMPUTED_VALUE"""),"tuloavaruus (XxY)")</f>
        <v>tuloavaruus (XxY)</v>
      </c>
      <c r="D735" s="5"/>
      <c r="E735" s="5"/>
      <c r="F735" s="11"/>
      <c r="G735" s="11"/>
    </row>
    <row r="736">
      <c r="A736" s="2" t="str">
        <f>IFERROR(__xludf.DUMMYFUNCTION("""COMPUTED_VALUE"""),"projektion")</f>
        <v>projektion</v>
      </c>
      <c r="B736" s="2" t="str">
        <f>IFERROR(__xludf.DUMMYFUNCTION("""COMPUTED_VALUE"""),"projection")</f>
        <v>projection</v>
      </c>
      <c r="C736" s="2" t="str">
        <f>IFERROR(__xludf.DUMMYFUNCTION("""COMPUTED_VALUE"""),"projektio")</f>
        <v>projektio</v>
      </c>
      <c r="D736" s="5"/>
      <c r="E736" s="5"/>
      <c r="F736" s="11"/>
      <c r="G736" s="11"/>
    </row>
    <row r="737">
      <c r="A737" s="2" t="str">
        <f>IFERROR(__xludf.DUMMYFUNCTION("""COMPUTED_VALUE"""),"pseudoinvers")</f>
        <v>pseudoinvers</v>
      </c>
      <c r="B737" s="2" t="str">
        <f>IFERROR(__xludf.DUMMYFUNCTION("""COMPUTED_VALUE"""),"pseudoinverse")</f>
        <v>pseudoinverse</v>
      </c>
      <c r="C737" s="2" t="str">
        <f>IFERROR(__xludf.DUMMYFUNCTION("""COMPUTED_VALUE"""),"pseudoinverssi")</f>
        <v>pseudoinverssi</v>
      </c>
      <c r="D737" s="5"/>
      <c r="E737" s="5"/>
      <c r="F737" s="11"/>
      <c r="G737" s="11"/>
    </row>
    <row r="738">
      <c r="A738" s="2" t="str">
        <f>IFERROR(__xludf.DUMMYFUNCTION("""COMPUTED_VALUE"""),"punkt")</f>
        <v>punkt</v>
      </c>
      <c r="B738" s="2" t="str">
        <f>IFERROR(__xludf.DUMMYFUNCTION("""COMPUTED_VALUE"""),"point")</f>
        <v>point</v>
      </c>
      <c r="C738" s="2" t="str">
        <f>IFERROR(__xludf.DUMMYFUNCTION("""COMPUTED_VALUE"""),"piste")</f>
        <v>piste</v>
      </c>
      <c r="D738" s="5"/>
      <c r="E738" s="5"/>
      <c r="F738" s="11"/>
      <c r="G738" s="11"/>
    </row>
    <row r="739">
      <c r="A739" s="2" t="str">
        <f>IFERROR(__xludf.DUMMYFUNCTION("""COMPUTED_VALUE"""),"punkter i samma plan")</f>
        <v>punkter i samma plan</v>
      </c>
      <c r="B739" s="2" t="str">
        <f>IFERROR(__xludf.DUMMYFUNCTION("""COMPUTED_VALUE"""),"coplanar points")</f>
        <v>coplanar points</v>
      </c>
      <c r="C739" s="2" t="str">
        <f>IFERROR(__xludf.DUMMYFUNCTION("""COMPUTED_VALUE"""),"samassa tasossa olevat pisteet")</f>
        <v>samassa tasossa olevat pisteet</v>
      </c>
      <c r="D739" s="5"/>
      <c r="E739" s="5"/>
      <c r="F739" s="11"/>
      <c r="G739" s="11"/>
    </row>
    <row r="740">
      <c r="A740" s="2" t="str">
        <f>IFERROR(__xludf.DUMMYFUNCTION("""COMPUTED_VALUE"""),"punktvis")</f>
        <v>punktvis</v>
      </c>
      <c r="B740" s="2" t="str">
        <f>IFERROR(__xludf.DUMMYFUNCTION("""COMPUTED_VALUE"""),"pointwise")</f>
        <v>pointwise</v>
      </c>
      <c r="C740" s="2" t="str">
        <f>IFERROR(__xludf.DUMMYFUNCTION("""COMPUTED_VALUE"""),"pisteittäin")</f>
        <v>pisteittäin</v>
      </c>
      <c r="D740" s="5"/>
      <c r="E740" s="5"/>
      <c r="F740" s="11"/>
      <c r="G740" s="11"/>
    </row>
    <row r="741">
      <c r="A741" s="2" t="str">
        <f>IFERROR(__xludf.DUMMYFUNCTION("""COMPUTED_VALUE"""),"pyramid")</f>
        <v>pyramid</v>
      </c>
      <c r="B741" s="2" t="str">
        <f>IFERROR(__xludf.DUMMYFUNCTION("""COMPUTED_VALUE"""),"pyramid")</f>
        <v>pyramid</v>
      </c>
      <c r="C741" s="2" t="str">
        <f>IFERROR(__xludf.DUMMYFUNCTION("""COMPUTED_VALUE"""),"pyramidi")</f>
        <v>pyramidi</v>
      </c>
      <c r="D741" s="5"/>
      <c r="E741" s="5"/>
      <c r="F741" s="11"/>
      <c r="G741" s="11"/>
    </row>
    <row r="742">
      <c r="A742" s="2" t="str">
        <f>IFERROR(__xludf.DUMMYFUNCTION("""COMPUTED_VALUE"""),"på förhand")</f>
        <v>på förhand</v>
      </c>
      <c r="B742" s="2" t="str">
        <f>IFERROR(__xludf.DUMMYFUNCTION("""COMPUTED_VALUE"""),"a priori (""aa pri'oorii"", lat.)")</f>
        <v>a priori ("aa pri'oorii", lat.)</v>
      </c>
      <c r="C742" s="2" t="str">
        <f>IFERROR(__xludf.DUMMYFUNCTION("""COMPUTED_VALUE"""),"ennalta")</f>
        <v>ennalta</v>
      </c>
      <c r="D742" s="5"/>
      <c r="E742" s="5"/>
      <c r="F742" s="11"/>
      <c r="G742" s="11"/>
    </row>
    <row r="743">
      <c r="A743" s="2" t="str">
        <f>IFERROR(__xludf.DUMMYFUNCTION("""COMPUTED_VALUE"""),"rad")</f>
        <v>rad</v>
      </c>
      <c r="B743" s="2" t="str">
        <f>IFERROR(__xludf.DUMMYFUNCTION("""COMPUTED_VALUE"""),"row")</f>
        <v>row</v>
      </c>
      <c r="C743" s="2" t="str">
        <f>IFERROR(__xludf.DUMMYFUNCTION("""COMPUTED_VALUE"""),"rivi, vaakarivi")</f>
        <v>rivi, vaakarivi</v>
      </c>
      <c r="D743" s="5"/>
      <c r="E743" s="5"/>
      <c r="F743" s="11"/>
      <c r="G743" s="11"/>
    </row>
    <row r="744">
      <c r="A744" s="2" t="str">
        <f>IFERROR(__xludf.DUMMYFUNCTION("""COMPUTED_VALUE"""),"radie")</f>
        <v>radie</v>
      </c>
      <c r="B744" s="2" t="str">
        <f>IFERROR(__xludf.DUMMYFUNCTION("""COMPUTED_VALUE"""),"radius")</f>
        <v>radius</v>
      </c>
      <c r="C744" s="2" t="str">
        <f>IFERROR(__xludf.DUMMYFUNCTION("""COMPUTED_VALUE"""),"säde")</f>
        <v>säde</v>
      </c>
      <c r="D744" s="5"/>
      <c r="E744" s="5"/>
      <c r="F744" s="11"/>
      <c r="G744" s="11"/>
    </row>
    <row r="745">
      <c r="A745" s="2" t="str">
        <f>IFERROR(__xludf.DUMMYFUNCTION("""COMPUTED_VALUE"""),"Radonmått")</f>
        <v>Radonmått</v>
      </c>
      <c r="B745" s="2" t="str">
        <f>IFERROR(__xludf.DUMMYFUNCTION("""COMPUTED_VALUE"""),"Radon measure")</f>
        <v>Radon measure</v>
      </c>
      <c r="C745" s="2" t="str">
        <f>IFERROR(__xludf.DUMMYFUNCTION("""COMPUTED_VALUE"""),"Radon-mitta")</f>
        <v>Radon-mitta</v>
      </c>
      <c r="D745" s="5"/>
      <c r="E745" s="5"/>
      <c r="F745" s="11"/>
      <c r="G745" s="11"/>
    </row>
    <row r="746">
      <c r="A746" s="2" t="str">
        <f>IFERROR(__xludf.DUMMYFUNCTION("""COMPUTED_VALUE"""),"rak cirkulär kon")</f>
        <v>rak cirkulär kon</v>
      </c>
      <c r="B746" s="2" t="str">
        <f>IFERROR(__xludf.DUMMYFUNCTION("""COMPUTED_VALUE"""),"right circular cone")</f>
        <v>right circular cone</v>
      </c>
      <c r="C746" s="2" t="str">
        <f>IFERROR(__xludf.DUMMYFUNCTION("""COMPUTED_VALUE"""),"suora ympyräkartio")</f>
        <v>suora ympyräkartio</v>
      </c>
      <c r="D746" s="5"/>
      <c r="E746" s="5"/>
      <c r="F746" s="11"/>
      <c r="G746" s="11"/>
    </row>
    <row r="747">
      <c r="A747" s="2" t="str">
        <f>IFERROR(__xludf.DUMMYFUNCTION("""COMPUTED_VALUE"""),"rak summa")</f>
        <v>rak summa</v>
      </c>
      <c r="B747" s="2" t="str">
        <f>IFERROR(__xludf.DUMMYFUNCTION("""COMPUTED_VALUE"""),"direct sum")</f>
        <v>direct sum</v>
      </c>
      <c r="C747" s="2" t="str">
        <f>IFERROR(__xludf.DUMMYFUNCTION("""COMPUTED_VALUE"""),"suora summa")</f>
        <v>suora summa</v>
      </c>
      <c r="D747" s="5"/>
      <c r="E747" s="5"/>
      <c r="F747" s="11"/>
      <c r="G747" s="11"/>
    </row>
    <row r="748">
      <c r="A748" s="2" t="str">
        <f>IFERROR(__xludf.DUMMYFUNCTION("""COMPUTED_VALUE"""),"rand")</f>
        <v>rand</v>
      </c>
      <c r="B748" s="2" t="str">
        <f>IFERROR(__xludf.DUMMYFUNCTION("""COMPUTED_VALUE"""),"boundary, frontier")</f>
        <v>boundary, frontier</v>
      </c>
      <c r="C748" s="2" t="str">
        <f>IFERROR(__xludf.DUMMYFUNCTION("""COMPUTED_VALUE"""),"reuna")</f>
        <v>reuna</v>
      </c>
      <c r="D748" s="5"/>
      <c r="E748" s="5"/>
      <c r="F748" s="11"/>
      <c r="G748" s="11"/>
    </row>
    <row r="749">
      <c r="A749" s="2" t="str">
        <f>IFERROR(__xludf.DUMMYFUNCTION("""COMPUTED_VALUE"""),"rand")</f>
        <v>rand</v>
      </c>
      <c r="B749" s="2" t="str">
        <f>IFERROR(__xludf.DUMMYFUNCTION("""COMPUTED_VALUE"""),"frontier, boundary")</f>
        <v>frontier, boundary</v>
      </c>
      <c r="C749" s="2" t="str">
        <f>IFERROR(__xludf.DUMMYFUNCTION("""COMPUTED_VALUE"""),"reuna")</f>
        <v>reuna</v>
      </c>
      <c r="D749" s="5"/>
      <c r="E749" s="5"/>
      <c r="F749" s="11"/>
      <c r="G749" s="11"/>
    </row>
    <row r="750">
      <c r="A750" s="2" t="str">
        <f>IFERROR(__xludf.DUMMYFUNCTION("""COMPUTED_VALUE"""),"randvillkor")</f>
        <v>randvillkor</v>
      </c>
      <c r="B750" s="2" t="str">
        <f>IFERROR(__xludf.DUMMYFUNCTION("""COMPUTED_VALUE"""),"boundary conditions")</f>
        <v>boundary conditions</v>
      </c>
      <c r="C750" s="2" t="str">
        <f>IFERROR(__xludf.DUMMYFUNCTION("""COMPUTED_VALUE"""),"reunaehdot")</f>
        <v>reunaehdot</v>
      </c>
      <c r="D750" s="5"/>
      <c r="E750" s="5"/>
      <c r="F750" s="11"/>
      <c r="G750" s="11"/>
    </row>
    <row r="751">
      <c r="A751" s="2" t="str">
        <f>IFERROR(__xludf.DUMMYFUNCTION("""COMPUTED_VALUE"""),"rang")</f>
        <v>rang</v>
      </c>
      <c r="B751" s="2" t="str">
        <f>IFERROR(__xludf.DUMMYFUNCTION("""COMPUTED_VALUE"""),"rank")</f>
        <v>rank</v>
      </c>
      <c r="C751" s="2" t="str">
        <f>IFERROR(__xludf.DUMMYFUNCTION("""COMPUTED_VALUE"""),"rangi (dim range T), ranki, kuvadimensio, aste, arvoaste, säännöllisyysluku; sijaluku, rankiluku")</f>
        <v>rangi (dim range T), ranki, kuvadimensio, aste, arvoaste, säännöllisyysluku; sijaluku, rankiluku</v>
      </c>
      <c r="D751" s="5"/>
      <c r="E751" s="5"/>
      <c r="F751" s="11"/>
      <c r="G751" s="11"/>
    </row>
    <row r="752">
      <c r="A752" s="2" t="str">
        <f>IFERROR(__xludf.DUMMYFUNCTION("""COMPUTED_VALUE"""),"rang")</f>
        <v>rang</v>
      </c>
      <c r="B752" s="2" t="str">
        <f>IFERROR(__xludf.DUMMYFUNCTION("""COMPUTED_VALUE"""),"rank")</f>
        <v>rank</v>
      </c>
      <c r="C752" s="2" t="str">
        <f>IFERROR(__xludf.DUMMYFUNCTION("""COMPUTED_VALUE"""),"säännöllisyysaste (matriisin)")</f>
        <v>säännöllisyysaste (matriisin)</v>
      </c>
      <c r="D752" s="5"/>
      <c r="E752" s="5"/>
      <c r="F752" s="11"/>
      <c r="G752" s="11"/>
    </row>
    <row r="753">
      <c r="A753" s="2" t="str">
        <f>IFERROR(__xludf.DUMMYFUNCTION("""COMPUTED_VALUE"""),"rationell")</f>
        <v>rationell</v>
      </c>
      <c r="B753" s="2" t="str">
        <f>IFERROR(__xludf.DUMMYFUNCTION("""COMPUTED_VALUE"""),"rational")</f>
        <v>rational</v>
      </c>
      <c r="C753" s="2" t="str">
        <f>IFERROR(__xludf.DUMMYFUNCTION("""COMPUTED_VALUE"""),"rationaalinen")</f>
        <v>rationaalinen</v>
      </c>
      <c r="D753" s="5"/>
      <c r="E753" s="5"/>
      <c r="F753" s="11"/>
      <c r="G753" s="11"/>
    </row>
    <row r="754">
      <c r="A754" s="2" t="str">
        <f>IFERROR(__xludf.DUMMYFUNCTION("""COMPUTED_VALUE"""),"rationell funktion")</f>
        <v>rationell funktion</v>
      </c>
      <c r="B754" s="2" t="str">
        <f>IFERROR(__xludf.DUMMYFUNCTION("""COMPUTED_VALUE"""),"rational function")</f>
        <v>rational function</v>
      </c>
      <c r="C754" s="2" t="str">
        <f>IFERROR(__xludf.DUMMYFUNCTION("""COMPUTED_VALUE"""),"rationaalifunktio")</f>
        <v>rationaalifunktio</v>
      </c>
      <c r="D754" s="5"/>
      <c r="E754" s="5"/>
      <c r="F754" s="11"/>
      <c r="G754" s="11"/>
    </row>
    <row r="755">
      <c r="A755" s="2" t="str">
        <f>IFERROR(__xludf.DUMMYFUNCTION("""COMPUTED_VALUE"""),"rationellt tal")</f>
        <v>rationellt tal</v>
      </c>
      <c r="B755" s="2" t="str">
        <f>IFERROR(__xludf.DUMMYFUNCTION("""COMPUTED_VALUE"""),"rational number")</f>
        <v>rational number</v>
      </c>
      <c r="C755" s="2" t="str">
        <f>IFERROR(__xludf.DUMMYFUNCTION("""COMPUTED_VALUE"""),"rationaaliluku")</f>
        <v>rationaaliluku</v>
      </c>
      <c r="D755" s="5"/>
      <c r="E755" s="5"/>
      <c r="F755" s="11"/>
      <c r="G755" s="11"/>
    </row>
    <row r="756">
      <c r="A756" s="2" t="str">
        <f>IFERROR(__xludf.DUMMYFUNCTION("""COMPUTED_VALUE"""),"Rayleigh-kvot")</f>
        <v>Rayleigh-kvot</v>
      </c>
      <c r="B756" s="2" t="str">
        <f>IFERROR(__xludf.DUMMYFUNCTION("""COMPUTED_VALUE"""),"Rayleigh quotient")</f>
        <v>Rayleigh quotient</v>
      </c>
      <c r="C756" s="2" t="str">
        <f>IFERROR(__xludf.DUMMYFUNCTION("""COMPUTED_VALUE"""),"Rayleighin osamäärä")</f>
        <v>Rayleighin osamäärä</v>
      </c>
      <c r="D756" s="5"/>
      <c r="E756" s="5"/>
      <c r="F756" s="11"/>
      <c r="G756" s="11"/>
    </row>
    <row r="757">
      <c r="A757" s="2" t="str">
        <f>IFERROR(__xludf.DUMMYFUNCTION("""COMPUTED_VALUE"""),"reducerad trappstegsmatris")</f>
        <v>reducerad trappstegsmatris</v>
      </c>
      <c r="B757" s="2" t="str">
        <f>IFERROR(__xludf.DUMMYFUNCTION("""COMPUTED_VALUE"""),"reduced echelon matrix")</f>
        <v>reduced echelon matrix</v>
      </c>
      <c r="C757" s="2" t="str">
        <f>IFERROR(__xludf.DUMMYFUNCTION("""COMPUTED_VALUE"""),"sievennetty porrasmatriisi")</f>
        <v>sievennetty porrasmatriisi</v>
      </c>
      <c r="D757" s="5"/>
      <c r="E757" s="5"/>
      <c r="F757" s="11"/>
      <c r="G757" s="11"/>
    </row>
    <row r="758">
      <c r="A758" s="2" t="str">
        <f>IFERROR(__xludf.DUMMYFUNCTION("""COMPUTED_VALUE"""),"reell")</f>
        <v>reell</v>
      </c>
      <c r="B758" s="2" t="str">
        <f>IFERROR(__xludf.DUMMYFUNCTION("""COMPUTED_VALUE"""),"real")</f>
        <v>real</v>
      </c>
      <c r="C758" s="2" t="str">
        <f>IFERROR(__xludf.DUMMYFUNCTION("""COMPUTED_VALUE"""),"reaalinen, reaali-")</f>
        <v>reaalinen, reaali-</v>
      </c>
      <c r="D758" s="5"/>
      <c r="E758" s="5"/>
      <c r="F758" s="11"/>
      <c r="G758" s="11"/>
    </row>
    <row r="759">
      <c r="A759" s="2" t="str">
        <f>IFERROR(__xludf.DUMMYFUNCTION("""COMPUTED_VALUE"""),"reell del")</f>
        <v>reell del</v>
      </c>
      <c r="B759" s="2" t="str">
        <f>IFERROR(__xludf.DUMMYFUNCTION("""COMPUTED_VALUE"""),"real part")</f>
        <v>real part</v>
      </c>
      <c r="C759" s="2" t="str">
        <f>IFERROR(__xludf.DUMMYFUNCTION("""COMPUTED_VALUE"""),"reaaliosa")</f>
        <v>reaaliosa</v>
      </c>
      <c r="D759" s="5"/>
      <c r="E759" s="5"/>
      <c r="F759" s="11"/>
      <c r="G759" s="11"/>
    </row>
    <row r="760">
      <c r="A760" s="2" t="str">
        <f>IFERROR(__xludf.DUMMYFUNCTION("""COMPUTED_VALUE"""),"reella axeln")</f>
        <v>reella axeln</v>
      </c>
      <c r="B760" s="2" t="str">
        <f>IFERROR(__xludf.DUMMYFUNCTION("""COMPUTED_VALUE"""),"real axis")</f>
        <v>real axis</v>
      </c>
      <c r="C760" s="2" t="str">
        <f>IFERROR(__xludf.DUMMYFUNCTION("""COMPUTED_VALUE"""),"reaaliakseli")</f>
        <v>reaaliakseli</v>
      </c>
      <c r="D760" s="5"/>
      <c r="E760" s="5"/>
      <c r="F760" s="11"/>
      <c r="G760" s="11"/>
    </row>
    <row r="761">
      <c r="A761" s="2" t="str">
        <f>IFERROR(__xludf.DUMMYFUNCTION("""COMPUTED_VALUE"""),"reellt tal")</f>
        <v>reellt tal</v>
      </c>
      <c r="B761" s="2" t="str">
        <f>IFERROR(__xludf.DUMMYFUNCTION("""COMPUTED_VALUE"""),"real number")</f>
        <v>real number</v>
      </c>
      <c r="C761" s="2" t="str">
        <f>IFERROR(__xludf.DUMMYFUNCTION("""COMPUTED_VALUE"""),"reaaliluku")</f>
        <v>reaaliluku</v>
      </c>
      <c r="D761" s="5"/>
      <c r="E761" s="5"/>
      <c r="F761" s="11"/>
      <c r="G761" s="11"/>
    </row>
    <row r="762">
      <c r="A762" s="2" t="str">
        <f>IFERROR(__xludf.DUMMYFUNCTION("""COMPUTED_VALUE"""),"reellt vektorrum")</f>
        <v>reellt vektorrum</v>
      </c>
      <c r="B762" s="2" t="str">
        <f>IFERROR(__xludf.DUMMYFUNCTION("""COMPUTED_VALUE"""),"real vector space")</f>
        <v>real vector space</v>
      </c>
      <c r="C762" s="2" t="str">
        <f>IFERROR(__xludf.DUMMYFUNCTION("""COMPUTED_VALUE"""),"reaalikertoiminen vektoriavaruus, reaalinen vektoriavaruus")</f>
        <v>reaalikertoiminen vektoriavaruus, reaalinen vektoriavaruus</v>
      </c>
      <c r="D762" s="5"/>
      <c r="E762" s="5"/>
      <c r="F762" s="11"/>
      <c r="G762" s="11"/>
    </row>
    <row r="763">
      <c r="A763" s="2" t="str">
        <f>IFERROR(__xludf.DUMMYFUNCTION("""COMPUTED_VALUE"""),"reellvärd")</f>
        <v>reellvärd</v>
      </c>
      <c r="B763" s="2" t="str">
        <f>IFERROR(__xludf.DUMMYFUNCTION("""COMPUTED_VALUE"""),"real-valued")</f>
        <v>real-valued</v>
      </c>
      <c r="C763" s="2" t="str">
        <f>IFERROR(__xludf.DUMMYFUNCTION("""COMPUTED_VALUE"""),"reaaliarvoinen")</f>
        <v>reaaliarvoinen</v>
      </c>
      <c r="D763" s="5"/>
      <c r="E763" s="5"/>
      <c r="F763" s="11"/>
      <c r="G763" s="11"/>
    </row>
    <row r="764">
      <c r="A764" s="2" t="str">
        <f>IFERROR(__xludf.DUMMYFUNCTION("""COMPUTED_VALUE"""),"reflektionsmatris")</f>
        <v>reflektionsmatris</v>
      </c>
      <c r="B764" s="2" t="str">
        <f>IFERROR(__xludf.DUMMYFUNCTION("""COMPUTED_VALUE"""),"reflection matrix")</f>
        <v>reflection matrix</v>
      </c>
      <c r="C764" s="2" t="str">
        <f>IFERROR(__xludf.DUMMYFUNCTION("""COMPUTED_VALUE"""),"peilausmatriisi")</f>
        <v>peilausmatriisi</v>
      </c>
      <c r="D764" s="5"/>
      <c r="E764" s="5"/>
      <c r="F764" s="11"/>
      <c r="G764" s="11"/>
    </row>
    <row r="765">
      <c r="A765" s="2" t="str">
        <f>IFERROR(__xludf.DUMMYFUNCTION("""COMPUTED_VALUE"""),"reflexiv")</f>
        <v>reflexiv</v>
      </c>
      <c r="B765" s="2" t="str">
        <f>IFERROR(__xludf.DUMMYFUNCTION("""COMPUTED_VALUE"""),"reflexive")</f>
        <v>reflexive</v>
      </c>
      <c r="C765" s="2" t="str">
        <f>IFERROR(__xludf.DUMMYFUNCTION("""COMPUTED_VALUE"""),"refleksiivinen")</f>
        <v>refleksiivinen</v>
      </c>
      <c r="D765" s="5"/>
      <c r="E765" s="5"/>
      <c r="F765" s="11"/>
      <c r="G765" s="11"/>
    </row>
    <row r="766">
      <c r="A766" s="2" t="str">
        <f>IFERROR(__xludf.DUMMYFUNCTION("""COMPUTED_VALUE"""),"regelbunden")</f>
        <v>regelbunden</v>
      </c>
      <c r="B766" s="2" t="str">
        <f>IFERROR(__xludf.DUMMYFUNCTION("""COMPUTED_VALUE"""),"regular")</f>
        <v>regular</v>
      </c>
      <c r="C766" s="2" t="str">
        <f>IFERROR(__xludf.DUMMYFUNCTION("""COMPUTED_VALUE"""),"säännöllinen (mitta)")</f>
        <v>säännöllinen (mitta)</v>
      </c>
      <c r="D766" s="5"/>
      <c r="E766" s="5"/>
      <c r="F766" s="11"/>
      <c r="G766" s="11"/>
    </row>
    <row r="767">
      <c r="A767" s="2" t="str">
        <f>IFERROR(__xludf.DUMMYFUNCTION("""COMPUTED_VALUE"""),"regelbunden, icke-singulär")</f>
        <v>regelbunden, icke-singulär</v>
      </c>
      <c r="B767" s="2" t="str">
        <f>IFERROR(__xludf.DUMMYFUNCTION("""COMPUTED_VALUE"""),"nonsingular")</f>
        <v>nonsingular</v>
      </c>
      <c r="C767" s="2" t="str">
        <f>IFERROR(__xludf.DUMMYFUNCTION("""COMPUTED_VALUE"""),"säännöllinen, ei-singulaarinen, kääntyvä")</f>
        <v>säännöllinen, ei-singulaarinen, kääntyvä</v>
      </c>
      <c r="D767" s="5"/>
      <c r="E767" s="5"/>
      <c r="F767" s="11"/>
      <c r="G767" s="11"/>
    </row>
    <row r="768">
      <c r="A768" s="2" t="str">
        <f>IFERROR(__xludf.DUMMYFUNCTION("""COMPUTED_VALUE"""),"regelbundet rum")</f>
        <v>regelbundet rum</v>
      </c>
      <c r="B768" s="2" t="str">
        <f>IFERROR(__xludf.DUMMYFUNCTION("""COMPUTED_VALUE"""),"regular space")</f>
        <v>regular space</v>
      </c>
      <c r="C768" s="2" t="str">
        <f>IFERROR(__xludf.DUMMYFUNCTION("""COMPUTED_VALUE"""),"säännöllinen avaruus")</f>
        <v>säännöllinen avaruus</v>
      </c>
      <c r="D768" s="5"/>
      <c r="E768" s="5"/>
      <c r="F768" s="11"/>
      <c r="G768" s="11"/>
    </row>
    <row r="769">
      <c r="A769" s="2" t="str">
        <f>IFERROR(__xludf.DUMMYFUNCTION("""COMPUTED_VALUE"""),"regression")</f>
        <v>regression</v>
      </c>
      <c r="B769" s="2" t="str">
        <f>IFERROR(__xludf.DUMMYFUNCTION("""COMPUTED_VALUE"""),"regression")</f>
        <v>regression</v>
      </c>
      <c r="C769" s="2" t="str">
        <f>IFERROR(__xludf.DUMMYFUNCTION("""COMPUTED_VALUE"""),"regressio")</f>
        <v>regressio</v>
      </c>
      <c r="D769" s="5"/>
      <c r="E769" s="5"/>
      <c r="F769" s="11"/>
      <c r="G769" s="11"/>
    </row>
    <row r="770">
      <c r="A770" s="2" t="str">
        <f>IFERROR(__xludf.DUMMYFUNCTION("""COMPUTED_VALUE"""),"rektangel")</f>
        <v>rektangel</v>
      </c>
      <c r="B770" s="2" t="str">
        <f>IFERROR(__xludf.DUMMYFUNCTION("""COMPUTED_VALUE"""),"rectangle")</f>
        <v>rectangle</v>
      </c>
      <c r="C770" s="2" t="str">
        <f>IFERROR(__xludf.DUMMYFUNCTION("""COMPUTED_VALUE"""),"suorakulmio")</f>
        <v>suorakulmio</v>
      </c>
      <c r="D770" s="5"/>
      <c r="E770" s="5"/>
      <c r="F770" s="11"/>
      <c r="G770" s="11"/>
    </row>
    <row r="771">
      <c r="A771" s="2" t="str">
        <f>IFERROR(__xludf.DUMMYFUNCTION("""COMPUTED_VALUE"""),"rektangulär")</f>
        <v>rektangulär</v>
      </c>
      <c r="B771" s="2" t="str">
        <f>IFERROR(__xludf.DUMMYFUNCTION("""COMPUTED_VALUE"""),"rectangular")</f>
        <v>rectangular</v>
      </c>
      <c r="C771" s="2" t="str">
        <f>IFERROR(__xludf.DUMMYFUNCTION("""COMPUTED_VALUE"""),"suorakulmainen")</f>
        <v>suorakulmainen</v>
      </c>
      <c r="D771" s="5"/>
      <c r="E771" s="5"/>
      <c r="F771" s="11"/>
      <c r="G771" s="11"/>
    </row>
    <row r="772">
      <c r="A772" s="2" t="str">
        <f>IFERROR(__xludf.DUMMYFUNCTION("""COMPUTED_VALUE"""),"rektangulärfördelning, likformig fördelning")</f>
        <v>rektangulärfördelning, likformig fördelning</v>
      </c>
      <c r="B772" s="2" t="str">
        <f>IFERROR(__xludf.DUMMYFUNCTION("""COMPUTED_VALUE"""),"rectangular distribution, uniform distribution")</f>
        <v>rectangular distribution, uniform distribution</v>
      </c>
      <c r="C772" s="2" t="str">
        <f>IFERROR(__xludf.DUMMYFUNCTION("""COMPUTED_VALUE"""),"tasajakauma")</f>
        <v>tasajakauma</v>
      </c>
      <c r="D772" s="5"/>
      <c r="E772" s="5"/>
      <c r="F772" s="11"/>
      <c r="G772" s="11"/>
    </row>
    <row r="773">
      <c r="A773" s="2" t="str">
        <f>IFERROR(__xludf.DUMMYFUNCTION("""COMPUTED_VALUE"""),"rekursiv")</f>
        <v>rekursiv</v>
      </c>
      <c r="B773" s="2" t="str">
        <f>IFERROR(__xludf.DUMMYFUNCTION("""COMPUTED_VALUE"""),"recursive")</f>
        <v>recursive</v>
      </c>
      <c r="C773" s="2" t="str">
        <f>IFERROR(__xludf.DUMMYFUNCTION("""COMPUTED_VALUE"""),"rekursiivinen")</f>
        <v>rekursiivinen</v>
      </c>
      <c r="D773" s="5"/>
      <c r="E773" s="5"/>
      <c r="F773" s="11"/>
      <c r="G773" s="11"/>
    </row>
    <row r="774">
      <c r="A774" s="2" t="str">
        <f>IFERROR(__xludf.DUMMYFUNCTION("""COMPUTED_VALUE"""),"relativt fel")</f>
        <v>relativt fel</v>
      </c>
      <c r="B774" s="2" t="str">
        <f>IFERROR(__xludf.DUMMYFUNCTION("""COMPUTED_VALUE"""),"relative error")</f>
        <v>relative error</v>
      </c>
      <c r="C774" s="2" t="str">
        <f>IFERROR(__xludf.DUMMYFUNCTION("""COMPUTED_VALUE"""),"suhteellinen virhe")</f>
        <v>suhteellinen virhe</v>
      </c>
      <c r="D774" s="5"/>
      <c r="E774" s="5"/>
      <c r="F774" s="11"/>
      <c r="G774" s="11"/>
    </row>
    <row r="775">
      <c r="A775" s="2" t="str">
        <f>IFERROR(__xludf.DUMMYFUNCTION("""COMPUTED_VALUE"""),"relativt prime")</f>
        <v>relativt prime</v>
      </c>
      <c r="B775" s="2" t="str">
        <f>IFERROR(__xludf.DUMMYFUNCTION("""COMPUTED_VALUE"""),"relatively prime")</f>
        <v>relatively prime</v>
      </c>
      <c r="C775" s="2" t="str">
        <f>IFERROR(__xludf.DUMMYFUNCTION("""COMPUTED_VALUE"""),"suhteelliset alkuluvut, keskenään jaottomat")</f>
        <v>suhteelliset alkuluvut, keskenään jaottomat</v>
      </c>
      <c r="D775" s="5"/>
      <c r="E775" s="5"/>
      <c r="F775" s="11"/>
      <c r="G775" s="11"/>
    </row>
    <row r="776">
      <c r="A776" s="2" t="str">
        <f>IFERROR(__xludf.DUMMYFUNCTION("""COMPUTED_VALUE"""),"rent imaginär")</f>
        <v>rent imaginär</v>
      </c>
      <c r="B776" s="2" t="str">
        <f>IFERROR(__xludf.DUMMYFUNCTION("""COMPUTED_VALUE"""),"pure(ly) imaginary")</f>
        <v>pure(ly) imaginary</v>
      </c>
      <c r="C776" s="2" t="str">
        <f>IFERROR(__xludf.DUMMYFUNCTION("""COMPUTED_VALUE"""),"puhtaasti imaginaarinen (reaaliosa on 0)")</f>
        <v>puhtaasti imaginaarinen (reaaliosa on 0)</v>
      </c>
      <c r="D776" s="5"/>
      <c r="E776" s="5"/>
      <c r="F776" s="11"/>
      <c r="G776" s="11"/>
    </row>
    <row r="777">
      <c r="A777" s="2" t="str">
        <f>IFERROR(__xludf.DUMMYFUNCTION("""COMPUTED_VALUE"""),"repulsor")</f>
        <v>repulsor</v>
      </c>
      <c r="B777" s="2" t="str">
        <f>IFERROR(__xludf.DUMMYFUNCTION("""COMPUTED_VALUE"""),"repulsor")</f>
        <v>repulsor</v>
      </c>
      <c r="C777" s="2" t="str">
        <f>IFERROR(__xludf.DUMMYFUNCTION("""COMPUTED_VALUE"""),"repulsori")</f>
        <v>repulsori</v>
      </c>
      <c r="D777" s="5"/>
      <c r="E777" s="5"/>
      <c r="F777" s="11"/>
      <c r="G777" s="11"/>
    </row>
    <row r="778">
      <c r="A778" s="2" t="str">
        <f>IFERROR(__xludf.DUMMYFUNCTION("""COMPUTED_VALUE"""),"residual")</f>
        <v>residual</v>
      </c>
      <c r="B778" s="2" t="str">
        <f>IFERROR(__xludf.DUMMYFUNCTION("""COMPUTED_VALUE"""),"residual")</f>
        <v>residual</v>
      </c>
      <c r="C778" s="2" t="str">
        <f>IFERROR(__xludf.DUMMYFUNCTION("""COMPUTED_VALUE"""),"residuaali, jäännös")</f>
        <v>residuaali, jäännös</v>
      </c>
      <c r="D778" s="5"/>
      <c r="E778" s="5"/>
      <c r="F778" s="11"/>
      <c r="G778" s="11"/>
    </row>
    <row r="779">
      <c r="A779" s="2" t="str">
        <f>IFERROR(__xludf.DUMMYFUNCTION("""COMPUTED_VALUE"""),"residy")</f>
        <v>residy</v>
      </c>
      <c r="B779" s="2" t="str">
        <f>IFERROR(__xludf.DUMMYFUNCTION("""COMPUTED_VALUE"""),"residue")</f>
        <v>residue</v>
      </c>
      <c r="C779" s="2" t="str">
        <f>IFERROR(__xludf.DUMMYFUNCTION("""COMPUTED_VALUE"""),"residy")</f>
        <v>residy</v>
      </c>
      <c r="D779" s="5"/>
      <c r="E779" s="5"/>
      <c r="F779" s="11"/>
      <c r="G779" s="11"/>
    </row>
    <row r="780">
      <c r="A780" s="2" t="str">
        <f>IFERROR(__xludf.DUMMYFUNCTION("""COMPUTED_VALUE"""),"resolvent")</f>
        <v>resolvent</v>
      </c>
      <c r="B780" s="2" t="str">
        <f>IFERROR(__xludf.DUMMYFUNCTION("""COMPUTED_VALUE"""),"resolvent")</f>
        <v>resolvent</v>
      </c>
      <c r="C780" s="2" t="str">
        <f>IFERROR(__xludf.DUMMYFUNCTION("""COMPUTED_VALUE"""),"resolventti")</f>
        <v>resolventti</v>
      </c>
      <c r="D780" s="5"/>
      <c r="E780" s="5"/>
      <c r="F780" s="11"/>
      <c r="G780" s="11"/>
    </row>
    <row r="781">
      <c r="A781" s="2" t="str">
        <f>IFERROR(__xludf.DUMMYFUNCTION("""COMPUTED_VALUE"""),"restriktion")</f>
        <v>restriktion</v>
      </c>
      <c r="B781" s="2" t="str">
        <f>IFERROR(__xludf.DUMMYFUNCTION("""COMPUTED_VALUE"""),"restriction")</f>
        <v>restriction</v>
      </c>
      <c r="C781" s="2" t="str">
        <f>IFERROR(__xludf.DUMMYFUNCTION("""COMPUTED_VALUE"""),"rajoittuma")</f>
        <v>rajoittuma</v>
      </c>
      <c r="D781" s="5"/>
      <c r="E781" s="5"/>
      <c r="F781" s="11"/>
      <c r="G781" s="11"/>
    </row>
    <row r="782">
      <c r="A782" s="2" t="str">
        <f>IFERROR(__xludf.DUMMYFUNCTION("""COMPUTED_VALUE"""),"restterm")</f>
        <v>restterm</v>
      </c>
      <c r="B782" s="2" t="str">
        <f>IFERROR(__xludf.DUMMYFUNCTION("""COMPUTED_VALUE"""),"remainder term, remainder")</f>
        <v>remainder term, remainder</v>
      </c>
      <c r="C782" s="2" t="str">
        <f>IFERROR(__xludf.DUMMYFUNCTION("""COMPUTED_VALUE"""),"jäännöstermi")</f>
        <v>jäännöstermi</v>
      </c>
      <c r="D782" s="5"/>
      <c r="E782" s="5"/>
      <c r="F782" s="11"/>
      <c r="G782" s="11"/>
    </row>
    <row r="783">
      <c r="A783" s="2" t="str">
        <f>IFERROR(__xludf.DUMMYFUNCTION("""COMPUTED_VALUE"""),"Riemann - integral")</f>
        <v>Riemann - integral</v>
      </c>
      <c r="B783" s="2" t="str">
        <f>IFERROR(__xludf.DUMMYFUNCTION("""COMPUTED_VALUE"""),"Riemann integral")</f>
        <v>Riemann integral</v>
      </c>
      <c r="C783" s="2" t="str">
        <f>IFERROR(__xludf.DUMMYFUNCTION("""COMPUTED_VALUE"""),"Riemannin integraali (""Riimannin"")")</f>
        <v>Riemannin integraali ("Riimannin")</v>
      </c>
      <c r="D783" s="5"/>
      <c r="E783" s="5"/>
      <c r="F783" s="11"/>
      <c r="G783" s="11"/>
    </row>
    <row r="784">
      <c r="A784" s="2" t="str">
        <f>IFERROR(__xludf.DUMMYFUNCTION("""COMPUTED_VALUE"""),"Riemann - Stieltjes integral")</f>
        <v>Riemann - Stieltjes integral</v>
      </c>
      <c r="B784" s="2" t="str">
        <f>IFERROR(__xludf.DUMMYFUNCTION("""COMPUTED_VALUE"""),"Riemann - Stieltjes integral")</f>
        <v>Riemann - Stieltjes integral</v>
      </c>
      <c r="C784" s="2" t="str">
        <f>IFERROR(__xludf.DUMMYFUNCTION("""COMPUTED_VALUE"""),"Riemannin - Stieltjesin integraali")</f>
        <v>Riemannin - Stieltjesin integraali</v>
      </c>
      <c r="D784" s="5"/>
      <c r="E784" s="5"/>
      <c r="F784" s="11"/>
      <c r="G784" s="11"/>
    </row>
    <row r="785">
      <c r="A785" s="2" t="str">
        <f>IFERROR(__xludf.DUMMYFUNCTION("""COMPUTED_VALUE"""),"riktad derivata")</f>
        <v>riktad derivata</v>
      </c>
      <c r="B785" s="2" t="str">
        <f>IFERROR(__xludf.DUMMYFUNCTION("""COMPUTED_VALUE"""),"directional derivative")</f>
        <v>directional derivative</v>
      </c>
      <c r="C785" s="2" t="str">
        <f>IFERROR(__xludf.DUMMYFUNCTION("""COMPUTED_VALUE"""),"suuntaderivaatta")</f>
        <v>suuntaderivaatta</v>
      </c>
      <c r="D785" s="5"/>
      <c r="E785" s="5"/>
      <c r="F785" s="11"/>
      <c r="G785" s="11"/>
    </row>
    <row r="786">
      <c r="A786" s="2" t="str">
        <f>IFERROR(__xludf.DUMMYFUNCTION("""COMPUTED_VALUE"""),"riktad summa")</f>
        <v>riktad summa</v>
      </c>
      <c r="B786" s="2" t="str">
        <f>IFERROR(__xludf.DUMMYFUNCTION("""COMPUTED_VALUE"""),"directed set")</f>
        <v>directed set</v>
      </c>
      <c r="C786" s="2" t="str">
        <f>IFERROR(__xludf.DUMMYFUNCTION("""COMPUTED_VALUE"""),"suunnattu joukko")</f>
        <v>suunnattu joukko</v>
      </c>
      <c r="D786" s="5"/>
      <c r="E786" s="5"/>
      <c r="F786" s="11"/>
      <c r="G786" s="11"/>
    </row>
    <row r="787">
      <c r="A787" s="2" t="str">
        <f>IFERROR(__xludf.DUMMYFUNCTION("""COMPUTED_VALUE"""),"riktningsbevarande")</f>
        <v>riktningsbevarande</v>
      </c>
      <c r="B787" s="2" t="str">
        <f>IFERROR(__xludf.DUMMYFUNCTION("""COMPUTED_VALUE"""),"sense preserving")</f>
        <v>sense preserving</v>
      </c>
      <c r="C787" s="2" t="str">
        <f>IFERROR(__xludf.DUMMYFUNCTION("""COMPUTED_VALUE"""),"suunnansäilyttävä")</f>
        <v>suunnansäilyttävä</v>
      </c>
      <c r="D787" s="5"/>
      <c r="E787" s="5"/>
      <c r="F787" s="11"/>
      <c r="G787" s="11"/>
    </row>
    <row r="788">
      <c r="A788" s="2" t="str">
        <f>IFERROR(__xludf.DUMMYFUNCTION("""COMPUTED_VALUE"""),"riktningsbytande")</f>
        <v>riktningsbytande</v>
      </c>
      <c r="B788" s="2" t="str">
        <f>IFERROR(__xludf.DUMMYFUNCTION("""COMPUTED_VALUE"""),"sense reversing")</f>
        <v>sense reversing</v>
      </c>
      <c r="C788" s="2" t="str">
        <f>IFERROR(__xludf.DUMMYFUNCTION("""COMPUTED_VALUE"""),"suunnankääntävä")</f>
        <v>suunnankääntävä</v>
      </c>
      <c r="D788" s="5"/>
      <c r="E788" s="5"/>
      <c r="F788" s="11"/>
      <c r="G788" s="11"/>
    </row>
    <row r="789">
      <c r="A789" s="2" t="str">
        <f>IFERROR(__xludf.DUMMYFUNCTION("""COMPUTED_VALUE"""),"riktningsfält")</f>
        <v>riktningsfält</v>
      </c>
      <c r="B789" s="2" t="str">
        <f>IFERROR(__xludf.DUMMYFUNCTION("""COMPUTED_VALUE"""),"direction field")</f>
        <v>direction field</v>
      </c>
      <c r="C789" s="2" t="str">
        <f>IFERROR(__xludf.DUMMYFUNCTION("""COMPUTED_VALUE"""),"suuntakenttä")</f>
        <v>suuntakenttä</v>
      </c>
      <c r="D789" s="5"/>
      <c r="E789" s="5"/>
      <c r="F789" s="11"/>
      <c r="G789" s="11"/>
    </row>
    <row r="790">
      <c r="A790" s="2" t="str">
        <f>IFERROR(__xludf.DUMMYFUNCTION("""COMPUTED_VALUE"""),"ring")</f>
        <v>ring</v>
      </c>
      <c r="B790" s="2" t="str">
        <f>IFERROR(__xludf.DUMMYFUNCTION("""COMPUTED_VALUE"""),"annulus")</f>
        <v>annulus</v>
      </c>
      <c r="C790" s="2" t="str">
        <f>IFERROR(__xludf.DUMMYFUNCTION("""COMPUTED_VALUE"""),"rengas")</f>
        <v>rengas</v>
      </c>
      <c r="D790" s="5"/>
      <c r="E790" s="5"/>
      <c r="F790" s="11"/>
      <c r="G790" s="11"/>
    </row>
    <row r="791">
      <c r="A791" s="2" t="str">
        <f>IFERROR(__xludf.DUMMYFUNCTION("""COMPUTED_VALUE"""),"ring")</f>
        <v>ring</v>
      </c>
      <c r="B791" s="2" t="str">
        <f>IFERROR(__xludf.DUMMYFUNCTION("""COMPUTED_VALUE"""),"ring")</f>
        <v>ring</v>
      </c>
      <c r="C791" s="2" t="str">
        <f>IFERROR(__xludf.DUMMYFUNCTION("""COMPUTED_VALUE"""),"rengas")</f>
        <v>rengas</v>
      </c>
      <c r="D791" s="5"/>
      <c r="E791" s="5"/>
      <c r="F791" s="11"/>
      <c r="G791" s="11"/>
    </row>
    <row r="792">
      <c r="A792" s="2" t="str">
        <f>IFERROR(__xludf.DUMMYFUNCTION("""COMPUTED_VALUE"""),"risk")</f>
        <v>risk</v>
      </c>
      <c r="B792" s="2" t="str">
        <f>IFERROR(__xludf.DUMMYFUNCTION("""COMPUTED_VALUE"""),"risk")</f>
        <v>risk</v>
      </c>
      <c r="C792" s="2" t="str">
        <f>IFERROR(__xludf.DUMMYFUNCTION("""COMPUTED_VALUE"""),"riski")</f>
        <v>riski</v>
      </c>
      <c r="D792" s="5"/>
      <c r="E792" s="5"/>
      <c r="F792" s="11"/>
      <c r="G792" s="11"/>
    </row>
    <row r="793">
      <c r="A793" s="2" t="str">
        <f>IFERROR(__xludf.DUMMYFUNCTION("""COMPUTED_VALUE"""),"rot")</f>
        <v>rot</v>
      </c>
      <c r="B793" s="2" t="str">
        <f>IFERROR(__xludf.DUMMYFUNCTION("""COMPUTED_VALUE"""),"root")</f>
        <v>root</v>
      </c>
      <c r="C793" s="2" t="str">
        <f>IFERROR(__xludf.DUMMYFUNCTION("""COMPUTED_VALUE"""),"juuri (myös polynomin)")</f>
        <v>juuri (myös polynomin)</v>
      </c>
      <c r="D793" s="5"/>
      <c r="E793" s="5"/>
      <c r="F793" s="11"/>
      <c r="G793" s="11"/>
    </row>
    <row r="794">
      <c r="A794" s="2" t="str">
        <f>IFERROR(__xludf.DUMMYFUNCTION("""COMPUTED_VALUE"""),"rotation")</f>
        <v>rotation</v>
      </c>
      <c r="B794" s="2" t="str">
        <f>IFERROR(__xludf.DUMMYFUNCTION("""COMPUTED_VALUE"""),"curl")</f>
        <v>curl</v>
      </c>
      <c r="C794" s="2" t="str">
        <f>IFERROR(__xludf.DUMMYFUNCTION("""COMPUTED_VALUE"""),"roottori (rot f, nabla x f)")</f>
        <v>roottori (rot f, nabla x f)</v>
      </c>
      <c r="D794" s="5"/>
      <c r="E794" s="5"/>
      <c r="F794" s="11"/>
      <c r="G794" s="11"/>
    </row>
    <row r="795">
      <c r="A795" s="2" t="str">
        <f>IFERROR(__xludf.DUMMYFUNCTION("""COMPUTED_VALUE"""),"rotation")</f>
        <v>rotation</v>
      </c>
      <c r="B795" s="2" t="str">
        <f>IFERROR(__xludf.DUMMYFUNCTION("""COMPUTED_VALUE"""),"rotation")</f>
        <v>rotation</v>
      </c>
      <c r="C795" s="2" t="str">
        <f>IFERROR(__xludf.DUMMYFUNCTION("""COMPUTED_VALUE"""),"rotaatio, kierto")</f>
        <v>rotaatio, kierto</v>
      </c>
      <c r="D795" s="5"/>
      <c r="E795" s="5"/>
      <c r="F795" s="11"/>
      <c r="G795" s="11"/>
    </row>
    <row r="796">
      <c r="A796" s="2" t="str">
        <f>IFERROR(__xludf.DUMMYFUNCTION("""COMPUTED_VALUE"""),"rotationskropp")</f>
        <v>rotationskropp</v>
      </c>
      <c r="B796" s="2" t="str">
        <f>IFERROR(__xludf.DUMMYFUNCTION("""COMPUTED_VALUE"""),"solid of revolution")</f>
        <v>solid of revolution</v>
      </c>
      <c r="C796" s="2" t="str">
        <f>IFERROR(__xludf.DUMMYFUNCTION("""COMPUTED_VALUE"""),"pyörähdyskappale")</f>
        <v>pyörähdyskappale</v>
      </c>
      <c r="D796" s="5"/>
      <c r="E796" s="5"/>
      <c r="F796" s="11"/>
      <c r="G796" s="11"/>
    </row>
    <row r="797">
      <c r="A797" s="2" t="str">
        <f>IFERROR(__xludf.DUMMYFUNCTION("""COMPUTED_VALUE"""),"rotationsyta")</f>
        <v>rotationsyta</v>
      </c>
      <c r="B797" s="2" t="str">
        <f>IFERROR(__xludf.DUMMYFUNCTION("""COMPUTED_VALUE"""),"surface of revolution")</f>
        <v>surface of revolution</v>
      </c>
      <c r="C797" s="2" t="str">
        <f>IFERROR(__xludf.DUMMYFUNCTION("""COMPUTED_VALUE"""),"pyörähdyspinta")</f>
        <v>pyörähdyspinta</v>
      </c>
      <c r="D797" s="5"/>
      <c r="E797" s="5"/>
      <c r="F797" s="11"/>
      <c r="G797" s="11"/>
    </row>
    <row r="798">
      <c r="A798" s="2" t="str">
        <f>IFERROR(__xludf.DUMMYFUNCTION("""COMPUTED_VALUE"""),"rottest")</f>
        <v>rottest</v>
      </c>
      <c r="B798" s="2" t="str">
        <f>IFERROR(__xludf.DUMMYFUNCTION("""COMPUTED_VALUE"""),"root test")</f>
        <v>root test</v>
      </c>
      <c r="C798" s="2" t="str">
        <f>IFERROR(__xludf.DUMMYFUNCTION("""COMPUTED_VALUE"""),"juuritesti")</f>
        <v>juuritesti</v>
      </c>
      <c r="D798" s="5"/>
      <c r="E798" s="5"/>
      <c r="F798" s="11"/>
      <c r="G798" s="11"/>
    </row>
    <row r="799">
      <c r="A799" s="2" t="str">
        <f>IFERROR(__xludf.DUMMYFUNCTION("""COMPUTED_VALUE"""),"rund skruvlinje, spiral")</f>
        <v>rund skruvlinje, spiral</v>
      </c>
      <c r="B799" s="2" t="str">
        <f>IFERROR(__xludf.DUMMYFUNCTION("""COMPUTED_VALUE"""),"circular helix")</f>
        <v>circular helix</v>
      </c>
      <c r="C799" s="2" t="str">
        <f>IFERROR(__xludf.DUMMYFUNCTION("""COMPUTED_VALUE"""),"ympyräruuvikierre")</f>
        <v>ympyräruuvikierre</v>
      </c>
      <c r="D799" s="5"/>
      <c r="E799" s="5"/>
      <c r="F799" s="11"/>
      <c r="G799" s="11"/>
    </row>
    <row r="800">
      <c r="A800" s="2" t="str">
        <f>IFERROR(__xludf.DUMMYFUNCTION("""COMPUTED_VALUE"""),"räckvidd")</f>
        <v>räckvidd</v>
      </c>
      <c r="B800" s="2" t="str">
        <f>IFERROR(__xludf.DUMMYFUNCTION("""COMPUTED_VALUE"""),"range")</f>
        <v>range</v>
      </c>
      <c r="C800" s="2" t="str">
        <f>IFERROR(__xludf.DUMMYFUNCTION("""COMPUTED_VALUE"""),"maalijoukko, arvojoukko, kuvajoukko; kuva-avaruus")</f>
        <v>maalijoukko, arvojoukko, kuvajoukko; kuva-avaruus</v>
      </c>
      <c r="D800" s="5"/>
      <c r="E800" s="5"/>
      <c r="F800" s="11"/>
      <c r="G800" s="11"/>
    </row>
    <row r="801">
      <c r="A801" s="2" t="str">
        <f>IFERROR(__xludf.DUMMYFUNCTION("""COMPUTED_VALUE"""),"rät vinkel")</f>
        <v>rät vinkel</v>
      </c>
      <c r="B801" s="2" t="str">
        <f>IFERROR(__xludf.DUMMYFUNCTION("""COMPUTED_VALUE"""),"right angle")</f>
        <v>right angle</v>
      </c>
      <c r="C801" s="2" t="str">
        <f>IFERROR(__xludf.DUMMYFUNCTION("""COMPUTED_VALUE"""),"suora kulma")</f>
        <v>suora kulma</v>
      </c>
      <c r="D801" s="5"/>
      <c r="E801" s="5"/>
      <c r="F801" s="11"/>
      <c r="G801" s="11"/>
    </row>
    <row r="802">
      <c r="A802" s="2" t="str">
        <f>IFERROR(__xludf.DUMMYFUNCTION("""COMPUTED_VALUE"""),"rätvinklig")</f>
        <v>rätvinklig</v>
      </c>
      <c r="B802" s="2" t="str">
        <f>IFERROR(__xludf.DUMMYFUNCTION("""COMPUTED_VALUE"""),"right-angled, right")</f>
        <v>right-angled, right</v>
      </c>
      <c r="C802" s="2" t="str">
        <f>IFERROR(__xludf.DUMMYFUNCTION("""COMPUTED_VALUE"""),"suorakulmainen")</f>
        <v>suorakulmainen</v>
      </c>
      <c r="D802" s="5"/>
      <c r="E802" s="5"/>
      <c r="F802" s="11"/>
      <c r="G802" s="11"/>
    </row>
    <row r="803">
      <c r="A803" s="2" t="str">
        <f>IFERROR(__xludf.DUMMYFUNCTION("""COMPUTED_VALUE"""),"sadelpunkt")</f>
        <v>sadelpunkt</v>
      </c>
      <c r="B803" s="2" t="str">
        <f>IFERROR(__xludf.DUMMYFUNCTION("""COMPUTED_VALUE"""),"saddle point")</f>
        <v>saddle point</v>
      </c>
      <c r="C803" s="2" t="str">
        <f>IFERROR(__xludf.DUMMYFUNCTION("""COMPUTED_VALUE"""),"satulapiste")</f>
        <v>satulapiste</v>
      </c>
      <c r="D803" s="5"/>
      <c r="E803" s="5"/>
      <c r="F803" s="11"/>
      <c r="G803" s="11"/>
    </row>
    <row r="804">
      <c r="A804" s="2" t="str">
        <f>IFERROR(__xludf.DUMMYFUNCTION("""COMPUTED_VALUE"""),"samling")</f>
        <v>samling</v>
      </c>
      <c r="B804" s="2" t="str">
        <f>IFERROR(__xludf.DUMMYFUNCTION("""COMPUTED_VALUE"""),"collection")</f>
        <v>collection</v>
      </c>
      <c r="C804" s="2" t="str">
        <f>IFERROR(__xludf.DUMMYFUNCTION("""COMPUTED_VALUE"""),"kokoelma")</f>
        <v>kokoelma</v>
      </c>
      <c r="D804" s="5"/>
      <c r="E804" s="5"/>
      <c r="F804" s="11"/>
      <c r="G804" s="11"/>
    </row>
    <row r="805">
      <c r="A805" s="2" t="str">
        <f>IFERROR(__xludf.DUMMYFUNCTION("""COMPUTED_VALUE"""),"sammanbinda, sammanbindning")</f>
        <v>sammanbinda, sammanbindning</v>
      </c>
      <c r="B805" s="2" t="str">
        <f>IFERROR(__xludf.DUMMYFUNCTION("""COMPUTED_VALUE"""),"join")</f>
        <v>join</v>
      </c>
      <c r="C805" s="2" t="str">
        <f>IFERROR(__xludf.DUMMYFUNCTION("""COMPUTED_VALUE"""),"liitto")</f>
        <v>liitto</v>
      </c>
      <c r="D805" s="5"/>
      <c r="E805" s="5"/>
      <c r="F805" s="11"/>
      <c r="G805" s="11"/>
    </row>
    <row r="806">
      <c r="A806" s="2" t="str">
        <f>IFERROR(__xludf.DUMMYFUNCTION("""COMPUTED_VALUE"""),"sammanhängande")</f>
        <v>sammanhängande</v>
      </c>
      <c r="B806" s="2" t="str">
        <f>IFERROR(__xludf.DUMMYFUNCTION("""COMPUTED_VALUE"""),"connected")</f>
        <v>connected</v>
      </c>
      <c r="C806" s="2" t="str">
        <f>IFERROR(__xludf.DUMMYFUNCTION("""COMPUTED_VALUE"""),"yhtenäinen")</f>
        <v>yhtenäinen</v>
      </c>
      <c r="D806" s="5"/>
      <c r="E806" s="5"/>
      <c r="F806" s="11"/>
      <c r="G806" s="11"/>
    </row>
    <row r="807">
      <c r="A807" s="2" t="str">
        <f>IFERROR(__xludf.DUMMYFUNCTION("""COMPUTED_VALUE"""),"sammansatt avbildning")</f>
        <v>sammansatt avbildning</v>
      </c>
      <c r="B807" s="2" t="str">
        <f>IFERROR(__xludf.DUMMYFUNCTION("""COMPUTED_VALUE"""),"composite mapping")</f>
        <v>composite mapping</v>
      </c>
      <c r="C807" s="2" t="str">
        <f>IFERROR(__xludf.DUMMYFUNCTION("""COMPUTED_VALUE"""),"yhdistetty kuvaus (fog)")</f>
        <v>yhdistetty kuvaus (fog)</v>
      </c>
      <c r="D807" s="5"/>
      <c r="E807" s="5"/>
      <c r="F807" s="11"/>
      <c r="G807" s="11"/>
    </row>
    <row r="808">
      <c r="A808" s="2" t="str">
        <f>IFERROR(__xludf.DUMMYFUNCTION("""COMPUTED_VALUE"""),"sampel, urval")</f>
        <v>sampel, urval</v>
      </c>
      <c r="B808" s="2" t="str">
        <f>IFERROR(__xludf.DUMMYFUNCTION("""COMPUTED_VALUE"""),"sample")</f>
        <v>sample</v>
      </c>
      <c r="C808" s="2" t="str">
        <f>IFERROR(__xludf.DUMMYFUNCTION("""COMPUTED_VALUE"""),"näyte, otos")</f>
        <v>näyte, otos</v>
      </c>
      <c r="D808" s="5"/>
      <c r="E808" s="5"/>
      <c r="F808" s="11"/>
      <c r="G808" s="11"/>
    </row>
    <row r="809">
      <c r="A809" s="2" t="str">
        <f>IFERROR(__xludf.DUMMYFUNCTION("""COMPUTED_VALUE"""),"sannolikhet")</f>
        <v>sannolikhet</v>
      </c>
      <c r="B809" s="2" t="str">
        <f>IFERROR(__xludf.DUMMYFUNCTION("""COMPUTED_VALUE"""),"probability")</f>
        <v>probability</v>
      </c>
      <c r="C809" s="2" t="str">
        <f>IFERROR(__xludf.DUMMYFUNCTION("""COMPUTED_VALUE"""),"todennäköisyys")</f>
        <v>todennäköisyys</v>
      </c>
      <c r="D809" s="5"/>
      <c r="E809" s="5"/>
      <c r="F809" s="11"/>
      <c r="G809" s="11"/>
    </row>
    <row r="810">
      <c r="A810" s="2" t="str">
        <f>IFERROR(__xludf.DUMMYFUNCTION("""COMPUTED_VALUE"""),"sannolikhetsrum")</f>
        <v>sannolikhetsrum</v>
      </c>
      <c r="B810" s="2" t="str">
        <f>IFERROR(__xludf.DUMMYFUNCTION("""COMPUTED_VALUE"""),"probability space")</f>
        <v>probability space</v>
      </c>
      <c r="C810" s="2" t="str">
        <f>IFERROR(__xludf.DUMMYFUNCTION("""COMPUTED_VALUE"""),"todennäköisyyskenttä")</f>
        <v>todennäköisyyskenttä</v>
      </c>
      <c r="D810" s="5"/>
      <c r="E810" s="5"/>
      <c r="F810" s="11"/>
      <c r="G810" s="11"/>
    </row>
    <row r="811">
      <c r="A811" s="2" t="str">
        <f>IFERROR(__xludf.DUMMYFUNCTION("""COMPUTED_VALUE"""),"secans hyperbolicus")</f>
        <v>secans hyperbolicus</v>
      </c>
      <c r="B811" s="2" t="str">
        <f>IFERROR(__xludf.DUMMYFUNCTION("""COMPUTED_VALUE"""),"sech")</f>
        <v>sech</v>
      </c>
      <c r="C811" s="2" t="str">
        <f>IFERROR(__xludf.DUMMYFUNCTION("""COMPUTED_VALUE"""),"sech")</f>
        <v>sech</v>
      </c>
      <c r="D811" s="5"/>
      <c r="E811" s="5"/>
      <c r="F811" s="11"/>
      <c r="G811" s="11"/>
    </row>
    <row r="812">
      <c r="A812" s="2" t="str">
        <f>IFERROR(__xludf.DUMMYFUNCTION("""COMPUTED_VALUE"""),"sekant")</f>
        <v>sekant</v>
      </c>
      <c r="B812" s="2" t="str">
        <f>IFERROR(__xludf.DUMMYFUNCTION("""COMPUTED_VALUE"""),"secant line, chord line")</f>
        <v>secant line, chord line</v>
      </c>
      <c r="C812" s="2" t="str">
        <f>IFERROR(__xludf.DUMMYFUNCTION("""COMPUTED_VALUE"""),"sekantti, jänne")</f>
        <v>sekantti, jänne</v>
      </c>
      <c r="D812" s="5"/>
      <c r="E812" s="5"/>
      <c r="F812" s="11"/>
      <c r="G812" s="11"/>
    </row>
    <row r="813">
      <c r="A813" s="2" t="str">
        <f>IFERROR(__xludf.DUMMYFUNCTION("""COMPUTED_VALUE"""),"sekant")</f>
        <v>sekant</v>
      </c>
      <c r="B813" s="2" t="str">
        <f>IFERROR(__xludf.DUMMYFUNCTION("""COMPUTED_VALUE"""),"secant, sec")</f>
        <v>secant, sec</v>
      </c>
      <c r="C813" s="2" t="str">
        <f>IFERROR(__xludf.DUMMYFUNCTION("""COMPUTED_VALUE"""),"sekantti, sec")</f>
        <v>sekantti, sec</v>
      </c>
      <c r="D813" s="5"/>
      <c r="E813" s="5"/>
      <c r="F813" s="11"/>
      <c r="G813" s="11"/>
    </row>
    <row r="814">
      <c r="A814" s="2" t="str">
        <f>IFERROR(__xludf.DUMMYFUNCTION("""COMPUTED_VALUE"""),"sekventiellt kompakt")</f>
        <v>sekventiellt kompakt</v>
      </c>
      <c r="B814" s="2" t="str">
        <f>IFERROR(__xludf.DUMMYFUNCTION("""COMPUTED_VALUE"""),"sequentially compact")</f>
        <v>sequentially compact</v>
      </c>
      <c r="C814" s="2" t="str">
        <f>IFERROR(__xludf.DUMMYFUNCTION("""COMPUTED_VALUE"""),"jonokompakti")</f>
        <v>jonokompakti</v>
      </c>
      <c r="D814" s="5"/>
      <c r="E814" s="5"/>
      <c r="F814" s="11"/>
      <c r="G814" s="11"/>
    </row>
    <row r="815">
      <c r="A815" s="2" t="str">
        <f>IFERROR(__xludf.DUMMYFUNCTION("""COMPUTED_VALUE"""),"semidefinit")</f>
        <v>semidefinit</v>
      </c>
      <c r="B815" s="2" t="str">
        <f>IFERROR(__xludf.DUMMYFUNCTION("""COMPUTED_VALUE"""),"semidefinite")</f>
        <v>semidefinite</v>
      </c>
      <c r="C815" s="2" t="str">
        <f>IFERROR(__xludf.DUMMYFUNCTION("""COMPUTED_VALUE"""),"semidefiniitti")</f>
        <v>semidefiniitti</v>
      </c>
      <c r="D815" s="5"/>
      <c r="E815" s="5"/>
      <c r="F815" s="11"/>
      <c r="G815" s="11"/>
    </row>
    <row r="816">
      <c r="A816" s="2" t="str">
        <f>IFERROR(__xludf.DUMMYFUNCTION("""COMPUTED_VALUE"""),"seminorm")</f>
        <v>seminorm</v>
      </c>
      <c r="B816" s="2" t="str">
        <f>IFERROR(__xludf.DUMMYFUNCTION("""COMPUTED_VALUE"""),"seminorm")</f>
        <v>seminorm</v>
      </c>
      <c r="C816" s="2" t="str">
        <f>IFERROR(__xludf.DUMMYFUNCTION("""COMPUTED_VALUE"""),"seminormi")</f>
        <v>seminormi</v>
      </c>
      <c r="D816" s="5"/>
      <c r="E816" s="5"/>
      <c r="F816" s="11"/>
      <c r="G816" s="11"/>
    </row>
    <row r="817">
      <c r="A817" s="2" t="str">
        <f>IFERROR(__xludf.DUMMYFUNCTION("""COMPUTED_VALUE"""),"separation")</f>
        <v>separation</v>
      </c>
      <c r="B817" s="2" t="str">
        <f>IFERROR(__xludf.DUMMYFUNCTION("""COMPUTED_VALUE"""),"separation")</f>
        <v>separation</v>
      </c>
      <c r="C817" s="2" t="str">
        <f>IFERROR(__xludf.DUMMYFUNCTION("""COMPUTED_VALUE"""),"separaatio")</f>
        <v>separaatio</v>
      </c>
      <c r="D817" s="5"/>
      <c r="E817" s="5"/>
      <c r="F817" s="11"/>
      <c r="G817" s="11"/>
    </row>
    <row r="818">
      <c r="A818" s="2" t="str">
        <f>IFERROR(__xludf.DUMMYFUNCTION("""COMPUTED_VALUE"""),"separerbar")</f>
        <v>separerbar</v>
      </c>
      <c r="B818" s="2" t="str">
        <f>IFERROR(__xludf.DUMMYFUNCTION("""COMPUTED_VALUE"""),"separable")</f>
        <v>separable</v>
      </c>
      <c r="C818" s="2" t="str">
        <f>IFERROR(__xludf.DUMMYFUNCTION("""COMPUTED_VALUE"""),"separoituva")</f>
        <v>separoituva</v>
      </c>
      <c r="D818" s="5"/>
      <c r="E818" s="5"/>
      <c r="F818" s="11"/>
      <c r="G818" s="11"/>
    </row>
    <row r="819">
      <c r="A819" s="2" t="str">
        <f>IFERROR(__xludf.DUMMYFUNCTION("""COMPUTED_VALUE"""),"separering av variabler")</f>
        <v>separering av variabler</v>
      </c>
      <c r="B819" s="2" t="str">
        <f>IFERROR(__xludf.DUMMYFUNCTION("""COMPUTED_VALUE"""),"separation of variables")</f>
        <v>separation of variables</v>
      </c>
      <c r="C819" s="2" t="str">
        <f>IFERROR(__xludf.DUMMYFUNCTION("""COMPUTED_VALUE"""),"muuttujien separointi")</f>
        <v>muuttujien separointi</v>
      </c>
      <c r="D819" s="5"/>
      <c r="E819" s="5"/>
      <c r="F819" s="11"/>
      <c r="G819" s="11"/>
    </row>
    <row r="820">
      <c r="A820" s="2" t="str">
        <f>IFERROR(__xludf.DUMMYFUNCTION("""COMPUTED_VALUE"""),"serie")</f>
        <v>serie</v>
      </c>
      <c r="B820" s="2" t="str">
        <f>IFERROR(__xludf.DUMMYFUNCTION("""COMPUTED_VALUE"""),"series")</f>
        <v>series</v>
      </c>
      <c r="C820" s="2" t="str">
        <f>IFERROR(__xludf.DUMMYFUNCTION("""COMPUTED_VALUE"""),"sarja")</f>
        <v>sarja</v>
      </c>
      <c r="D820" s="5"/>
      <c r="E820" s="5"/>
      <c r="F820" s="11"/>
      <c r="G820" s="11"/>
    </row>
    <row r="821">
      <c r="A821" s="2" t="str">
        <f>IFERROR(__xludf.DUMMYFUNCTION("""COMPUTED_VALUE"""),"sesilinjär")</f>
        <v>sesilinjär</v>
      </c>
      <c r="B821" s="2" t="str">
        <f>IFERROR(__xludf.DUMMYFUNCTION("""COMPUTED_VALUE"""),"sesquilinear")</f>
        <v>sesquilinear</v>
      </c>
      <c r="C821" s="2" t="str">
        <f>IFERROR(__xludf.DUMMYFUNCTION("""COMPUTED_VALUE"""),"seskilineaarinen (1. arg: lin., 2. arg: klin.)")</f>
        <v>seskilineaarinen (1. arg: lin., 2. arg: klin.)</v>
      </c>
      <c r="D821" s="5"/>
      <c r="E821" s="5"/>
      <c r="F821" s="11"/>
      <c r="G821" s="11"/>
    </row>
    <row r="822">
      <c r="A822" s="2" t="str">
        <f>IFERROR(__xludf.DUMMYFUNCTION("""COMPUTED_VALUE"""),"sfär")</f>
        <v>sfär</v>
      </c>
      <c r="B822" s="2" t="str">
        <f>IFERROR(__xludf.DUMMYFUNCTION("""COMPUTED_VALUE"""),"sphere")</f>
        <v>sphere</v>
      </c>
      <c r="C822" s="2" t="str">
        <f>IFERROR(__xludf.DUMMYFUNCTION("""COMPUTED_VALUE"""),"pallo, pallonpinta, pallonkuori")</f>
        <v>pallo, pallonpinta, pallonkuori</v>
      </c>
      <c r="D822" s="5"/>
      <c r="E822" s="5"/>
      <c r="F822" s="11"/>
      <c r="G822" s="11"/>
    </row>
    <row r="823">
      <c r="A823" s="2" t="str">
        <f>IFERROR(__xludf.DUMMYFUNCTION("""COMPUTED_VALUE"""),"sfäriska koordinater")</f>
        <v>sfäriska koordinater</v>
      </c>
      <c r="B823" s="2" t="str">
        <f>IFERROR(__xludf.DUMMYFUNCTION("""COMPUTED_VALUE"""),"spherical coordinates")</f>
        <v>spherical coordinates</v>
      </c>
      <c r="C823" s="2" t="str">
        <f>IFERROR(__xludf.DUMMYFUNCTION("""COMPUTED_VALUE"""),"pallokoordinaatit")</f>
        <v>pallokoordinaatit</v>
      </c>
      <c r="D823" s="5"/>
      <c r="E823" s="5"/>
      <c r="F823" s="11"/>
      <c r="G823" s="11"/>
    </row>
    <row r="824">
      <c r="A824" s="2" t="str">
        <f>IFERROR(__xludf.DUMMYFUNCTION("""COMPUTED_VALUE"""),"sgn (signum)")</f>
        <v>sgn (signum)</v>
      </c>
      <c r="B824" s="2" t="str">
        <f>IFERROR(__xludf.DUMMYFUNCTION("""COMPUTED_VALUE"""),"sgn")</f>
        <v>sgn</v>
      </c>
      <c r="C824" s="2" t="str">
        <f>IFERROR(__xludf.DUMMYFUNCTION("""COMPUTED_VALUE"""),"sgn (etumerkkifunktio, signum)")</f>
        <v>sgn (etumerkkifunktio, signum)</v>
      </c>
      <c r="D824" s="5"/>
      <c r="E824" s="5"/>
      <c r="F824" s="11"/>
      <c r="G824" s="11"/>
    </row>
    <row r="825">
      <c r="A825" s="2" t="str">
        <f>IFERROR(__xludf.DUMMYFUNCTION("""COMPUTED_VALUE"""),"sidoklass")</f>
        <v>sidoklass</v>
      </c>
      <c r="B825" s="2" t="str">
        <f>IFERROR(__xludf.DUMMYFUNCTION("""COMPUTED_VALUE"""),"coset")</f>
        <v>coset</v>
      </c>
      <c r="C825" s="2" t="str">
        <f>IFERROR(__xludf.DUMMYFUNCTION("""COMPUTED_VALUE"""),"sivuluokka")</f>
        <v>sivuluokka</v>
      </c>
      <c r="D825" s="5"/>
      <c r="E825" s="5"/>
      <c r="F825" s="11"/>
      <c r="G825" s="11"/>
    </row>
    <row r="826">
      <c r="A826" s="2" t="str">
        <f>IFERROR(__xludf.DUMMYFUNCTION("""COMPUTED_VALUE"""),"sigma-algebra")</f>
        <v>sigma-algebra</v>
      </c>
      <c r="B826" s="2" t="str">
        <f>IFERROR(__xludf.DUMMYFUNCTION("""COMPUTED_VALUE"""),"sigma-algebra")</f>
        <v>sigma-algebra</v>
      </c>
      <c r="C826" s="2" t="str">
        <f>IFERROR(__xludf.DUMMYFUNCTION("""COMPUTED_VALUE"""),"sigma-algebra")</f>
        <v>sigma-algebra</v>
      </c>
      <c r="D826" s="5"/>
      <c r="E826" s="5"/>
      <c r="F826" s="11"/>
      <c r="G826" s="11"/>
    </row>
    <row r="827">
      <c r="A827" s="2" t="str">
        <f>IFERROR(__xludf.DUMMYFUNCTION("""COMPUTED_VALUE"""),"sigma-kompakt")</f>
        <v>sigma-kompakt</v>
      </c>
      <c r="B827" s="2" t="str">
        <f>IFERROR(__xludf.DUMMYFUNCTION("""COMPUTED_VALUE"""),"sigma-compact")</f>
        <v>sigma-compact</v>
      </c>
      <c r="C827" s="2" t="str">
        <f>IFERROR(__xludf.DUMMYFUNCTION("""COMPUTED_VALUE"""),"sigma-kompakti")</f>
        <v>sigma-kompakti</v>
      </c>
      <c r="D827" s="5"/>
      <c r="E827" s="5"/>
      <c r="F827" s="11"/>
      <c r="G827" s="11"/>
    </row>
    <row r="828">
      <c r="A828" s="2" t="str">
        <f>IFERROR(__xludf.DUMMYFUNCTION("""COMPUTED_VALUE"""),"signatur")</f>
        <v>signatur</v>
      </c>
      <c r="B828" s="2" t="str">
        <f>IFERROR(__xludf.DUMMYFUNCTION("""COMPUTED_VALUE"""),"signature")</f>
        <v>signature</v>
      </c>
      <c r="C828" s="2" t="str">
        <f>IFERROR(__xludf.DUMMYFUNCTION("""COMPUTED_VALUE"""),"merkkiluku")</f>
        <v>merkkiluku</v>
      </c>
      <c r="D828" s="5"/>
      <c r="E828" s="5"/>
      <c r="F828" s="11"/>
      <c r="G828" s="11"/>
    </row>
    <row r="829">
      <c r="A829" s="2" t="str">
        <f>IFERROR(__xludf.DUMMYFUNCTION("""COMPUTED_VALUE"""),"similar")</f>
        <v>similar</v>
      </c>
      <c r="B829" s="2" t="str">
        <f>IFERROR(__xludf.DUMMYFUNCTION("""COMPUTED_VALUE"""),"similar")</f>
        <v>similar</v>
      </c>
      <c r="C829" s="2" t="str">
        <f>IFERROR(__xludf.DUMMYFUNCTION("""COMPUTED_VALUE"""),"similaarinen")</f>
        <v>similaarinen</v>
      </c>
      <c r="D829" s="5"/>
      <c r="E829" s="5"/>
      <c r="F829" s="11"/>
      <c r="G829" s="11"/>
    </row>
    <row r="830">
      <c r="A830" s="2" t="str">
        <f>IFERROR(__xludf.DUMMYFUNCTION("""COMPUTED_VALUE"""),"similaritetstransformation")</f>
        <v>similaritetstransformation</v>
      </c>
      <c r="B830" s="2" t="str">
        <f>IFERROR(__xludf.DUMMYFUNCTION("""COMPUTED_VALUE"""),"similarity transformation")</f>
        <v>similarity transformation</v>
      </c>
      <c r="C830" s="2" t="str">
        <f>IFERROR(__xludf.DUMMYFUNCTION("""COMPUTED_VALUE"""),"similariteettimuunnos")</f>
        <v>similariteettimuunnos</v>
      </c>
      <c r="D830" s="5"/>
      <c r="E830" s="5"/>
      <c r="F830" s="11"/>
      <c r="G830" s="11"/>
    </row>
    <row r="831">
      <c r="A831" s="2" t="str">
        <f>IFERROR(__xludf.DUMMYFUNCTION("""COMPUTED_VALUE"""),"simplex")</f>
        <v>simplex</v>
      </c>
      <c r="B831" s="2" t="str">
        <f>IFERROR(__xludf.DUMMYFUNCTION("""COMPUTED_VALUE"""),"simplex")</f>
        <v>simplex</v>
      </c>
      <c r="C831" s="2" t="str">
        <f>IFERROR(__xludf.DUMMYFUNCTION("""COMPUTED_VALUE"""),"simpleksi")</f>
        <v>simpleksi</v>
      </c>
      <c r="D831" s="5"/>
      <c r="E831" s="5"/>
      <c r="F831" s="11"/>
      <c r="G831" s="11"/>
    </row>
    <row r="832">
      <c r="A832" s="2" t="str">
        <f>IFERROR(__xludf.DUMMYFUNCTION("""COMPUTED_VALUE"""),"simplexmetoden")</f>
        <v>simplexmetoden</v>
      </c>
      <c r="B832" s="2" t="str">
        <f>IFERROR(__xludf.DUMMYFUNCTION("""COMPUTED_VALUE"""),"simplex method")</f>
        <v>simplex method</v>
      </c>
      <c r="C832" s="2" t="str">
        <f>IFERROR(__xludf.DUMMYFUNCTION("""COMPUTED_VALUE"""),"simplex-menetelmä")</f>
        <v>simplex-menetelmä</v>
      </c>
      <c r="D832" s="5"/>
      <c r="E832" s="5"/>
      <c r="F832" s="11"/>
      <c r="G832" s="11"/>
    </row>
    <row r="833">
      <c r="A833" s="2" t="str">
        <f>IFERROR(__xludf.DUMMYFUNCTION("""COMPUTED_VALUE"""),"Simpsons regel")</f>
        <v>Simpsons regel</v>
      </c>
      <c r="B833" s="2" t="str">
        <f>IFERROR(__xludf.DUMMYFUNCTION("""COMPUTED_VALUE"""),"Simpson's Rule")</f>
        <v>Simpson's Rule</v>
      </c>
      <c r="C833" s="2" t="str">
        <f>IFERROR(__xludf.DUMMYFUNCTION("""COMPUTED_VALUE"""),"Simpsonin kaava, Simpsonin sääntö")</f>
        <v>Simpsonin kaava, Simpsonin sääntö</v>
      </c>
      <c r="D833" s="5"/>
      <c r="E833" s="5"/>
      <c r="F833" s="11"/>
      <c r="G833" s="11"/>
    </row>
    <row r="834">
      <c r="A834" s="2" t="str">
        <f>IFERROR(__xludf.DUMMYFUNCTION("""COMPUTED_VALUE"""),"singulär")</f>
        <v>singulär</v>
      </c>
      <c r="B834" s="2" t="str">
        <f>IFERROR(__xludf.DUMMYFUNCTION("""COMPUTED_VALUE"""),"singular")</f>
        <v>singular</v>
      </c>
      <c r="C834" s="2" t="str">
        <f>IFERROR(__xludf.DUMMYFUNCTION("""COMPUTED_VALUE"""),"singulaarinen, epäsäännöllinen")</f>
        <v>singulaarinen, epäsäännöllinen</v>
      </c>
      <c r="D834" s="5"/>
      <c r="E834" s="5"/>
      <c r="F834" s="11"/>
      <c r="G834" s="11"/>
    </row>
    <row r="835">
      <c r="A835" s="2" t="str">
        <f>IFERROR(__xludf.DUMMYFUNCTION("""COMPUTED_VALUE"""),"singulär punkt")</f>
        <v>singulär punkt</v>
      </c>
      <c r="B835" s="2" t="str">
        <f>IFERROR(__xludf.DUMMYFUNCTION("""COMPUTED_VALUE"""),"singularity, singular point")</f>
        <v>singularity, singular point</v>
      </c>
      <c r="C835" s="2" t="str">
        <f>IFERROR(__xludf.DUMMYFUNCTION("""COMPUTED_VALUE"""),"erikoispiste")</f>
        <v>erikoispiste</v>
      </c>
      <c r="D835" s="5"/>
      <c r="E835" s="5"/>
      <c r="F835" s="11"/>
      <c r="G835" s="11"/>
    </row>
    <row r="836">
      <c r="A836" s="2" t="str">
        <f>IFERROR(__xludf.DUMMYFUNCTION("""COMPUTED_VALUE"""),"singulärt värde")</f>
        <v>singulärt värde</v>
      </c>
      <c r="B836" s="2" t="str">
        <f>IFERROR(__xludf.DUMMYFUNCTION("""COMPUTED_VALUE"""),"singular value")</f>
        <v>singular value</v>
      </c>
      <c r="C836" s="2" t="str">
        <f>IFERROR(__xludf.DUMMYFUNCTION("""COMPUTED_VALUE"""),"singulaariarvo")</f>
        <v>singulaariarvo</v>
      </c>
      <c r="D836" s="5"/>
      <c r="E836" s="5"/>
      <c r="F836" s="11"/>
      <c r="G836" s="11"/>
    </row>
    <row r="837">
      <c r="A837" s="2" t="str">
        <f>IFERROR(__xludf.DUMMYFUNCTION("""COMPUTED_VALUE"""),"självadjungerbar")</f>
        <v>självadjungerbar</v>
      </c>
      <c r="B837" s="2" t="str">
        <f>IFERROR(__xludf.DUMMYFUNCTION("""COMPUTED_VALUE"""),"self-adjoint, hermitian")</f>
        <v>self-adjoint, hermitian</v>
      </c>
      <c r="C837" s="2" t="str">
        <f>IFERROR(__xludf.DUMMYFUNCTION("""COMPUTED_VALUE"""),"itseadjungoituva, hermiittinen, Hermiten")</f>
        <v>itseadjungoituva, hermiittinen, Hermiten</v>
      </c>
      <c r="D837" s="5"/>
      <c r="E837" s="5"/>
      <c r="F837" s="11"/>
      <c r="G837" s="11"/>
    </row>
    <row r="838">
      <c r="A838" s="2" t="str">
        <f>IFERROR(__xludf.DUMMYFUNCTION("""COMPUTED_VALUE"""),"skaft")</f>
        <v>skaft</v>
      </c>
      <c r="B838" s="2" t="str">
        <f>IFERROR(__xludf.DUMMYFUNCTION("""COMPUTED_VALUE"""),"handle")</f>
        <v>handle</v>
      </c>
      <c r="C838" s="2" t="str">
        <f>IFERROR(__xludf.DUMMYFUNCTION("""COMPUTED_VALUE"""),"kahva")</f>
        <v>kahva</v>
      </c>
      <c r="D838" s="5"/>
      <c r="E838" s="5"/>
      <c r="F838" s="11"/>
      <c r="G838" s="11"/>
    </row>
    <row r="839">
      <c r="A839" s="2" t="str">
        <f>IFERROR(__xludf.DUMMYFUNCTION("""COMPUTED_VALUE"""),"skalning")</f>
        <v>skalning</v>
      </c>
      <c r="B839" s="2" t="str">
        <f>IFERROR(__xludf.DUMMYFUNCTION("""COMPUTED_VALUE"""),"scaling")</f>
        <v>scaling</v>
      </c>
      <c r="C839" s="2" t="str">
        <f>IFERROR(__xludf.DUMMYFUNCTION("""COMPUTED_VALUE"""),"skaalaus")</f>
        <v>skaalaus</v>
      </c>
      <c r="D839" s="5"/>
      <c r="E839" s="5"/>
      <c r="F839" s="11"/>
      <c r="G839" s="11"/>
    </row>
    <row r="840">
      <c r="A840" s="2" t="str">
        <f>IFERROR(__xludf.DUMMYFUNCTION("""COMPUTED_VALUE"""),"skalär")</f>
        <v>skalär</v>
      </c>
      <c r="B840" s="2" t="str">
        <f>IFERROR(__xludf.DUMMYFUNCTION("""COMPUTED_VALUE"""),"scalar")</f>
        <v>scalar</v>
      </c>
      <c r="C840" s="2" t="str">
        <f>IFERROR(__xludf.DUMMYFUNCTION("""COMPUTED_VALUE"""),"skalaari, luku")</f>
        <v>skalaari, luku</v>
      </c>
      <c r="D840" s="5"/>
      <c r="E840" s="5"/>
      <c r="F840" s="11"/>
      <c r="G840" s="11"/>
    </row>
    <row r="841">
      <c r="A841" s="2" t="str">
        <f>IFERROR(__xludf.DUMMYFUNCTION("""COMPUTED_VALUE"""),"skalär trippelprodukt")</f>
        <v>skalär trippelprodukt</v>
      </c>
      <c r="B841" s="2" t="str">
        <f>IFERROR(__xludf.DUMMYFUNCTION("""COMPUTED_VALUE"""),"triple product")</f>
        <v>triple product</v>
      </c>
      <c r="C841" s="2" t="str">
        <f>IFERROR(__xludf.DUMMYFUNCTION("""COMPUTED_VALUE"""),"skalaarikolmitulo")</f>
        <v>skalaarikolmitulo</v>
      </c>
      <c r="D841" s="5"/>
      <c r="E841" s="5"/>
      <c r="F841" s="11"/>
      <c r="G841" s="11"/>
    </row>
    <row r="842">
      <c r="A842" s="2" t="str">
        <f>IFERROR(__xludf.DUMMYFUNCTION("""COMPUTED_VALUE"""),"skalärprodukt")</f>
        <v>skalärprodukt</v>
      </c>
      <c r="B842" s="2" t="str">
        <f>IFERROR(__xludf.DUMMYFUNCTION("""COMPUTED_VALUE"""),"dot product")</f>
        <v>dot product</v>
      </c>
      <c r="C842" s="2" t="str">
        <f>IFERROR(__xludf.DUMMYFUNCTION("""COMPUTED_VALUE"""),"pistetulo, skalaaritulo, sisätulo")</f>
        <v>pistetulo, skalaaritulo, sisätulo</v>
      </c>
      <c r="D842" s="5"/>
      <c r="E842" s="5"/>
      <c r="F842" s="11"/>
      <c r="G842" s="11"/>
    </row>
    <row r="843">
      <c r="A843" s="2" t="str">
        <f>IFERROR(__xludf.DUMMYFUNCTION("""COMPUTED_VALUE"""),"skalärprodukt")</f>
        <v>skalärprodukt</v>
      </c>
      <c r="B843" s="2" t="str">
        <f>IFERROR(__xludf.DUMMYFUNCTION("""COMPUTED_VALUE"""),"scalar product")</f>
        <v>scalar product</v>
      </c>
      <c r="C843" s="2" t="str">
        <f>IFERROR(__xludf.DUMMYFUNCTION("""COMPUTED_VALUE"""),"skalaaritulo, sisätulo")</f>
        <v>skalaaritulo, sisätulo</v>
      </c>
      <c r="D843" s="5"/>
      <c r="E843" s="5"/>
      <c r="F843" s="11"/>
      <c r="G843" s="11"/>
    </row>
    <row r="844">
      <c r="A844" s="2" t="str">
        <f>IFERROR(__xludf.DUMMYFUNCTION("""COMPUTED_VALUE"""),"skalärtrippelprodukt")</f>
        <v>skalärtrippelprodukt</v>
      </c>
      <c r="B844" s="2" t="str">
        <f>IFERROR(__xludf.DUMMYFUNCTION("""COMPUTED_VALUE"""),"scalar triple product")</f>
        <v>scalar triple product</v>
      </c>
      <c r="C844" s="2" t="str">
        <f>IFERROR(__xludf.DUMMYFUNCTION("""COMPUTED_VALUE"""),"skalaarikolmitulo")</f>
        <v>skalaarikolmitulo</v>
      </c>
      <c r="D844" s="5"/>
      <c r="E844" s="5"/>
      <c r="F844" s="11"/>
      <c r="G844" s="11"/>
    </row>
    <row r="845">
      <c r="A845" s="2" t="str">
        <f>IFERROR(__xludf.DUMMYFUNCTION("""COMPUTED_VALUE"""),"skalärvärd")</f>
        <v>skalärvärd</v>
      </c>
      <c r="B845" s="2" t="str">
        <f>IFERROR(__xludf.DUMMYFUNCTION("""COMPUTED_VALUE"""),"scalar-valued")</f>
        <v>scalar-valued</v>
      </c>
      <c r="C845" s="2" t="str">
        <f>IFERROR(__xludf.DUMMYFUNCTION("""COMPUTED_VALUE"""),"skalaariarvoinen, lukuarvoinen")</f>
        <v>skalaariarvoinen, lukuarvoinen</v>
      </c>
      <c r="D845" s="5"/>
      <c r="E845" s="5"/>
      <c r="F845" s="11"/>
      <c r="G845" s="11"/>
    </row>
    <row r="846">
      <c r="A846" s="2" t="str">
        <f>IFERROR(__xludf.DUMMYFUNCTION("""COMPUTED_VALUE"""),"skevsymmetrisk")</f>
        <v>skevsymmetrisk</v>
      </c>
      <c r="B846" s="2" t="str">
        <f>IFERROR(__xludf.DUMMYFUNCTION("""COMPUTED_VALUE"""),"skew-symmetric")</f>
        <v>skew-symmetric</v>
      </c>
      <c r="C846" s="2" t="str">
        <f>IFERROR(__xludf.DUMMYFUNCTION("""COMPUTED_VALUE"""),"vinosymmetrinen")</f>
        <v>vinosymmetrinen</v>
      </c>
      <c r="D846" s="5"/>
      <c r="E846" s="5"/>
      <c r="F846" s="11"/>
      <c r="G846" s="11"/>
    </row>
    <row r="847">
      <c r="A847" s="2" t="str">
        <f>IFERROR(__xludf.DUMMYFUNCTION("""COMPUTED_VALUE"""),"skiva")</f>
        <v>skiva</v>
      </c>
      <c r="B847" s="2" t="str">
        <f>IFERROR(__xludf.DUMMYFUNCTION("""COMPUTED_VALUE"""),"disk")</f>
        <v>disk</v>
      </c>
      <c r="C847" s="2" t="str">
        <f>IFERROR(__xludf.DUMMYFUNCTION("""COMPUTED_VALUE"""),"kiekko")</f>
        <v>kiekko</v>
      </c>
      <c r="D847" s="5"/>
      <c r="E847" s="5"/>
      <c r="F847" s="11"/>
      <c r="G847" s="11"/>
    </row>
    <row r="848">
      <c r="A848" s="2" t="str">
        <f>IFERROR(__xludf.DUMMYFUNCTION("""COMPUTED_VALUE"""),"skruvlinje, spiral")</f>
        <v>skruvlinje, spiral</v>
      </c>
      <c r="B848" s="2" t="str">
        <f>IFERROR(__xludf.DUMMYFUNCTION("""COMPUTED_VALUE"""),"helix")</f>
        <v>helix</v>
      </c>
      <c r="C848" s="2" t="str">
        <f>IFERROR(__xludf.DUMMYFUNCTION("""COMPUTED_VALUE"""),"ruuvikierre, ruuviviiva")</f>
        <v>ruuvikierre, ruuviviiva</v>
      </c>
      <c r="D848" s="5"/>
      <c r="E848" s="5"/>
      <c r="F848" s="11"/>
      <c r="G848" s="11"/>
    </row>
    <row r="849">
      <c r="A849" s="2" t="str">
        <f>IFERROR(__xludf.DUMMYFUNCTION("""COMPUTED_VALUE"""),"sköldpadda")</f>
        <v>sköldpadda</v>
      </c>
      <c r="B849" s="2" t="str">
        <f>IFERROR(__xludf.DUMMYFUNCTION("""COMPUTED_VALUE"""),"turtle")</f>
        <v>turtle</v>
      </c>
      <c r="C849" s="2" t="str">
        <f>IFERROR(__xludf.DUMMYFUNCTION("""COMPUTED_VALUE"""),"kilpikonna")</f>
        <v>kilpikonna</v>
      </c>
      <c r="D849" s="5"/>
      <c r="E849" s="5"/>
      <c r="F849" s="11"/>
      <c r="G849" s="11"/>
    </row>
    <row r="850">
      <c r="A850" s="2" t="str">
        <f>IFERROR(__xludf.DUMMYFUNCTION("""COMPUTED_VALUE"""),"slumpmässig")</f>
        <v>slumpmässig</v>
      </c>
      <c r="B850" s="2" t="str">
        <f>IFERROR(__xludf.DUMMYFUNCTION("""COMPUTED_VALUE"""),"random")</f>
        <v>random</v>
      </c>
      <c r="C850" s="2" t="str">
        <f>IFERROR(__xludf.DUMMYFUNCTION("""COMPUTED_VALUE"""),"satunnainen, satunnais-")</f>
        <v>satunnainen, satunnais-</v>
      </c>
      <c r="D850" s="5"/>
      <c r="E850" s="5"/>
      <c r="F850" s="11"/>
      <c r="G850" s="11"/>
    </row>
    <row r="851">
      <c r="A851" s="2" t="str">
        <f>IFERROR(__xludf.DUMMYFUNCTION("""COMPUTED_VALUE"""),"slumpvandring")</f>
        <v>slumpvandring</v>
      </c>
      <c r="B851" s="2" t="str">
        <f>IFERROR(__xludf.DUMMYFUNCTION("""COMPUTED_VALUE"""),"random walk")</f>
        <v>random walk</v>
      </c>
      <c r="C851" s="2" t="str">
        <f>IFERROR(__xludf.DUMMYFUNCTION("""COMPUTED_VALUE"""),"satunnaiskulku")</f>
        <v>satunnaiskulku</v>
      </c>
      <c r="D851" s="5"/>
      <c r="E851" s="5"/>
      <c r="F851" s="11"/>
      <c r="G851" s="11"/>
    </row>
    <row r="852">
      <c r="A852" s="2" t="str">
        <f>IFERROR(__xludf.DUMMYFUNCTION("""COMPUTED_VALUE"""),"slutbar")</f>
        <v>slutbar</v>
      </c>
      <c r="B852" s="2" t="str">
        <f>IFERROR(__xludf.DUMMYFUNCTION("""COMPUTED_VALUE"""),"closable")</f>
        <v>closable</v>
      </c>
      <c r="C852" s="2" t="str">
        <f>IFERROR(__xludf.DUMMYFUNCTION("""COMPUTED_VALUE"""),"sulkeutuva (operaattori)")</f>
        <v>sulkeutuva (operaattori)</v>
      </c>
      <c r="D852" s="5"/>
      <c r="E852" s="5"/>
      <c r="F852" s="11"/>
      <c r="G852" s="11"/>
    </row>
    <row r="853">
      <c r="A853" s="2" t="str">
        <f>IFERROR(__xludf.DUMMYFUNCTION("""COMPUTED_VALUE"""),"sluten")</f>
        <v>sluten</v>
      </c>
      <c r="B853" s="2" t="str">
        <f>IFERROR(__xludf.DUMMYFUNCTION("""COMPUTED_VALUE"""),"closed")</f>
        <v>closed</v>
      </c>
      <c r="C853" s="2" t="str">
        <f>IFERROR(__xludf.DUMMYFUNCTION("""COMPUTED_VALUE"""),"suljettu (joukko, käyrä, pinta, kuvaus, ...)")</f>
        <v>suljettu (joukko, käyrä, pinta, kuvaus, ...)</v>
      </c>
      <c r="D853" s="5"/>
      <c r="E853" s="5"/>
      <c r="F853" s="11"/>
      <c r="G853" s="11"/>
    </row>
    <row r="854">
      <c r="A854" s="2" t="str">
        <f>IFERROR(__xludf.DUMMYFUNCTION("""COMPUTED_VALUE"""),"sluten mängd")</f>
        <v>sluten mängd</v>
      </c>
      <c r="B854" s="2" t="str">
        <f>IFERROR(__xludf.DUMMYFUNCTION("""COMPUTED_VALUE"""),"closed set")</f>
        <v>closed set</v>
      </c>
      <c r="C854" s="2" t="str">
        <f>IFERROR(__xludf.DUMMYFUNCTION("""COMPUTED_VALUE"""),"suljettu joukko")</f>
        <v>suljettu joukko</v>
      </c>
      <c r="D854" s="5"/>
      <c r="E854" s="5"/>
      <c r="F854" s="11"/>
      <c r="G854" s="11"/>
    </row>
    <row r="855">
      <c r="A855" s="2" t="str">
        <f>IFERROR(__xludf.DUMMYFUNCTION("""COMPUTED_VALUE"""),"slät, glatt")</f>
        <v>slät, glatt</v>
      </c>
      <c r="B855" s="2" t="str">
        <f>IFERROR(__xludf.DUMMYFUNCTION("""COMPUTED_VALUE"""),"smooth")</f>
        <v>smooth</v>
      </c>
      <c r="C855" s="2" t="str">
        <f>IFERROR(__xludf.DUMMYFUNCTION("""COMPUTED_VALUE"""),"sileä (C1 tai Cinfinity tms.)")</f>
        <v>sileä (C1 tai Cinfinity tms.)</v>
      </c>
      <c r="D855" s="5"/>
      <c r="E855" s="5"/>
      <c r="F855" s="11"/>
      <c r="G855" s="11"/>
    </row>
    <row r="856">
      <c r="A856" s="2" t="str">
        <f>IFERROR(__xludf.DUMMYFUNCTION("""COMPUTED_VALUE"""),"smygplan")</f>
        <v>smygplan</v>
      </c>
      <c r="B856" s="2" t="str">
        <f>IFERROR(__xludf.DUMMYFUNCTION("""COMPUTED_VALUE"""),"osculating plane")</f>
        <v>osculating plane</v>
      </c>
      <c r="C856" s="2" t="str">
        <f>IFERROR(__xludf.DUMMYFUNCTION("""COMPUTED_VALUE"""),"oskuloiva taso")</f>
        <v>oskuloiva taso</v>
      </c>
      <c r="D856" s="5"/>
      <c r="E856" s="5"/>
      <c r="F856" s="11"/>
      <c r="G856" s="11"/>
    </row>
    <row r="857">
      <c r="A857" s="2" t="str">
        <f>IFERROR(__xludf.DUMMYFUNCTION("""COMPUTED_VALUE"""),"snabb Fouriertransform")</f>
        <v>snabb Fouriertransform</v>
      </c>
      <c r="B857" s="2" t="str">
        <f>IFERROR(__xludf.DUMMYFUNCTION("""COMPUTED_VALUE"""),"fast Fourier transform (FFT)")</f>
        <v>fast Fourier transform (FFT)</v>
      </c>
      <c r="C857" s="2" t="str">
        <f>IFERROR(__xludf.DUMMYFUNCTION("""COMPUTED_VALUE"""),"nopea Fourier-muunnos (FFT)")</f>
        <v>nopea Fourier-muunnos (FFT)</v>
      </c>
      <c r="D857" s="5"/>
      <c r="E857" s="5"/>
      <c r="F857" s="11"/>
      <c r="G857" s="11"/>
    </row>
    <row r="858">
      <c r="A858" s="2" t="str">
        <f>IFERROR(__xludf.DUMMYFUNCTION("""COMPUTED_VALUE"""),"snabbt avtagande funktioner")</f>
        <v>snabbt avtagande funktioner</v>
      </c>
      <c r="B858" s="2" t="str">
        <f>IFERROR(__xludf.DUMMYFUNCTION("""COMPUTED_VALUE"""),"rapidly decreasing functions (S)")</f>
        <v>rapidly decreasing functions (S)</v>
      </c>
      <c r="C858" s="2" t="str">
        <f>IFERROR(__xludf.DUMMYFUNCTION("""COMPUTED_VALUE"""),"nopeasti vaimenevat funktiot (S)")</f>
        <v>nopeasti vaimenevat funktiot (S)</v>
      </c>
      <c r="D858" s="5"/>
      <c r="E858" s="5"/>
      <c r="F858" s="11"/>
      <c r="G858" s="11"/>
    </row>
    <row r="859">
      <c r="A859" s="2" t="str">
        <f>IFERROR(__xludf.DUMMYFUNCTION("""COMPUTED_VALUE"""),"snitt")</f>
        <v>snitt</v>
      </c>
      <c r="B859" s="2" t="str">
        <f>IFERROR(__xludf.DUMMYFUNCTION("""COMPUTED_VALUE"""),"intersection")</f>
        <v>intersection</v>
      </c>
      <c r="C859" s="2" t="str">
        <f>IFERROR(__xludf.DUMMYFUNCTION("""COMPUTED_VALUE"""),"leikkaus")</f>
        <v>leikkaus</v>
      </c>
      <c r="D859" s="5"/>
      <c r="E859" s="5"/>
      <c r="F859" s="11"/>
      <c r="G859" s="11"/>
    </row>
    <row r="860">
      <c r="A860" s="2" t="str">
        <f>IFERROR(__xludf.DUMMYFUNCTION("""COMPUTED_VALUE"""),"snäll, välartad")</f>
        <v>snäll, välartad</v>
      </c>
      <c r="B860" s="2" t="str">
        <f>IFERROR(__xludf.DUMMYFUNCTION("""COMPUTED_VALUE"""),"well-posed")</f>
        <v>well-posed</v>
      </c>
      <c r="C860" s="2" t="str">
        <f>IFERROR(__xludf.DUMMYFUNCTION("""COMPUTED_VALUE"""),"hyvänlaatuinen")</f>
        <v>hyvänlaatuinen</v>
      </c>
      <c r="D860" s="5"/>
      <c r="E860" s="5"/>
      <c r="F860" s="11"/>
      <c r="G860" s="11"/>
    </row>
    <row r="861">
      <c r="A861" s="2" t="str">
        <f>IFERROR(__xludf.DUMMYFUNCTION("""COMPUTED_VALUE"""),"speciallösning")</f>
        <v>speciallösning</v>
      </c>
      <c r="B861" s="2" t="str">
        <f>IFERROR(__xludf.DUMMYFUNCTION("""COMPUTED_VALUE"""),"special solution")</f>
        <v>special solution</v>
      </c>
      <c r="C861" s="2" t="str">
        <f>IFERROR(__xludf.DUMMYFUNCTION("""COMPUTED_VALUE"""),"erikoisratkaisu")</f>
        <v>erikoisratkaisu</v>
      </c>
      <c r="D861" s="5"/>
      <c r="E861" s="5"/>
      <c r="F861" s="11"/>
      <c r="G861" s="11"/>
    </row>
    <row r="862">
      <c r="A862" s="2" t="str">
        <f>IFERROR(__xludf.DUMMYFUNCTION("""COMPUTED_VALUE"""),"spektrum")</f>
        <v>spektrum</v>
      </c>
      <c r="B862" s="2" t="str">
        <f>IFERROR(__xludf.DUMMYFUNCTION("""COMPUTED_VALUE"""),"spectrum")</f>
        <v>spectrum</v>
      </c>
      <c r="C862" s="2" t="str">
        <f>IFERROR(__xludf.DUMMYFUNCTION("""COMPUTED_VALUE"""),"spektri")</f>
        <v>spektri</v>
      </c>
      <c r="D862" s="5"/>
      <c r="E862" s="5"/>
      <c r="F862" s="11"/>
      <c r="G862" s="11"/>
    </row>
    <row r="863">
      <c r="A863" s="2" t="str">
        <f>IFERROR(__xludf.DUMMYFUNCTION("""COMPUTED_VALUE"""),"spets")</f>
        <v>spets</v>
      </c>
      <c r="B863" s="2" t="str">
        <f>IFERROR(__xludf.DUMMYFUNCTION("""COMPUTED_VALUE"""),"vertex")</f>
        <v>vertex</v>
      </c>
      <c r="C863" s="2" t="str">
        <f>IFERROR(__xludf.DUMMYFUNCTION("""COMPUTED_VALUE"""),"kärki")</f>
        <v>kärki</v>
      </c>
      <c r="D863" s="5"/>
      <c r="E863" s="5"/>
      <c r="F863" s="11"/>
      <c r="G863" s="11"/>
    </row>
    <row r="864">
      <c r="A864" s="2" t="str">
        <f>IFERROR(__xludf.DUMMYFUNCTION("""COMPUTED_VALUE"""),"splin")</f>
        <v>splin</v>
      </c>
      <c r="B864" s="2" t="str">
        <f>IFERROR(__xludf.DUMMYFUNCTION("""COMPUTED_VALUE"""),"spline function")</f>
        <v>spline function</v>
      </c>
      <c r="C864" s="2" t="str">
        <f>IFERROR(__xludf.DUMMYFUNCTION("""COMPUTED_VALUE"""),"splini")</f>
        <v>splini</v>
      </c>
      <c r="D864" s="5"/>
      <c r="E864" s="5"/>
      <c r="F864" s="11"/>
      <c r="G864" s="11"/>
    </row>
    <row r="865">
      <c r="A865" s="2" t="str">
        <f>IFERROR(__xludf.DUMMYFUNCTION("""COMPUTED_VALUE"""),"spår")</f>
        <v>spår</v>
      </c>
      <c r="B865" s="2" t="str">
        <f>IFERROR(__xludf.DUMMYFUNCTION("""COMPUTED_VALUE"""),"trace")</f>
        <v>trace</v>
      </c>
      <c r="C865" s="2" t="str">
        <f>IFERROR(__xludf.DUMMYFUNCTION("""COMPUTED_VALUE"""),"jälki (matriisin)")</f>
        <v>jälki (matriisin)</v>
      </c>
      <c r="D865" s="5"/>
      <c r="E865" s="5"/>
      <c r="F865" s="11"/>
      <c r="G865" s="11"/>
    </row>
    <row r="866">
      <c r="A866" s="2" t="str">
        <f>IFERROR(__xludf.DUMMYFUNCTION("""COMPUTED_VALUE"""),"stabil")</f>
        <v>stabil</v>
      </c>
      <c r="B866" s="2" t="str">
        <f>IFERROR(__xludf.DUMMYFUNCTION("""COMPUTED_VALUE"""),"stable")</f>
        <v>stable</v>
      </c>
      <c r="C866" s="2" t="str">
        <f>IFERROR(__xludf.DUMMYFUNCTION("""COMPUTED_VALUE"""),"stabiili")</f>
        <v>stabiili</v>
      </c>
      <c r="D866" s="5"/>
      <c r="E866" s="5"/>
      <c r="F866" s="11"/>
      <c r="G866" s="11"/>
    </row>
    <row r="867">
      <c r="A867" s="2" t="str">
        <f>IFERROR(__xludf.DUMMYFUNCTION("""COMPUTED_VALUE"""),"stabilitet")</f>
        <v>stabilitet</v>
      </c>
      <c r="B867" s="2" t="str">
        <f>IFERROR(__xludf.DUMMYFUNCTION("""COMPUTED_VALUE"""),"stability")</f>
        <v>stability</v>
      </c>
      <c r="C867" s="2" t="str">
        <f>IFERROR(__xludf.DUMMYFUNCTION("""COMPUTED_VALUE"""),"stabiilisuus")</f>
        <v>stabiilisuus</v>
      </c>
      <c r="D867" s="5"/>
      <c r="E867" s="5"/>
      <c r="F867" s="11"/>
      <c r="G867" s="11"/>
    </row>
    <row r="868">
      <c r="A868" s="2" t="str">
        <f>IFERROR(__xludf.DUMMYFUNCTION("""COMPUTED_VALUE"""),"standard avvikelse")</f>
        <v>standard avvikelse</v>
      </c>
      <c r="B868" s="2" t="str">
        <f>IFERROR(__xludf.DUMMYFUNCTION("""COMPUTED_VALUE"""),"standard deviation")</f>
        <v>standard deviation</v>
      </c>
      <c r="C868" s="2" t="str">
        <f>IFERROR(__xludf.DUMMYFUNCTION("""COMPUTED_VALUE"""),"keskihajonta")</f>
        <v>keskihajonta</v>
      </c>
      <c r="D868" s="5"/>
      <c r="E868" s="5"/>
      <c r="F868" s="11"/>
      <c r="G868" s="11"/>
    </row>
    <row r="869">
      <c r="A869" s="2" t="str">
        <f>IFERROR(__xludf.DUMMYFUNCTION("""COMPUTED_VALUE"""),"standardbas")</f>
        <v>standardbas</v>
      </c>
      <c r="B869" s="2" t="str">
        <f>IFERROR(__xludf.DUMMYFUNCTION("""COMPUTED_VALUE"""),"standard basis")</f>
        <v>standard basis</v>
      </c>
      <c r="C869" s="2" t="str">
        <f>IFERROR(__xludf.DUMMYFUNCTION("""COMPUTED_VALUE"""),"luonnollinen kanta")</f>
        <v>luonnollinen kanta</v>
      </c>
      <c r="D869" s="5"/>
      <c r="E869" s="5"/>
      <c r="F869" s="11"/>
      <c r="G869" s="11"/>
    </row>
    <row r="870">
      <c r="A870" s="2" t="str">
        <f>IFERROR(__xludf.DUMMYFUNCTION("""COMPUTED_VALUE"""),"stationär")</f>
        <v>stationär</v>
      </c>
      <c r="B870" s="2" t="str">
        <f>IFERROR(__xludf.DUMMYFUNCTION("""COMPUTED_VALUE"""),"stationary")</f>
        <v>stationary</v>
      </c>
      <c r="C870" s="2" t="str">
        <f>IFERROR(__xludf.DUMMYFUNCTION("""COMPUTED_VALUE"""),"stationaarinen, vakaa")</f>
        <v>stationaarinen, vakaa</v>
      </c>
      <c r="D870" s="5"/>
      <c r="E870" s="5"/>
      <c r="F870" s="11"/>
      <c r="G870" s="11"/>
    </row>
    <row r="871">
      <c r="A871" s="2" t="str">
        <f>IFERROR(__xludf.DUMMYFUNCTION("""COMPUTED_VALUE"""),"statistik")</f>
        <v>statistik</v>
      </c>
      <c r="B871" s="2" t="str">
        <f>IFERROR(__xludf.DUMMYFUNCTION("""COMPUTED_VALUE"""),"statistics")</f>
        <v>statistics</v>
      </c>
      <c r="C871" s="2" t="str">
        <f>IFERROR(__xludf.DUMMYFUNCTION("""COMPUTED_VALUE"""),"tilastotiede, tilastot")</f>
        <v>tilastotiede, tilastot</v>
      </c>
      <c r="D871" s="5"/>
      <c r="E871" s="5"/>
      <c r="F871" s="11"/>
      <c r="G871" s="11"/>
    </row>
    <row r="872">
      <c r="A872" s="2" t="str">
        <f>IFERROR(__xludf.DUMMYFUNCTION("""COMPUTED_VALUE"""),"stig, bana")</f>
        <v>stig, bana</v>
      </c>
      <c r="B872" s="2" t="str">
        <f>IFERROR(__xludf.DUMMYFUNCTION("""COMPUTED_VALUE"""),"path")</f>
        <v>path</v>
      </c>
      <c r="C872" s="2" t="str">
        <f>IFERROR(__xludf.DUMMYFUNCTION("""COMPUTED_VALUE"""),"polku")</f>
        <v>polku</v>
      </c>
      <c r="D872" s="5"/>
      <c r="E872" s="5"/>
      <c r="F872" s="11"/>
      <c r="G872" s="11"/>
    </row>
    <row r="873">
      <c r="A873" s="2" t="str">
        <f>IFERROR(__xludf.DUMMYFUNCTION("""COMPUTED_VALUE"""),"stokastisk, slump-")</f>
        <v>stokastisk, slump-</v>
      </c>
      <c r="B873" s="2" t="str">
        <f>IFERROR(__xludf.DUMMYFUNCTION("""COMPUTED_VALUE"""),"stochastic")</f>
        <v>stochastic</v>
      </c>
      <c r="C873" s="2" t="str">
        <f>IFERROR(__xludf.DUMMYFUNCTION("""COMPUTED_VALUE"""),"stokastinen, satunnais-")</f>
        <v>stokastinen, satunnais-</v>
      </c>
      <c r="D873" s="5"/>
      <c r="E873" s="5"/>
      <c r="F873" s="11"/>
      <c r="G873" s="11"/>
    </row>
    <row r="874">
      <c r="A874" s="2" t="str">
        <f>IFERROR(__xludf.DUMMYFUNCTION("""COMPUTED_VALUE"""),"sträcka")</f>
        <v>sträcka</v>
      </c>
      <c r="B874" s="2" t="str">
        <f>IFERROR(__xludf.DUMMYFUNCTION("""COMPUTED_VALUE"""),"line segment")</f>
        <v>line segment</v>
      </c>
      <c r="C874" s="2" t="str">
        <f>IFERROR(__xludf.DUMMYFUNCTION("""COMPUTED_VALUE"""),"jana")</f>
        <v>jana</v>
      </c>
      <c r="D874" s="5"/>
      <c r="E874" s="5"/>
      <c r="F874" s="11"/>
      <c r="G874" s="11"/>
    </row>
    <row r="875">
      <c r="A875" s="2" t="str">
        <f>IFERROR(__xludf.DUMMYFUNCTION("""COMPUTED_VALUE"""),"sträng")</f>
        <v>sträng</v>
      </c>
      <c r="B875" s="2" t="str">
        <f>IFERROR(__xludf.DUMMYFUNCTION("""COMPUTED_VALUE"""),"proper")</f>
        <v>proper</v>
      </c>
      <c r="C875" s="2" t="str">
        <f>IFERROR(__xludf.DUMMYFUNCTION("""COMPUTED_VALUE"""),"aito (osajoukko, aliavaruus)")</f>
        <v>aito (osajoukko, aliavaruus)</v>
      </c>
      <c r="D875" s="5"/>
      <c r="E875" s="5"/>
      <c r="F875" s="11"/>
      <c r="G875" s="11"/>
    </row>
    <row r="876">
      <c r="A876" s="2" t="str">
        <f>IFERROR(__xludf.DUMMYFUNCTION("""COMPUTED_VALUE"""),"strängt")</f>
        <v>strängt</v>
      </c>
      <c r="B876" s="2" t="str">
        <f>IFERROR(__xludf.DUMMYFUNCTION("""COMPUTED_VALUE"""),"strictly")</f>
        <v>strictly</v>
      </c>
      <c r="C876" s="2" t="str">
        <f>IFERROR(__xludf.DUMMYFUNCTION("""COMPUTED_VALUE"""),"aidosti (esim. aidosti kasvava)")</f>
        <v>aidosti (esim. aidosti kasvava)</v>
      </c>
      <c r="D876" s="5"/>
      <c r="E876" s="5"/>
      <c r="F876" s="11"/>
      <c r="G876" s="11"/>
    </row>
    <row r="877">
      <c r="A877" s="2" t="str">
        <f>IFERROR(__xludf.DUMMYFUNCTION("""COMPUTED_VALUE"""),"styckvis")</f>
        <v>styckvis</v>
      </c>
      <c r="B877" s="2" t="str">
        <f>IFERROR(__xludf.DUMMYFUNCTION("""COMPUTED_VALUE"""),"piecewise")</f>
        <v>piecewise</v>
      </c>
      <c r="C877" s="2" t="str">
        <f>IFERROR(__xludf.DUMMYFUNCTION("""COMPUTED_VALUE"""),"paloittain")</f>
        <v>paloittain</v>
      </c>
      <c r="D877" s="5"/>
      <c r="E877" s="5"/>
      <c r="F877" s="11"/>
      <c r="G877" s="11"/>
    </row>
    <row r="878">
      <c r="A878" s="2" t="str">
        <f>IFERROR(__xludf.DUMMYFUNCTION("""COMPUTED_VALUE"""),"styckvis linjär")</f>
        <v>styckvis linjär</v>
      </c>
      <c r="B878" s="2" t="str">
        <f>IFERROR(__xludf.DUMMYFUNCTION("""COMPUTED_VALUE"""),"piecewise linear, PL")</f>
        <v>piecewise linear, PL</v>
      </c>
      <c r="C878" s="2" t="str">
        <f>IFERROR(__xludf.DUMMYFUNCTION("""COMPUTED_VALUE"""),"paloittain lineaarinen, PL")</f>
        <v>paloittain lineaarinen, PL</v>
      </c>
      <c r="D878" s="5"/>
      <c r="E878" s="5"/>
      <c r="F878" s="11"/>
      <c r="G878" s="11"/>
    </row>
    <row r="879">
      <c r="A879" s="2" t="str">
        <f>IFERROR(__xludf.DUMMYFUNCTION("""COMPUTED_VALUE"""),"styvhetsmatris")</f>
        <v>styvhetsmatris</v>
      </c>
      <c r="B879" s="2" t="str">
        <f>IFERROR(__xludf.DUMMYFUNCTION("""COMPUTED_VALUE"""),"stiffness matrix")</f>
        <v>stiffness matrix</v>
      </c>
      <c r="C879" s="2" t="str">
        <f>IFERROR(__xludf.DUMMYFUNCTION("""COMPUTED_VALUE"""),"jäykkyysmatriisi")</f>
        <v>jäykkyysmatriisi</v>
      </c>
      <c r="D879" s="5"/>
      <c r="E879" s="5"/>
      <c r="F879" s="11"/>
      <c r="G879" s="11"/>
    </row>
    <row r="880">
      <c r="A880" s="2" t="str">
        <f>IFERROR(__xludf.DUMMYFUNCTION("""COMPUTED_VALUE"""),"störning")</f>
        <v>störning</v>
      </c>
      <c r="B880" s="2" t="str">
        <f>IFERROR(__xludf.DUMMYFUNCTION("""COMPUTED_VALUE"""),"perturbation")</f>
        <v>perturbation</v>
      </c>
      <c r="C880" s="2" t="str">
        <f>IFERROR(__xludf.DUMMYFUNCTION("""COMPUTED_VALUE"""),"häiriö")</f>
        <v>häiriö</v>
      </c>
      <c r="D880" s="5"/>
      <c r="E880" s="5"/>
      <c r="F880" s="11"/>
      <c r="G880" s="11"/>
    </row>
    <row r="881">
      <c r="A881" s="2" t="str">
        <f>IFERROR(__xludf.DUMMYFUNCTION("""COMPUTED_VALUE"""),"störningsgrad")</f>
        <v>störningsgrad</v>
      </c>
      <c r="B881" s="2" t="str">
        <f>IFERROR(__xludf.DUMMYFUNCTION("""COMPUTED_VALUE"""),"condition number")</f>
        <v>condition number</v>
      </c>
      <c r="C881" s="2" t="str">
        <f>IFERROR(__xludf.DUMMYFUNCTION("""COMPUTED_VALUE"""),"häiriöalttius")</f>
        <v>häiriöalttius</v>
      </c>
      <c r="D881" s="5"/>
      <c r="E881" s="5"/>
      <c r="F881" s="11"/>
      <c r="G881" s="11"/>
    </row>
    <row r="882">
      <c r="A882" s="2" t="str">
        <f>IFERROR(__xludf.DUMMYFUNCTION("""COMPUTED_VALUE"""),"största gemensamma faktor")</f>
        <v>största gemensamma faktor</v>
      </c>
      <c r="B882" s="2" t="str">
        <f>IFERROR(__xludf.DUMMYFUNCTION("""COMPUTED_VALUE"""),"greatest common divisor")</f>
        <v>greatest common divisor</v>
      </c>
      <c r="C882" s="2" t="str">
        <f>IFERROR(__xludf.DUMMYFUNCTION("""COMPUTED_VALUE"""),"suurin yhteinen tekija")</f>
        <v>suurin yhteinen tekija</v>
      </c>
      <c r="D882" s="5"/>
      <c r="E882" s="5"/>
      <c r="F882" s="11"/>
      <c r="G882" s="11"/>
    </row>
    <row r="883">
      <c r="A883" s="2" t="str">
        <f>IFERROR(__xludf.DUMMYFUNCTION("""COMPUTED_VALUE"""),"subtraktion")</f>
        <v>subtraktion</v>
      </c>
      <c r="B883" s="2" t="str">
        <f>IFERROR(__xludf.DUMMYFUNCTION("""COMPUTED_VALUE"""),"subtraction")</f>
        <v>subtraction</v>
      </c>
      <c r="C883" s="2" t="str">
        <f>IFERROR(__xludf.DUMMYFUNCTION("""COMPUTED_VALUE"""),"erotus, vähennyslasku; vähennys")</f>
        <v>erotus, vähennyslasku; vähennys</v>
      </c>
      <c r="D883" s="5"/>
      <c r="E883" s="5"/>
      <c r="F883" s="11"/>
      <c r="G883" s="11"/>
    </row>
    <row r="884">
      <c r="A884" s="2" t="str">
        <f>IFERROR(__xludf.DUMMYFUNCTION("""COMPUTED_VALUE"""),"supplementvinkel")</f>
        <v>supplementvinkel</v>
      </c>
      <c r="B884" s="2" t="str">
        <f>IFERROR(__xludf.DUMMYFUNCTION("""COMPUTED_VALUE"""),"supplemental angle")</f>
        <v>supplemental angle</v>
      </c>
      <c r="C884" s="2" t="str">
        <f>IFERROR(__xludf.DUMMYFUNCTION("""COMPUTED_VALUE"""),"suplementtikulma")</f>
        <v>suplementtikulma</v>
      </c>
      <c r="D884" s="5"/>
      <c r="E884" s="5"/>
      <c r="F884" s="11"/>
      <c r="G884" s="11"/>
    </row>
    <row r="885">
      <c r="A885" s="2" t="str">
        <f>IFERROR(__xludf.DUMMYFUNCTION("""COMPUTED_VALUE"""),"suppremum")</f>
        <v>suppremum</v>
      </c>
      <c r="B885" s="2" t="str">
        <f>IFERROR(__xludf.DUMMYFUNCTION("""COMPUTED_VALUE"""),"supremum")</f>
        <v>supremum</v>
      </c>
      <c r="C885" s="2" t="str">
        <f>IFERROR(__xludf.DUMMYFUNCTION("""COMPUTED_VALUE"""),"supremum (""supreemum""), pienin yläraja (sup)")</f>
        <v>supremum ("supreemum"), pienin yläraja (sup)</v>
      </c>
      <c r="D885" s="5"/>
      <c r="E885" s="5"/>
      <c r="F885" s="11"/>
      <c r="G885" s="11"/>
    </row>
    <row r="886">
      <c r="A886" s="2" t="str">
        <f>IFERROR(__xludf.DUMMYFUNCTION("""COMPUTED_VALUE"""),"surjektion")</f>
        <v>surjektion</v>
      </c>
      <c r="B886" s="2" t="str">
        <f>IFERROR(__xludf.DUMMYFUNCTION("""COMPUTED_VALUE"""),"surjection")</f>
        <v>surjection</v>
      </c>
      <c r="C886" s="2" t="str">
        <f>IFERROR(__xludf.DUMMYFUNCTION("""COMPUTED_VALUE"""),"surjektio")</f>
        <v>surjektio</v>
      </c>
      <c r="D886" s="5"/>
      <c r="E886" s="5"/>
      <c r="F886" s="11"/>
      <c r="G886" s="11"/>
    </row>
    <row r="887">
      <c r="A887" s="2" t="str">
        <f>IFERROR(__xludf.DUMMYFUNCTION("""COMPUTED_VALUE"""),"surjektiv")</f>
        <v>surjektiv</v>
      </c>
      <c r="B887" s="2" t="str">
        <f>IFERROR(__xludf.DUMMYFUNCTION("""COMPUTED_VALUE"""),"onto, surjective")</f>
        <v>onto, surjective</v>
      </c>
      <c r="C887" s="2" t="str">
        <f>IFERROR(__xludf.DUMMYFUNCTION("""COMPUTED_VALUE"""),"surjektiivinen")</f>
        <v>surjektiivinen</v>
      </c>
      <c r="D887" s="5"/>
      <c r="E887" s="5"/>
      <c r="F887" s="11"/>
      <c r="G887" s="11"/>
    </row>
    <row r="888">
      <c r="A888" s="2" t="str">
        <f>IFERROR(__xludf.DUMMYFUNCTION("""COMPUTED_VALUE"""),"surjektiv")</f>
        <v>surjektiv</v>
      </c>
      <c r="B888" s="2" t="str">
        <f>IFERROR(__xludf.DUMMYFUNCTION("""COMPUTED_VALUE"""),"surjective, onto")</f>
        <v>surjective, onto</v>
      </c>
      <c r="C888" s="2" t="str">
        <f>IFERROR(__xludf.DUMMYFUNCTION("""COMPUTED_VALUE"""),"surjektiivinen")</f>
        <v>surjektiivinen</v>
      </c>
      <c r="D888" s="5"/>
      <c r="E888" s="5"/>
      <c r="F888" s="11"/>
      <c r="G888" s="11"/>
    </row>
    <row r="889">
      <c r="A889" s="2" t="str">
        <f>IFERROR(__xludf.DUMMYFUNCTION("""COMPUTED_VALUE"""),"symmetrisk")</f>
        <v>symmetrisk</v>
      </c>
      <c r="B889" s="2" t="str">
        <f>IFERROR(__xludf.DUMMYFUNCTION("""COMPUTED_VALUE"""),"symmetric")</f>
        <v>symmetric</v>
      </c>
      <c r="C889" s="2" t="str">
        <f>IFERROR(__xludf.DUMMYFUNCTION("""COMPUTED_VALUE"""),"symmetrinen")</f>
        <v>symmetrinen</v>
      </c>
      <c r="D889" s="5"/>
      <c r="E889" s="5"/>
      <c r="F889" s="11"/>
      <c r="G889" s="11"/>
    </row>
    <row r="890">
      <c r="A890" s="2" t="str">
        <f>IFERROR(__xludf.DUMMYFUNCTION("""COMPUTED_VALUE"""),"systematisk")</f>
        <v>systematisk</v>
      </c>
      <c r="B890" s="2" t="str">
        <f>IFERROR(__xludf.DUMMYFUNCTION("""COMPUTED_VALUE"""),"systematic")</f>
        <v>systematic</v>
      </c>
      <c r="C890" s="2" t="str">
        <f>IFERROR(__xludf.DUMMYFUNCTION("""COMPUTED_VALUE"""),"systemaattinen")</f>
        <v>systemaattinen</v>
      </c>
      <c r="D890" s="5"/>
      <c r="E890" s="5"/>
      <c r="F890" s="11"/>
      <c r="G890" s="11"/>
    </row>
    <row r="891">
      <c r="A891" s="2" t="str">
        <f>IFERROR(__xludf.DUMMYFUNCTION("""COMPUTED_VALUE"""),"sänk")</f>
        <v>sänk</v>
      </c>
      <c r="B891" s="2" t="str">
        <f>IFERROR(__xludf.DUMMYFUNCTION("""COMPUTED_VALUE"""),"sink")</f>
        <v>sink</v>
      </c>
      <c r="C891" s="2" t="str">
        <f>IFERROR(__xludf.DUMMYFUNCTION("""COMPUTED_VALUE"""),"nielu")</f>
        <v>nielu</v>
      </c>
      <c r="D891" s="5"/>
      <c r="E891" s="5"/>
      <c r="F891" s="11"/>
      <c r="G891" s="11"/>
    </row>
    <row r="892">
      <c r="A892" s="2" t="str">
        <f>IFERROR(__xludf.DUMMYFUNCTION("""COMPUTED_VALUE"""),"sönderläggning")</f>
        <v>sönderläggning</v>
      </c>
      <c r="B892" s="2" t="str">
        <f>IFERROR(__xludf.DUMMYFUNCTION("""COMPUTED_VALUE"""),"decomposition; factorization")</f>
        <v>decomposition; factorization</v>
      </c>
      <c r="C892" s="2" t="str">
        <f>IFERROR(__xludf.DUMMYFUNCTION("""COMPUTED_VALUE"""),"hajotelma, tekijöihinjako")</f>
        <v>hajotelma, tekijöihinjako</v>
      </c>
      <c r="D892" s="5"/>
      <c r="E892" s="5"/>
      <c r="F892" s="11"/>
      <c r="G892" s="11"/>
    </row>
    <row r="893">
      <c r="A893" s="2" t="str">
        <f>IFERROR(__xludf.DUMMYFUNCTION("""COMPUTED_VALUE"""),"tal, siffra")</f>
        <v>tal, siffra</v>
      </c>
      <c r="B893" s="2" t="str">
        <f>IFERROR(__xludf.DUMMYFUNCTION("""COMPUTED_VALUE"""),"number")</f>
        <v>number</v>
      </c>
      <c r="C893" s="2" t="str">
        <f>IFERROR(__xludf.DUMMYFUNCTION("""COMPUTED_VALUE"""),"luku; numero")</f>
        <v>luku; numero</v>
      </c>
      <c r="D893" s="5"/>
      <c r="E893" s="5"/>
      <c r="F893" s="11"/>
      <c r="G893" s="11"/>
    </row>
    <row r="894">
      <c r="A894" s="2" t="str">
        <f>IFERROR(__xludf.DUMMYFUNCTION("""COMPUTED_VALUE"""),"talteori")</f>
        <v>talteori</v>
      </c>
      <c r="B894" s="2" t="str">
        <f>IFERROR(__xludf.DUMMYFUNCTION("""COMPUTED_VALUE"""),"number theory")</f>
        <v>number theory</v>
      </c>
      <c r="C894" s="2" t="str">
        <f>IFERROR(__xludf.DUMMYFUNCTION("""COMPUTED_VALUE"""),"lukuteoria")</f>
        <v>lukuteoria</v>
      </c>
      <c r="D894" s="5"/>
      <c r="E894" s="5"/>
      <c r="F894" s="11"/>
      <c r="G894" s="11"/>
    </row>
    <row r="895">
      <c r="A895" s="2" t="str">
        <f>IFERROR(__xludf.DUMMYFUNCTION("""COMPUTED_VALUE"""),"tangent")</f>
        <v>tangent</v>
      </c>
      <c r="B895" s="2" t="str">
        <f>IFERROR(__xludf.DUMMYFUNCTION("""COMPUTED_VALUE"""),"tangent, tan")</f>
        <v>tangent, tan</v>
      </c>
      <c r="C895" s="2" t="str">
        <f>IFERROR(__xludf.DUMMYFUNCTION("""COMPUTED_VALUE"""),"tangentti, tan")</f>
        <v>tangentti, tan</v>
      </c>
      <c r="D895" s="5"/>
      <c r="E895" s="5"/>
      <c r="F895" s="11"/>
      <c r="G895" s="11"/>
    </row>
    <row r="896">
      <c r="A896" s="2" t="str">
        <f>IFERROR(__xludf.DUMMYFUNCTION("""COMPUTED_VALUE"""),"tangent")</f>
        <v>tangent</v>
      </c>
      <c r="B896" s="2" t="str">
        <f>IFERROR(__xludf.DUMMYFUNCTION("""COMPUTED_VALUE"""),"tangent, tangent line")</f>
        <v>tangent, tangent line</v>
      </c>
      <c r="C896" s="2" t="str">
        <f>IFERROR(__xludf.DUMMYFUNCTION("""COMPUTED_VALUE"""),"tangentti")</f>
        <v>tangentti</v>
      </c>
      <c r="D896" s="5"/>
      <c r="E896" s="5"/>
      <c r="F896" s="11"/>
      <c r="G896" s="11"/>
    </row>
    <row r="897">
      <c r="A897" s="2" t="str">
        <f>IFERROR(__xludf.DUMMYFUNCTION("""COMPUTED_VALUE"""),"tangentens vinkelkoefficient")</f>
        <v>tangentens vinkelkoefficient</v>
      </c>
      <c r="B897" s="2" t="str">
        <f>IFERROR(__xludf.DUMMYFUNCTION("""COMPUTED_VALUE"""),"slope")</f>
        <v>slope</v>
      </c>
      <c r="C897" s="2" t="str">
        <f>IFERROR(__xludf.DUMMYFUNCTION("""COMPUTED_VALUE"""),"tangentin kulmakerroin")</f>
        <v>tangentin kulmakerroin</v>
      </c>
      <c r="D897" s="5"/>
      <c r="E897" s="5"/>
      <c r="F897" s="11"/>
      <c r="G897" s="11"/>
    </row>
    <row r="898">
      <c r="A898" s="2" t="str">
        <f>IFERROR(__xludf.DUMMYFUNCTION("""COMPUTED_VALUE"""),"tangentialplan")</f>
        <v>tangentialplan</v>
      </c>
      <c r="B898" s="2" t="str">
        <f>IFERROR(__xludf.DUMMYFUNCTION("""COMPUTED_VALUE"""),"tangent plane")</f>
        <v>tangent plane</v>
      </c>
      <c r="C898" s="2" t="str">
        <f>IFERROR(__xludf.DUMMYFUNCTION("""COMPUTED_VALUE"""),"tangenttitaso")</f>
        <v>tangenttitaso</v>
      </c>
      <c r="D898" s="5"/>
      <c r="E898" s="5"/>
      <c r="F898" s="11"/>
      <c r="G898" s="11"/>
    </row>
    <row r="899">
      <c r="A899" s="2" t="str">
        <f>IFERROR(__xludf.DUMMYFUNCTION("""COMPUTED_VALUE"""),"tangentiell acceleration")</f>
        <v>tangentiell acceleration</v>
      </c>
      <c r="B899" s="2" t="str">
        <f>IFERROR(__xludf.DUMMYFUNCTION("""COMPUTED_VALUE"""),"tangential acceleration")</f>
        <v>tangential acceleration</v>
      </c>
      <c r="C899" s="2" t="str">
        <f>IFERROR(__xludf.DUMMYFUNCTION("""COMPUTED_VALUE"""),"tangentiaalinen kiihtyvyys")</f>
        <v>tangentiaalinen kiihtyvyys</v>
      </c>
      <c r="D899" s="5"/>
      <c r="E899" s="5"/>
      <c r="F899" s="11"/>
      <c r="G899" s="11"/>
    </row>
    <row r="900">
      <c r="A900" s="2" t="str">
        <f>IFERROR(__xludf.DUMMYFUNCTION("""COMPUTED_VALUE"""),"tangentiell enhetsvektor")</f>
        <v>tangentiell enhetsvektor</v>
      </c>
      <c r="B900" s="2" t="str">
        <f>IFERROR(__xludf.DUMMYFUNCTION("""COMPUTED_VALUE"""),"unit tangent vector")</f>
        <v>unit tangent vector</v>
      </c>
      <c r="C900" s="2" t="str">
        <f>IFERROR(__xludf.DUMMYFUNCTION("""COMPUTED_VALUE"""),"yksikkötangenttivektori")</f>
        <v>yksikkötangenttivektori</v>
      </c>
      <c r="D900" s="5"/>
      <c r="E900" s="5"/>
      <c r="F900" s="11"/>
      <c r="G900" s="11"/>
    </row>
    <row r="901">
      <c r="A901" s="2" t="str">
        <f>IFERROR(__xludf.DUMMYFUNCTION("""COMPUTED_VALUE"""),"Taylors polynom")</f>
        <v>Taylors polynom</v>
      </c>
      <c r="B901" s="2" t="str">
        <f>IFERROR(__xludf.DUMMYFUNCTION("""COMPUTED_VALUE"""),"Taylor polynomial")</f>
        <v>Taylor polynomial</v>
      </c>
      <c r="C901" s="2" t="str">
        <f>IFERROR(__xludf.DUMMYFUNCTION("""COMPUTED_VALUE"""),"Taylorin polynomi (""Theilorin"")")</f>
        <v>Taylorin polynomi ("Theilorin")</v>
      </c>
      <c r="D901" s="5"/>
      <c r="E901" s="5"/>
      <c r="F901" s="11"/>
      <c r="G901" s="11"/>
    </row>
    <row r="902">
      <c r="A902" s="2" t="str">
        <f>IFERROR(__xludf.DUMMYFUNCTION("""COMPUTED_VALUE"""),"Taylorserie")</f>
        <v>Taylorserie</v>
      </c>
      <c r="B902" s="2" t="str">
        <f>IFERROR(__xludf.DUMMYFUNCTION("""COMPUTED_VALUE"""),"Taylor series+A979")</f>
        <v>Taylor series+A979</v>
      </c>
      <c r="C902" s="2" t="str">
        <f>IFERROR(__xludf.DUMMYFUNCTION("""COMPUTED_VALUE"""),"Taylorin sarja")</f>
        <v>Taylorin sarja</v>
      </c>
      <c r="D902" s="5"/>
      <c r="E902" s="5"/>
      <c r="F902" s="11"/>
      <c r="G902" s="11"/>
    </row>
    <row r="903">
      <c r="A903" s="2" t="str">
        <f>IFERROR(__xludf.DUMMYFUNCTION("""COMPUTED_VALUE"""),"tecken, signum")</f>
        <v>tecken, signum</v>
      </c>
      <c r="B903" s="2" t="str">
        <f>IFERROR(__xludf.DUMMYFUNCTION("""COMPUTED_VALUE"""),"sign, signum")</f>
        <v>sign, signum</v>
      </c>
      <c r="C903" s="2" t="str">
        <f>IFERROR(__xludf.DUMMYFUNCTION("""COMPUTED_VALUE"""),"etumerkki; merkki")</f>
        <v>etumerkki; merkki</v>
      </c>
      <c r="D903" s="5"/>
      <c r="E903" s="5"/>
      <c r="F903" s="11"/>
      <c r="G903" s="11"/>
    </row>
    <row r="904">
      <c r="A904" s="2" t="str">
        <f>IFERROR(__xludf.DUMMYFUNCTION("""COMPUTED_VALUE"""),"tensor")</f>
        <v>tensor</v>
      </c>
      <c r="B904" s="2" t="str">
        <f>IFERROR(__xludf.DUMMYFUNCTION("""COMPUTED_VALUE"""),"tensor")</f>
        <v>tensor</v>
      </c>
      <c r="C904" s="2" t="str">
        <f>IFERROR(__xludf.DUMMYFUNCTION("""COMPUTED_VALUE"""),"tensori")</f>
        <v>tensori</v>
      </c>
      <c r="D904" s="5"/>
      <c r="E904" s="5"/>
      <c r="F904" s="11"/>
      <c r="G904" s="11"/>
    </row>
    <row r="905">
      <c r="A905" s="2" t="str">
        <f>IFERROR(__xludf.DUMMYFUNCTION("""COMPUTED_VALUE"""),"teorem")</f>
        <v>teorem</v>
      </c>
      <c r="B905" s="2" t="str">
        <f>IFERROR(__xludf.DUMMYFUNCTION("""COMPUTED_VALUE"""),"theorem")</f>
        <v>theorem</v>
      </c>
      <c r="C905" s="2" t="str">
        <f>IFERROR(__xludf.DUMMYFUNCTION("""COMPUTED_VALUE"""),"lause, teoreema")</f>
        <v>lause, teoreema</v>
      </c>
      <c r="D905" s="5"/>
      <c r="E905" s="5"/>
      <c r="F905" s="11"/>
      <c r="G905" s="11"/>
    </row>
    <row r="906">
      <c r="A906" s="2" t="str">
        <f>IFERROR(__xludf.DUMMYFUNCTION("""COMPUTED_VALUE"""),"teori")</f>
        <v>teori</v>
      </c>
      <c r="B906" s="2" t="str">
        <f>IFERROR(__xludf.DUMMYFUNCTION("""COMPUTED_VALUE"""),"theory")</f>
        <v>theory</v>
      </c>
      <c r="C906" s="2" t="str">
        <f>IFERROR(__xludf.DUMMYFUNCTION("""COMPUTED_VALUE"""),"teoria")</f>
        <v>teoria</v>
      </c>
      <c r="D906" s="5"/>
      <c r="E906" s="5"/>
      <c r="F906" s="11"/>
      <c r="G906" s="11"/>
    </row>
    <row r="907">
      <c r="A907" s="2" t="str">
        <f>IFERROR(__xludf.DUMMYFUNCTION("""COMPUTED_VALUE"""),"term")</f>
        <v>term</v>
      </c>
      <c r="B907" s="2" t="str">
        <f>IFERROR(__xludf.DUMMYFUNCTION("""COMPUTED_VALUE"""),"term")</f>
        <v>term</v>
      </c>
      <c r="C907" s="2" t="str">
        <f>IFERROR(__xludf.DUMMYFUNCTION("""COMPUTED_VALUE"""),"termi (jonon, polynomin, ...)")</f>
        <v>termi (jonon, polynomin, ...)</v>
      </c>
      <c r="D907" s="5"/>
      <c r="E907" s="5"/>
      <c r="F907" s="11"/>
      <c r="G907" s="11"/>
    </row>
    <row r="908">
      <c r="A908" s="2" t="str">
        <f>IFERROR(__xludf.DUMMYFUNCTION("""COMPUTED_VALUE"""),"tetraeder")</f>
        <v>tetraeder</v>
      </c>
      <c r="B908" s="2" t="str">
        <f>IFERROR(__xludf.DUMMYFUNCTION("""COMPUTED_VALUE"""),"tetrahedron")</f>
        <v>tetrahedron</v>
      </c>
      <c r="C908" s="2" t="str">
        <f>IFERROR(__xludf.DUMMYFUNCTION("""COMPUTED_VALUE"""),"tetraedri")</f>
        <v>tetraedri</v>
      </c>
      <c r="D908" s="5"/>
      <c r="E908" s="5"/>
      <c r="F908" s="11"/>
      <c r="G908" s="11"/>
    </row>
    <row r="909">
      <c r="A909" s="2" t="str">
        <f>IFERROR(__xludf.DUMMYFUNCTION("""COMPUTED_VALUE"""),"tillräcklig")</f>
        <v>tillräcklig</v>
      </c>
      <c r="B909" s="2" t="str">
        <f>IFERROR(__xludf.DUMMYFUNCTION("""COMPUTED_VALUE"""),"sufficient")</f>
        <v>sufficient</v>
      </c>
      <c r="C909" s="2" t="str">
        <f>IFERROR(__xludf.DUMMYFUNCTION("""COMPUTED_VALUE"""),"riittävä; tyhjentävä")</f>
        <v>riittävä; tyhjentävä</v>
      </c>
      <c r="D909" s="5"/>
      <c r="E909" s="5"/>
      <c r="F909" s="11"/>
      <c r="G909" s="11"/>
    </row>
    <row r="910">
      <c r="A910" s="2" t="str">
        <f>IFERROR(__xludf.DUMMYFUNCTION("""COMPUTED_VALUE"""),"tillämpning")</f>
        <v>tillämpning</v>
      </c>
      <c r="B910" s="2" t="str">
        <f>IFERROR(__xludf.DUMMYFUNCTION("""COMPUTED_VALUE"""),"application")</f>
        <v>application</v>
      </c>
      <c r="C910" s="2" t="str">
        <f>IFERROR(__xludf.DUMMYFUNCTION("""COMPUTED_VALUE"""),"sovellus")</f>
        <v>sovellus</v>
      </c>
      <c r="D910" s="5"/>
      <c r="E910" s="5"/>
      <c r="F910" s="11"/>
      <c r="G910" s="11"/>
    </row>
    <row r="911">
      <c r="A911" s="2" t="str">
        <f>IFERROR(__xludf.DUMMYFUNCTION("""COMPUTED_VALUE"""),"tom mängd")</f>
        <v>tom mängd</v>
      </c>
      <c r="B911" s="2" t="str">
        <f>IFERROR(__xludf.DUMMYFUNCTION("""COMPUTED_VALUE"""),"empty set")</f>
        <v>empty set</v>
      </c>
      <c r="C911" s="2" t="str">
        <f>IFERROR(__xludf.DUMMYFUNCTION("""COMPUTED_VALUE"""),"tyhjä joukko")</f>
        <v>tyhjä joukko</v>
      </c>
      <c r="D911" s="5"/>
      <c r="E911" s="5"/>
      <c r="F911" s="11"/>
      <c r="G911" s="11"/>
    </row>
    <row r="912">
      <c r="A912" s="2" t="str">
        <f>IFERROR(__xludf.DUMMYFUNCTION("""COMPUTED_VALUE"""),"topologi")</f>
        <v>topologi</v>
      </c>
      <c r="B912" s="2" t="str">
        <f>IFERROR(__xludf.DUMMYFUNCTION("""COMPUTED_VALUE"""),"topology")</f>
        <v>topology</v>
      </c>
      <c r="C912" s="2" t="str">
        <f>IFERROR(__xludf.DUMMYFUNCTION("""COMPUTED_VALUE"""),"topologia")</f>
        <v>topologia</v>
      </c>
      <c r="D912" s="5"/>
      <c r="E912" s="5"/>
      <c r="F912" s="11"/>
      <c r="G912" s="11"/>
    </row>
    <row r="913">
      <c r="A913" s="2" t="str">
        <f>IFERROR(__xludf.DUMMYFUNCTION("""COMPUTED_VALUE"""),"topologiskt rum")</f>
        <v>topologiskt rum</v>
      </c>
      <c r="B913" s="2" t="str">
        <f>IFERROR(__xludf.DUMMYFUNCTION("""COMPUTED_VALUE"""),"topological space")</f>
        <v>topological space</v>
      </c>
      <c r="C913" s="2" t="str">
        <f>IFERROR(__xludf.DUMMYFUNCTION("""COMPUTED_VALUE"""),"topologinen avaruus")</f>
        <v>topologinen avaruus</v>
      </c>
      <c r="D913" s="5"/>
      <c r="E913" s="5"/>
      <c r="F913" s="11"/>
      <c r="G913" s="11"/>
    </row>
    <row r="914">
      <c r="A914" s="2" t="str">
        <f>IFERROR(__xludf.DUMMYFUNCTION("""COMPUTED_VALUE"""),"torsion")</f>
        <v>torsion</v>
      </c>
      <c r="B914" s="2" t="str">
        <f>IFERROR(__xludf.DUMMYFUNCTION("""COMPUTED_VALUE"""),"torsion")</f>
        <v>torsion</v>
      </c>
      <c r="C914" s="2" t="str">
        <f>IFERROR(__xludf.DUMMYFUNCTION("""COMPUTED_VALUE"""),"kierevyys")</f>
        <v>kierevyys</v>
      </c>
      <c r="D914" s="5"/>
      <c r="E914" s="5"/>
      <c r="F914" s="11"/>
      <c r="G914" s="11"/>
    </row>
    <row r="915">
      <c r="A915" s="2" t="str">
        <f>IFERROR(__xludf.DUMMYFUNCTION("""COMPUTED_VALUE"""),"torus")</f>
        <v>torus</v>
      </c>
      <c r="B915" s="2" t="str">
        <f>IFERROR(__xludf.DUMMYFUNCTION("""COMPUTED_VALUE"""),"torus")</f>
        <v>torus</v>
      </c>
      <c r="C915" s="2" t="str">
        <f>IFERROR(__xludf.DUMMYFUNCTION("""COMPUTED_VALUE"""),"toorus, ""donitsi""")</f>
        <v>toorus, "donitsi"</v>
      </c>
      <c r="D915" s="5"/>
      <c r="E915" s="5"/>
      <c r="F915" s="11"/>
      <c r="G915" s="11"/>
    </row>
    <row r="916">
      <c r="A916" s="2" t="str">
        <f>IFERROR(__xludf.DUMMYFUNCTION("""COMPUTED_VALUE"""),"totalt begränsad")</f>
        <v>totalt begränsad</v>
      </c>
      <c r="B916" s="2" t="str">
        <f>IFERROR(__xludf.DUMMYFUNCTION("""COMPUTED_VALUE"""),"totally bounded")</f>
        <v>totally bounded</v>
      </c>
      <c r="C916" s="2" t="str">
        <f>IFERROR(__xludf.DUMMYFUNCTION("""COMPUTED_VALUE"""),"totaalisti rajoitettu (äärelliset eps-peitteet)")</f>
        <v>totaalisti rajoitettu (äärelliset eps-peitteet)</v>
      </c>
      <c r="D916" s="5"/>
      <c r="E916" s="5"/>
      <c r="F916" s="11"/>
      <c r="G916" s="11"/>
    </row>
    <row r="917">
      <c r="A917" s="2" t="str">
        <f>IFERROR(__xludf.DUMMYFUNCTION("""COMPUTED_VALUE"""),"totalvariation")</f>
        <v>totalvariation</v>
      </c>
      <c r="B917" s="2" t="str">
        <f>IFERROR(__xludf.DUMMYFUNCTION("""COMPUTED_VALUE"""),"total variation (TV)")</f>
        <v>total variation (TV)</v>
      </c>
      <c r="C917" s="2" t="str">
        <f>IFERROR(__xludf.DUMMYFUNCTION("""COMPUTED_VALUE"""),"kokonaisheilahtelu, kokonaisvariaatio (mitan, funktion)")</f>
        <v>kokonaisheilahtelu, kokonaisvariaatio (mitan, funktion)</v>
      </c>
      <c r="D917" s="5"/>
      <c r="E917" s="5"/>
      <c r="F917" s="11"/>
      <c r="G917" s="11"/>
    </row>
    <row r="918">
      <c r="A918" s="2" t="str">
        <f>IFERROR(__xludf.DUMMYFUNCTION("""COMPUTED_VALUE"""),"transcendent")</f>
        <v>transcendent</v>
      </c>
      <c r="B918" s="2" t="str">
        <f>IFERROR(__xludf.DUMMYFUNCTION("""COMPUTED_VALUE"""),"transcendental")</f>
        <v>transcendental</v>
      </c>
      <c r="C918" s="2" t="str">
        <f>IFERROR(__xludf.DUMMYFUNCTION("""COMPUTED_VALUE"""),"transsendentti-(nen), transkendentti-(nen)")</f>
        <v>transsendentti-(nen), transkendentti-(nen)</v>
      </c>
      <c r="D918" s="5"/>
      <c r="E918" s="5"/>
      <c r="F918" s="11"/>
      <c r="G918" s="11"/>
    </row>
    <row r="919">
      <c r="A919" s="2" t="str">
        <f>IFERROR(__xludf.DUMMYFUNCTION("""COMPUTED_VALUE"""),"transcendent funktion")</f>
        <v>transcendent funktion</v>
      </c>
      <c r="B919" s="2" t="str">
        <f>IFERROR(__xludf.DUMMYFUNCTION("""COMPUTED_VALUE"""),"transcendental function")</f>
        <v>transcendental function</v>
      </c>
      <c r="C919" s="2" t="str">
        <f>IFERROR(__xludf.DUMMYFUNCTION("""COMPUTED_VALUE"""),"transkendenttifunktio (exp, sin, ...)")</f>
        <v>transkendenttifunktio (exp, sin, ...)</v>
      </c>
      <c r="D919" s="5"/>
      <c r="E919" s="5"/>
      <c r="F919" s="11"/>
      <c r="G919" s="11"/>
    </row>
    <row r="920">
      <c r="A920" s="2" t="str">
        <f>IFERROR(__xludf.DUMMYFUNCTION("""COMPUTED_VALUE"""),"transformation")</f>
        <v>transformation</v>
      </c>
      <c r="B920" s="2" t="str">
        <f>IFERROR(__xludf.DUMMYFUNCTION("""COMPUTED_VALUE"""),"transformation")</f>
        <v>transformation</v>
      </c>
      <c r="C920" s="2" t="str">
        <f>IFERROR(__xludf.DUMMYFUNCTION("""COMPUTED_VALUE"""),"muunnos")</f>
        <v>muunnos</v>
      </c>
      <c r="D920" s="5"/>
      <c r="E920" s="5"/>
      <c r="F920" s="11"/>
      <c r="G920" s="11"/>
    </row>
    <row r="921">
      <c r="A921" s="2" t="str">
        <f>IFERROR(__xludf.DUMMYFUNCTION("""COMPUTED_VALUE"""),"translation")</f>
        <v>translation</v>
      </c>
      <c r="B921" s="2" t="str">
        <f>IFERROR(__xludf.DUMMYFUNCTION("""COMPUTED_VALUE"""),"translation")</f>
        <v>translation</v>
      </c>
      <c r="C921" s="2" t="str">
        <f>IFERROR(__xludf.DUMMYFUNCTION("""COMPUTED_VALUE"""),"translaatio")</f>
        <v>translaatio</v>
      </c>
      <c r="D921" s="5"/>
      <c r="E921" s="5"/>
      <c r="F921" s="11"/>
      <c r="G921" s="11"/>
    </row>
    <row r="922">
      <c r="A922" s="2" t="str">
        <f>IFERROR(__xludf.DUMMYFUNCTION("""COMPUTED_VALUE"""),"transponerad matris, transponat")</f>
        <v>transponerad matris, transponat</v>
      </c>
      <c r="B922" s="2" t="str">
        <f>IFERROR(__xludf.DUMMYFUNCTION("""COMPUTED_VALUE"""),"transpose")</f>
        <v>transpose</v>
      </c>
      <c r="C922" s="2" t="str">
        <f>IFERROR(__xludf.DUMMYFUNCTION("""COMPUTED_VALUE"""),"transpoosi")</f>
        <v>transpoosi</v>
      </c>
      <c r="D922" s="5"/>
      <c r="E922" s="5"/>
      <c r="F922" s="11"/>
      <c r="G922" s="11"/>
    </row>
    <row r="923">
      <c r="A923" s="2" t="str">
        <f>IFERROR(__xludf.DUMMYFUNCTION("""COMPUTED_VALUE"""),"trapetsoid")</f>
        <v>trapetsoid</v>
      </c>
      <c r="B923" s="2" t="str">
        <f>IFERROR(__xludf.DUMMYFUNCTION("""COMPUTED_VALUE"""),"trapezoid")</f>
        <v>trapezoid</v>
      </c>
      <c r="C923" s="2" t="str">
        <f>IFERROR(__xludf.DUMMYFUNCTION("""COMPUTED_VALUE"""),"puolisuunnikas")</f>
        <v>puolisuunnikas</v>
      </c>
      <c r="D923" s="5"/>
      <c r="E923" s="5"/>
      <c r="F923" s="11"/>
      <c r="G923" s="11"/>
    </row>
    <row r="924">
      <c r="A924" s="2" t="str">
        <f>IFERROR(__xludf.DUMMYFUNCTION("""COMPUTED_VALUE"""),"trapetsregeln")</f>
        <v>trapetsregeln</v>
      </c>
      <c r="B924" s="2" t="str">
        <f>IFERROR(__xludf.DUMMYFUNCTION("""COMPUTED_VALUE"""),"Trapezoid Rule")</f>
        <v>Trapezoid Rule</v>
      </c>
      <c r="C924" s="2" t="str">
        <f>IFERROR(__xludf.DUMMYFUNCTION("""COMPUTED_VALUE"""),"puolisuunnikassääntö, trapetsisääntö")</f>
        <v>puolisuunnikassääntö, trapetsisääntö</v>
      </c>
      <c r="D924" s="5"/>
      <c r="E924" s="5"/>
      <c r="F924" s="11"/>
      <c r="G924" s="11"/>
    </row>
    <row r="925">
      <c r="A925" s="2" t="str">
        <f>IFERROR(__xludf.DUMMYFUNCTION("""COMPUTED_VALUE"""),"trappfunktion")</f>
        <v>trappfunktion</v>
      </c>
      <c r="B925" s="2" t="str">
        <f>IFERROR(__xludf.DUMMYFUNCTION("""COMPUTED_VALUE"""),"step function")</f>
        <v>step function</v>
      </c>
      <c r="C925" s="2" t="str">
        <f>IFERROR(__xludf.DUMMYFUNCTION("""COMPUTED_VALUE"""),"porrasfunktio (Riemann-integroinnissa)")</f>
        <v>porrasfunktio (Riemann-integroinnissa)</v>
      </c>
      <c r="D925" s="5"/>
      <c r="E925" s="5"/>
      <c r="F925" s="11"/>
      <c r="G925" s="11"/>
    </row>
    <row r="926">
      <c r="A926" s="2" t="str">
        <f>IFERROR(__xludf.DUMMYFUNCTION("""COMPUTED_VALUE"""),"trappstegsform")</f>
        <v>trappstegsform</v>
      </c>
      <c r="B926" s="2" t="str">
        <f>IFERROR(__xludf.DUMMYFUNCTION("""COMPUTED_VALUE"""),"echelon form, row echelon form")</f>
        <v>echelon form, row echelon form</v>
      </c>
      <c r="C926" s="2" t="str">
        <f>IFERROR(__xludf.DUMMYFUNCTION("""COMPUTED_VALUE"""),"porrasmuoto")</f>
        <v>porrasmuoto</v>
      </c>
      <c r="D926" s="5"/>
      <c r="E926" s="5"/>
      <c r="F926" s="11"/>
      <c r="G926" s="11"/>
    </row>
    <row r="927">
      <c r="A927" s="2" t="str">
        <f>IFERROR(__xludf.DUMMYFUNCTION("""COMPUTED_VALUE"""),"trappstegsmatris")</f>
        <v>trappstegsmatris</v>
      </c>
      <c r="B927" s="2" t="str">
        <f>IFERROR(__xludf.DUMMYFUNCTION("""COMPUTED_VALUE"""),"echelon matrix")</f>
        <v>echelon matrix</v>
      </c>
      <c r="C927" s="2" t="str">
        <f>IFERROR(__xludf.DUMMYFUNCTION("""COMPUTED_VALUE"""),"porrasmatriisi")</f>
        <v>porrasmatriisi</v>
      </c>
      <c r="D927" s="5"/>
      <c r="E927" s="5"/>
      <c r="F927" s="11"/>
      <c r="G927" s="11"/>
    </row>
    <row r="928">
      <c r="A928" s="2" t="str">
        <f>IFERROR(__xludf.DUMMYFUNCTION("""COMPUTED_VALUE"""),"triangelmatris")</f>
        <v>triangelmatris</v>
      </c>
      <c r="B928" s="2" t="str">
        <f>IFERROR(__xludf.DUMMYFUNCTION("""COMPUTED_VALUE"""),"triangular matrix")</f>
        <v>triangular matrix</v>
      </c>
      <c r="C928" s="2" t="str">
        <f>IFERROR(__xludf.DUMMYFUNCTION("""COMPUTED_VALUE"""),"kolmiomatriisi")</f>
        <v>kolmiomatriisi</v>
      </c>
      <c r="D928" s="5"/>
      <c r="E928" s="5"/>
      <c r="F928" s="11"/>
      <c r="G928" s="11"/>
    </row>
    <row r="929">
      <c r="A929" s="2" t="str">
        <f>IFERROR(__xludf.DUMMYFUNCTION("""COMPUTED_VALUE"""),"triangelolikhet")</f>
        <v>triangelolikhet</v>
      </c>
      <c r="B929" s="2" t="str">
        <f>IFERROR(__xludf.DUMMYFUNCTION("""COMPUTED_VALUE"""),"triangle inequality")</f>
        <v>triangle inequality</v>
      </c>
      <c r="C929" s="2" t="str">
        <f>IFERROR(__xludf.DUMMYFUNCTION("""COMPUTED_VALUE"""),"kolmioepäyhtälö")</f>
        <v>kolmioepäyhtälö</v>
      </c>
      <c r="D929" s="5"/>
      <c r="E929" s="5"/>
      <c r="F929" s="11"/>
      <c r="G929" s="11"/>
    </row>
    <row r="930">
      <c r="A930" s="2" t="str">
        <f>IFERROR(__xludf.DUMMYFUNCTION("""COMPUTED_VALUE"""),"tridiagonal")</f>
        <v>tridiagonal</v>
      </c>
      <c r="B930" s="2" t="str">
        <f>IFERROR(__xludf.DUMMYFUNCTION("""COMPUTED_VALUE"""),"tridiagonal")</f>
        <v>tridiagonal</v>
      </c>
      <c r="C930" s="2" t="str">
        <f>IFERROR(__xludf.DUMMYFUNCTION("""COMPUTED_VALUE"""),"kolmidiagonaalinen")</f>
        <v>kolmidiagonaalinen</v>
      </c>
      <c r="D930" s="5"/>
      <c r="E930" s="5"/>
      <c r="F930" s="11"/>
      <c r="G930" s="11"/>
    </row>
    <row r="931">
      <c r="A931" s="2" t="str">
        <f>IFERROR(__xludf.DUMMYFUNCTION("""COMPUTED_VALUE"""),"tridiagonaliserad matris")</f>
        <v>tridiagonaliserad matris</v>
      </c>
      <c r="B931" s="2" t="str">
        <f>IFERROR(__xludf.DUMMYFUNCTION("""COMPUTED_VALUE"""),"tridiagonal matrix")</f>
        <v>tridiagonal matrix</v>
      </c>
      <c r="C931" s="2" t="str">
        <f>IFERROR(__xludf.DUMMYFUNCTION("""COMPUTED_VALUE"""),"kolmidiagonaalimatriisi")</f>
        <v>kolmidiagonaalimatriisi</v>
      </c>
      <c r="D931" s="5"/>
      <c r="E931" s="5"/>
      <c r="F931" s="11"/>
      <c r="G931" s="11"/>
    </row>
    <row r="932">
      <c r="A932" s="2" t="str">
        <f>IFERROR(__xludf.DUMMYFUNCTION("""COMPUTED_VALUE"""),"trigonometrisk")</f>
        <v>trigonometrisk</v>
      </c>
      <c r="B932" s="2" t="str">
        <f>IFERROR(__xludf.DUMMYFUNCTION("""COMPUTED_VALUE"""),"trigonometric")</f>
        <v>trigonometric</v>
      </c>
      <c r="C932" s="2" t="str">
        <f>IFERROR(__xludf.DUMMYFUNCTION("""COMPUTED_VALUE"""),"trigonometrinen")</f>
        <v>trigonometrinen</v>
      </c>
      <c r="D932" s="5"/>
      <c r="E932" s="5"/>
      <c r="F932" s="11"/>
      <c r="G932" s="11"/>
    </row>
    <row r="933">
      <c r="A933" s="2" t="str">
        <f>IFERROR(__xludf.DUMMYFUNCTION("""COMPUTED_VALUE"""),"trippelintegral, trefaldig integral")</f>
        <v>trippelintegral, trefaldig integral</v>
      </c>
      <c r="B933" s="2" t="str">
        <f>IFERROR(__xludf.DUMMYFUNCTION("""COMPUTED_VALUE"""),"triple integral")</f>
        <v>triple integral</v>
      </c>
      <c r="C933" s="2" t="str">
        <f>IFERROR(__xludf.DUMMYFUNCTION("""COMPUTED_VALUE"""),"kolmoisintegraali, kolminkertainen integraali")</f>
        <v>kolmoisintegraali, kolminkertainen integraali</v>
      </c>
      <c r="D933" s="5"/>
      <c r="E933" s="5"/>
      <c r="F933" s="11"/>
      <c r="G933" s="11"/>
    </row>
    <row r="934">
      <c r="A934" s="2" t="str">
        <f>IFERROR(__xludf.DUMMYFUNCTION("""COMPUTED_VALUE"""),"trivial")</f>
        <v>trivial</v>
      </c>
      <c r="B934" s="2" t="str">
        <f>IFERROR(__xludf.DUMMYFUNCTION("""COMPUTED_VALUE"""),"trivial")</f>
        <v>trivial</v>
      </c>
      <c r="C934" s="2" t="str">
        <f>IFERROR(__xludf.DUMMYFUNCTION("""COMPUTED_VALUE"""),"triviaali")</f>
        <v>triviaali</v>
      </c>
      <c r="D934" s="5"/>
      <c r="E934" s="5"/>
      <c r="F934" s="11"/>
      <c r="G934" s="11"/>
    </row>
    <row r="935">
      <c r="A935" s="2" t="str">
        <f>IFERROR(__xludf.DUMMYFUNCTION("""COMPUTED_VALUE"""),"tryck")</f>
        <v>tryck</v>
      </c>
      <c r="B935" s="2" t="str">
        <f>IFERROR(__xludf.DUMMYFUNCTION("""COMPUTED_VALUE"""),"pressure")</f>
        <v>pressure</v>
      </c>
      <c r="C935" s="2" t="str">
        <f>IFERROR(__xludf.DUMMYFUNCTION("""COMPUTED_VALUE"""),"paine")</f>
        <v>paine</v>
      </c>
      <c r="D935" s="5"/>
      <c r="E935" s="5"/>
      <c r="F935" s="11"/>
      <c r="G935" s="11"/>
    </row>
    <row r="936">
      <c r="A936" s="2" t="str">
        <f>IFERROR(__xludf.DUMMYFUNCTION("""COMPUTED_VALUE"""),"träd")</f>
        <v>träd</v>
      </c>
      <c r="B936" s="2" t="str">
        <f>IFERROR(__xludf.DUMMYFUNCTION("""COMPUTED_VALUE"""),"tree")</f>
        <v>tree</v>
      </c>
      <c r="C936" s="2" t="str">
        <f>IFERROR(__xludf.DUMMYFUNCTION("""COMPUTED_VALUE"""),"puu")</f>
        <v>puu</v>
      </c>
      <c r="D936" s="5"/>
      <c r="E936" s="5"/>
      <c r="F936" s="11"/>
      <c r="G936" s="11"/>
    </row>
    <row r="937">
      <c r="A937" s="2" t="str">
        <f>IFERROR(__xludf.DUMMYFUNCTION("""COMPUTED_VALUE"""),"tröghetsmoment")</f>
        <v>tröghetsmoment</v>
      </c>
      <c r="B937" s="2" t="str">
        <f>IFERROR(__xludf.DUMMYFUNCTION("""COMPUTED_VALUE"""),"moment of inertia")</f>
        <v>moment of inertia</v>
      </c>
      <c r="C937" s="2" t="str">
        <f>IFERROR(__xludf.DUMMYFUNCTION("""COMPUTED_VALUE"""),"hitausmomentti")</f>
        <v>hitausmomentti</v>
      </c>
      <c r="D937" s="5"/>
      <c r="E937" s="5"/>
      <c r="F937" s="11"/>
      <c r="G937" s="11"/>
    </row>
    <row r="938">
      <c r="A938" s="2" t="str">
        <f>IFERROR(__xludf.DUMMYFUNCTION("""COMPUTED_VALUE"""),"tyngdkraft, gravitation")</f>
        <v>tyngdkraft, gravitation</v>
      </c>
      <c r="B938" s="2" t="str">
        <f>IFERROR(__xludf.DUMMYFUNCTION("""COMPUTED_VALUE"""),"gravity")</f>
        <v>gravity</v>
      </c>
      <c r="C938" s="2" t="str">
        <f>IFERROR(__xludf.DUMMYFUNCTION("""COMPUTED_VALUE"""),"gravitaatio")</f>
        <v>gravitaatio</v>
      </c>
      <c r="D938" s="5"/>
      <c r="E938" s="5"/>
      <c r="F938" s="11"/>
      <c r="G938" s="11"/>
    </row>
    <row r="939">
      <c r="A939" s="2" t="str">
        <f>IFERROR(__xludf.DUMMYFUNCTION("""COMPUTED_VALUE"""),"tyngdpunkt")</f>
        <v>tyngdpunkt</v>
      </c>
      <c r="B939" s="2" t="str">
        <f>IFERROR(__xludf.DUMMYFUNCTION("""COMPUTED_VALUE"""),"center of mass")</f>
        <v>center of mass</v>
      </c>
      <c r="C939" s="2" t="str">
        <f>IFERROR(__xludf.DUMMYFUNCTION("""COMPUTED_VALUE"""),"painopiste, massakeskipiste")</f>
        <v>painopiste, massakeskipiste</v>
      </c>
      <c r="D939" s="5"/>
      <c r="E939" s="5"/>
      <c r="F939" s="11"/>
      <c r="G939" s="11"/>
    </row>
    <row r="940">
      <c r="A940" s="2" t="str">
        <f>IFERROR(__xludf.DUMMYFUNCTION("""COMPUTED_VALUE"""),"tyngdpunkt (oik. painopiste)")</f>
        <v>tyngdpunkt (oik. painopiste)</v>
      </c>
      <c r="B940" s="2" t="str">
        <f>IFERROR(__xludf.DUMMYFUNCTION("""COMPUTED_VALUE"""),"centroid")</f>
        <v>centroid</v>
      </c>
      <c r="C940" s="2" t="str">
        <f>IFERROR(__xludf.DUMMYFUNCTION("""COMPUTED_VALUE"""),"keskiö")</f>
        <v>keskiö</v>
      </c>
      <c r="D940" s="5"/>
      <c r="E940" s="5"/>
      <c r="F940" s="11"/>
      <c r="G940" s="11"/>
    </row>
    <row r="941">
      <c r="A941" s="2" t="str">
        <f>IFERROR(__xludf.DUMMYFUNCTION("""COMPUTED_VALUE"""),"täcke")</f>
        <v>täcke</v>
      </c>
      <c r="B941" s="2" t="str">
        <f>IFERROR(__xludf.DUMMYFUNCTION("""COMPUTED_VALUE"""),"cover, covering")</f>
        <v>cover, covering</v>
      </c>
      <c r="C941" s="2" t="str">
        <f>IFERROR(__xludf.DUMMYFUNCTION("""COMPUTED_VALUE"""),"peite (avoin peite tms.)")</f>
        <v>peite (avoin peite tms.)</v>
      </c>
      <c r="D941" s="5"/>
      <c r="E941" s="5"/>
      <c r="F941" s="11"/>
      <c r="G941" s="11"/>
    </row>
    <row r="942">
      <c r="A942" s="2" t="str">
        <f>IFERROR(__xludf.DUMMYFUNCTION("""COMPUTED_VALUE"""),"täljare")</f>
        <v>täljare</v>
      </c>
      <c r="B942" s="2" t="str">
        <f>IFERROR(__xludf.DUMMYFUNCTION("""COMPUTED_VALUE"""),"divident, numerator")</f>
        <v>divident, numerator</v>
      </c>
      <c r="C942" s="2" t="str">
        <f>IFERROR(__xludf.DUMMYFUNCTION("""COMPUTED_VALUE"""),"jaettava")</f>
        <v>jaettava</v>
      </c>
      <c r="D942" s="5"/>
      <c r="E942" s="5"/>
      <c r="F942" s="11"/>
      <c r="G942" s="11"/>
    </row>
    <row r="943">
      <c r="A943" s="2" t="str">
        <f>IFERROR(__xludf.DUMMYFUNCTION("""COMPUTED_VALUE"""),"tät")</f>
        <v>tät</v>
      </c>
      <c r="B943" s="2" t="str">
        <f>IFERROR(__xludf.DUMMYFUNCTION("""COMPUTED_VALUE"""),"dense")</f>
        <v>dense</v>
      </c>
      <c r="C943" s="2" t="str">
        <f>IFERROR(__xludf.DUMMYFUNCTION("""COMPUTED_VALUE"""),"tiheä")</f>
        <v>tiheä</v>
      </c>
      <c r="D943" s="5"/>
      <c r="E943" s="5"/>
      <c r="F943" s="11"/>
      <c r="G943" s="11"/>
    </row>
    <row r="944">
      <c r="A944" s="2" t="str">
        <f>IFERROR(__xludf.DUMMYFUNCTION("""COMPUTED_VALUE"""),"täthet")</f>
        <v>täthet</v>
      </c>
      <c r="B944" s="2" t="str">
        <f>IFERROR(__xludf.DUMMYFUNCTION("""COMPUTED_VALUE"""),"density")</f>
        <v>density</v>
      </c>
      <c r="C944" s="2" t="str">
        <f>IFERROR(__xludf.DUMMYFUNCTION("""COMPUTED_VALUE"""),"tiheys")</f>
        <v>tiheys</v>
      </c>
      <c r="D944" s="5"/>
      <c r="E944" s="5"/>
      <c r="F944" s="11"/>
      <c r="G944" s="11"/>
    </row>
    <row r="945">
      <c r="A945" s="2" t="str">
        <f>IFERROR(__xludf.DUMMYFUNCTION("""COMPUTED_VALUE"""),"täthetsfunktion")</f>
        <v>täthetsfunktion</v>
      </c>
      <c r="B945" s="2" t="str">
        <f>IFERROR(__xludf.DUMMYFUNCTION("""COMPUTED_VALUE"""),"density function")</f>
        <v>density function</v>
      </c>
      <c r="C945" s="2" t="str">
        <f>IFERROR(__xludf.DUMMYFUNCTION("""COMPUTED_VALUE"""),"tiheysfunktio")</f>
        <v>tiheysfunktio</v>
      </c>
      <c r="D945" s="5"/>
      <c r="E945" s="5"/>
      <c r="F945" s="11"/>
      <c r="G945" s="11"/>
    </row>
    <row r="946">
      <c r="A946" s="2" t="str">
        <f>IFERROR(__xludf.DUMMYFUNCTION("""COMPUTED_VALUE"""),"täthetsfunktion")</f>
        <v>täthetsfunktion</v>
      </c>
      <c r="B946" s="2" t="str">
        <f>IFERROR(__xludf.DUMMYFUNCTION("""COMPUTED_VALUE"""),"probability density, density function")</f>
        <v>probability density, density function</v>
      </c>
      <c r="C946" s="2" t="str">
        <f>IFERROR(__xludf.DUMMYFUNCTION("""COMPUTED_VALUE"""),"tiheysfunktio")</f>
        <v>tiheysfunktio</v>
      </c>
      <c r="D946" s="5"/>
      <c r="E946" s="5"/>
      <c r="F946" s="11"/>
      <c r="G946" s="11"/>
    </row>
    <row r="947">
      <c r="A947" s="2" t="str">
        <f>IFERROR(__xludf.DUMMYFUNCTION("""COMPUTED_VALUE"""),"udda")</f>
        <v>udda</v>
      </c>
      <c r="B947" s="2" t="str">
        <f>IFERROR(__xludf.DUMMYFUNCTION("""COMPUTED_VALUE"""),"odd")</f>
        <v>odd</v>
      </c>
      <c r="C947" s="2" t="str">
        <f>IFERROR(__xludf.DUMMYFUNCTION("""COMPUTED_VALUE"""),"pariton")</f>
        <v>pariton</v>
      </c>
      <c r="D947" s="5"/>
      <c r="E947" s="5"/>
      <c r="F947" s="11"/>
      <c r="G947" s="11"/>
    </row>
    <row r="948">
      <c r="A948" s="2" t="str">
        <f>IFERROR(__xludf.DUMMYFUNCTION("""COMPUTED_VALUE"""),"underdeterminant")</f>
        <v>underdeterminant</v>
      </c>
      <c r="B948" s="2" t="str">
        <f>IFERROR(__xludf.DUMMYFUNCTION("""COMPUTED_VALUE"""),"minor")</f>
        <v>minor</v>
      </c>
      <c r="C948" s="2" t="str">
        <f>IFERROR(__xludf.DUMMYFUNCTION("""COMPUTED_VALUE"""),"alideterminantti (mm.)")</f>
        <v>alideterminantti (mm.)</v>
      </c>
      <c r="D948" s="5"/>
      <c r="E948" s="5"/>
      <c r="F948" s="11"/>
      <c r="G948" s="11"/>
    </row>
    <row r="949">
      <c r="A949" s="2" t="str">
        <f>IFERROR(__xludf.DUMMYFUNCTION("""COMPUTED_VALUE"""),"underrum")</f>
        <v>underrum</v>
      </c>
      <c r="B949" s="2" t="str">
        <f>IFERROR(__xludf.DUMMYFUNCTION("""COMPUTED_VALUE"""),"subspace")</f>
        <v>subspace</v>
      </c>
      <c r="C949" s="2" t="str">
        <f>IFERROR(__xludf.DUMMYFUNCTION("""COMPUTED_VALUE"""),"aliavaruus")</f>
        <v>aliavaruus</v>
      </c>
      <c r="D949" s="5"/>
      <c r="E949" s="5"/>
      <c r="F949" s="11"/>
      <c r="G949" s="11"/>
    </row>
    <row r="950">
      <c r="A950" s="2" t="str">
        <f>IFERROR(__xludf.DUMMYFUNCTION("""COMPUTED_VALUE"""),"undersumma")</f>
        <v>undersumma</v>
      </c>
      <c r="B950" s="2" t="str">
        <f>IFERROR(__xludf.DUMMYFUNCTION("""COMPUTED_VALUE"""),"lower sum")</f>
        <v>lower sum</v>
      </c>
      <c r="C950" s="2" t="str">
        <f>IFERROR(__xludf.DUMMYFUNCTION("""COMPUTED_VALUE"""),"alasumma")</f>
        <v>alasumma</v>
      </c>
      <c r="D950" s="5"/>
      <c r="E950" s="5"/>
      <c r="F950" s="11"/>
      <c r="G950" s="11"/>
    </row>
    <row r="951">
      <c r="A951" s="2" t="str">
        <f>IFERROR(__xludf.DUMMYFUNCTION("""COMPUTED_VALUE"""),"undersökning")</f>
        <v>undersökning</v>
      </c>
      <c r="B951" s="2" t="str">
        <f>IFERROR(__xludf.DUMMYFUNCTION("""COMPUTED_VALUE"""),"survey")</f>
        <v>survey</v>
      </c>
      <c r="C951" s="2" t="str">
        <f>IFERROR(__xludf.DUMMYFUNCTION("""COMPUTED_VALUE"""),"tutkimus")</f>
        <v>tutkimus</v>
      </c>
      <c r="D951" s="5"/>
      <c r="E951" s="5"/>
      <c r="F951" s="11"/>
      <c r="G951" s="11"/>
    </row>
    <row r="952">
      <c r="A952" s="2" t="str">
        <f>IFERROR(__xludf.DUMMYFUNCTION("""COMPUTED_VALUE"""),"undertriangulär matris")</f>
        <v>undertriangulär matris</v>
      </c>
      <c r="B952" s="2" t="str">
        <f>IFERROR(__xludf.DUMMYFUNCTION("""COMPUTED_VALUE"""),"lower triangular matrix")</f>
        <v>lower triangular matrix</v>
      </c>
      <c r="C952" s="2" t="str">
        <f>IFERROR(__xludf.DUMMYFUNCTION("""COMPUTED_VALUE"""),"alakolmiomatriisi")</f>
        <v>alakolmiomatriisi</v>
      </c>
      <c r="D952" s="5"/>
      <c r="E952" s="5"/>
      <c r="F952" s="11"/>
      <c r="G952" s="11"/>
    </row>
    <row r="953">
      <c r="A953" s="2" t="str">
        <f>IFERROR(__xludf.DUMMYFUNCTION("""COMPUTED_VALUE"""),"uniformighet")</f>
        <v>uniformighet</v>
      </c>
      <c r="B953" s="2" t="str">
        <f>IFERROR(__xludf.DUMMYFUNCTION("""COMPUTED_VALUE"""),"uniformity")</f>
        <v>uniformity</v>
      </c>
      <c r="C953" s="2" t="str">
        <f>IFERROR(__xludf.DUMMYFUNCTION("""COMPUTED_VALUE"""),"uniformiteetti")</f>
        <v>uniformiteetti</v>
      </c>
      <c r="D953" s="5"/>
      <c r="E953" s="5"/>
      <c r="F953" s="11"/>
      <c r="G953" s="11"/>
    </row>
    <row r="954">
      <c r="A954" s="2" t="str">
        <f>IFERROR(__xludf.DUMMYFUNCTION("""COMPUTED_VALUE"""),"union")</f>
        <v>union</v>
      </c>
      <c r="B954" s="2" t="str">
        <f>IFERROR(__xludf.DUMMYFUNCTION("""COMPUTED_VALUE"""),"union")</f>
        <v>union</v>
      </c>
      <c r="C954" s="2" t="str">
        <f>IFERROR(__xludf.DUMMYFUNCTION("""COMPUTED_VALUE"""),"yhdiste")</f>
        <v>yhdiste</v>
      </c>
      <c r="D954" s="5"/>
      <c r="E954" s="5"/>
      <c r="F954" s="11"/>
      <c r="G954" s="11"/>
    </row>
    <row r="955">
      <c r="A955" s="2" t="str">
        <f>IFERROR(__xludf.DUMMYFUNCTION("""COMPUTED_VALUE"""),"unitär")</f>
        <v>unitär</v>
      </c>
      <c r="B955" s="2" t="str">
        <f>IFERROR(__xludf.DUMMYFUNCTION("""COMPUTED_VALUE"""),"unitary")</f>
        <v>unitary</v>
      </c>
      <c r="C955" s="2" t="str">
        <f>IFERROR(__xludf.DUMMYFUNCTION("""COMPUTED_VALUE"""),"unitaarinen")</f>
        <v>unitaarinen</v>
      </c>
      <c r="D955" s="5"/>
      <c r="E955" s="5"/>
      <c r="F955" s="11"/>
      <c r="G955" s="11"/>
    </row>
    <row r="956">
      <c r="A956" s="2" t="str">
        <f>IFERROR(__xludf.DUMMYFUNCTION("""COMPUTED_VALUE"""),"uppdelning, sönderläggning")</f>
        <v>uppdelning, sönderläggning</v>
      </c>
      <c r="B956" s="2" t="str">
        <f>IFERROR(__xludf.DUMMYFUNCTION("""COMPUTED_VALUE"""),"decomposition")</f>
        <v>decomposition</v>
      </c>
      <c r="C956" s="2" t="str">
        <f>IFERROR(__xludf.DUMMYFUNCTION("""COMPUTED_VALUE"""),"ositus")</f>
        <v>ositus</v>
      </c>
      <c r="D956" s="5"/>
      <c r="E956" s="5"/>
      <c r="F956" s="11"/>
      <c r="G956" s="11"/>
    </row>
    <row r="957">
      <c r="A957" s="2" t="str">
        <f>IFERROR(__xludf.DUMMYFUNCTION("""COMPUTED_VALUE"""),"uppgift")</f>
        <v>uppgift</v>
      </c>
      <c r="B957" s="2" t="str">
        <f>IFERROR(__xludf.DUMMYFUNCTION("""COMPUTED_VALUE"""),"exercise")</f>
        <v>exercise</v>
      </c>
      <c r="C957" s="2" t="str">
        <f>IFERROR(__xludf.DUMMYFUNCTION("""COMPUTED_VALUE"""),"tehtävä")</f>
        <v>tehtävä</v>
      </c>
      <c r="D957" s="5"/>
      <c r="E957" s="5"/>
      <c r="F957" s="11"/>
      <c r="G957" s="11"/>
    </row>
    <row r="958">
      <c r="A958" s="2" t="str">
        <f>IFERROR(__xludf.DUMMYFUNCTION("""COMPUTED_VALUE"""),"uppräknelig")</f>
        <v>uppräknelig</v>
      </c>
      <c r="B958" s="2" t="str">
        <f>IFERROR(__xludf.DUMMYFUNCTION("""COMPUTED_VALUE"""),"countable, enumerable, denumerable")</f>
        <v>countable, enumerable, denumerable</v>
      </c>
      <c r="C958" s="2" t="str">
        <f>IFERROR(__xludf.DUMMYFUNCTION("""COMPUTED_VALUE"""),"numeroituva (1. -sti ääretön 2. enintään numeroituva)")</f>
        <v>numeroituva (1. -sti ääretön 2. enintään numeroituva)</v>
      </c>
      <c r="D958" s="5"/>
      <c r="E958" s="5"/>
      <c r="F958" s="11"/>
      <c r="G958" s="11"/>
    </row>
    <row r="959">
      <c r="A959" s="2" t="str">
        <f>IFERROR(__xludf.DUMMYFUNCTION("""COMPUTED_VALUE"""),"uppräknelig")</f>
        <v>uppräknelig</v>
      </c>
      <c r="B959" s="2" t="str">
        <f>IFERROR(__xludf.DUMMYFUNCTION("""COMPUTED_VALUE"""),"denumerable, countable, enumerable")</f>
        <v>denumerable, countable, enumerable</v>
      </c>
      <c r="C959" s="2" t="str">
        <f>IFERROR(__xludf.DUMMYFUNCTION("""COMPUTED_VALUE"""),"numeroituva (1. -sti ääretön 2. enintään numeroituva)")</f>
        <v>numeroituva (1. -sti ääretön 2. enintään numeroituva)</v>
      </c>
      <c r="D959" s="5"/>
      <c r="E959" s="5"/>
      <c r="F959" s="11"/>
      <c r="G959" s="11"/>
    </row>
    <row r="960">
      <c r="A960" s="2" t="str">
        <f>IFERROR(__xludf.DUMMYFUNCTION("""COMPUTED_VALUE"""),"uppräknelig")</f>
        <v>uppräknelig</v>
      </c>
      <c r="B960" s="2" t="str">
        <f>IFERROR(__xludf.DUMMYFUNCTION("""COMPUTED_VALUE"""),"enumerable, countable, denumerable")</f>
        <v>enumerable, countable, denumerable</v>
      </c>
      <c r="C960" s="2" t="str">
        <f>IFERROR(__xludf.DUMMYFUNCTION("""COMPUTED_VALUE"""),"numeroituva (1. -sti ääretön 2. enintään numeroituva)")</f>
        <v>numeroituva (1. -sti ääretön 2. enintään numeroituva)</v>
      </c>
      <c r="D960" s="5"/>
      <c r="E960" s="5"/>
      <c r="F960" s="11"/>
      <c r="G960" s="11"/>
    </row>
    <row r="961">
      <c r="A961" s="2" t="str">
        <f>IFERROR(__xludf.DUMMYFUNCTION("""COMPUTED_VALUE"""),"urbild")</f>
        <v>urbild</v>
      </c>
      <c r="B961" s="2" t="str">
        <f>IFERROR(__xludf.DUMMYFUNCTION("""COMPUTED_VALUE"""),"preimage")</f>
        <v>preimage</v>
      </c>
      <c r="C961" s="2" t="str">
        <f>IFERROR(__xludf.DUMMYFUNCTION("""COMPUTED_VALUE"""),"alkukuva")</f>
        <v>alkukuva</v>
      </c>
      <c r="D961" s="5"/>
      <c r="E961" s="5"/>
      <c r="F961" s="11"/>
      <c r="G961" s="11"/>
    </row>
    <row r="962">
      <c r="A962" s="2" t="str">
        <f>IFERROR(__xludf.DUMMYFUNCTION("""COMPUTED_VALUE"""),"utjämning")</f>
        <v>utjämning</v>
      </c>
      <c r="B962" s="2" t="str">
        <f>IFERROR(__xludf.DUMMYFUNCTION("""COMPUTED_VALUE"""),"smoothing")</f>
        <v>smoothing</v>
      </c>
      <c r="C962" s="2" t="str">
        <f>IFERROR(__xludf.DUMMYFUNCTION("""COMPUTED_VALUE"""),"silotus, tasoitus")</f>
        <v>silotus, tasoitus</v>
      </c>
      <c r="D962" s="5"/>
      <c r="E962" s="5"/>
      <c r="F962" s="11"/>
      <c r="G962" s="11"/>
    </row>
    <row r="963">
      <c r="A963" s="2" t="str">
        <f>IFERROR(__xludf.DUMMYFUNCTION("""COMPUTED_VALUE"""),"uträtbar")</f>
        <v>uträtbar</v>
      </c>
      <c r="B963" s="2" t="str">
        <f>IFERROR(__xludf.DUMMYFUNCTION("""COMPUTED_VALUE"""),"rectifiable")</f>
        <v>rectifiable</v>
      </c>
      <c r="C963" s="2" t="str">
        <f>IFERROR(__xludf.DUMMYFUNCTION("""COMPUTED_VALUE"""),"suoristuva")</f>
        <v>suoristuva</v>
      </c>
      <c r="D963" s="5"/>
      <c r="E963" s="5"/>
      <c r="F963" s="11"/>
      <c r="G963" s="11"/>
    </row>
    <row r="964">
      <c r="A964" s="2" t="str">
        <f>IFERROR(__xludf.DUMMYFUNCTION("""COMPUTED_VALUE"""),"uttryck")</f>
        <v>uttryck</v>
      </c>
      <c r="B964" s="2" t="str">
        <f>IFERROR(__xludf.DUMMYFUNCTION("""COMPUTED_VALUE"""),"expression")</f>
        <v>expression</v>
      </c>
      <c r="C964" s="2" t="str">
        <f>IFERROR(__xludf.DUMMYFUNCTION("""COMPUTED_VALUE"""),"lauseke")</f>
        <v>lauseke</v>
      </c>
      <c r="D964" s="5"/>
      <c r="E964" s="5"/>
      <c r="F964" s="11"/>
      <c r="G964" s="11"/>
    </row>
    <row r="965">
      <c r="A965" s="2" t="str">
        <f>IFERROR(__xludf.DUMMYFUNCTION("""COMPUTED_VALUE"""),"uttömmande")</f>
        <v>uttömmande</v>
      </c>
      <c r="B965" s="2" t="str">
        <f>IFERROR(__xludf.DUMMYFUNCTION("""COMPUTED_VALUE"""),"exhaustion")</f>
        <v>exhaustion</v>
      </c>
      <c r="C965" s="2" t="str">
        <f>IFERROR(__xludf.DUMMYFUNCTION("""COMPUTED_VALUE"""),"tyhjennys")</f>
        <v>tyhjennys</v>
      </c>
      <c r="D965" s="5"/>
      <c r="E965" s="5"/>
      <c r="F965" s="11"/>
      <c r="G965" s="11"/>
    </row>
    <row r="966">
      <c r="A966" s="2" t="str">
        <f>IFERROR(__xludf.DUMMYFUNCTION("""COMPUTED_VALUE"""),"utveckla, expandera")</f>
        <v>utveckla, expandera</v>
      </c>
      <c r="B966" s="2" t="str">
        <f>IFERROR(__xludf.DUMMYFUNCTION("""COMPUTED_VALUE"""),"expand")</f>
        <v>expand</v>
      </c>
      <c r="C966" s="2" t="str">
        <f>IFERROR(__xludf.DUMMYFUNCTION("""COMPUTED_VALUE"""),"laajentaa, laventaa; kehittää (esim. kehittää funktio sarjaksi)")</f>
        <v>laajentaa, laventaa; kehittää (esim. kehittää funktio sarjaksi)</v>
      </c>
      <c r="D966" s="5"/>
      <c r="E966" s="5"/>
      <c r="F966" s="11"/>
      <c r="G966" s="11"/>
    </row>
    <row r="967">
      <c r="A967" s="2" t="str">
        <f>IFERROR(__xludf.DUMMYFUNCTION("""COMPUTED_VALUE"""),"utvidgad")</f>
        <v>utvidgad</v>
      </c>
      <c r="B967" s="2" t="str">
        <f>IFERROR(__xludf.DUMMYFUNCTION("""COMPUTED_VALUE"""),"extended")</f>
        <v>extended</v>
      </c>
      <c r="C967" s="2" t="str">
        <f>IFERROR(__xludf.DUMMYFUNCTION("""COMPUTED_VALUE"""),"laajennettu")</f>
        <v>laajennettu</v>
      </c>
      <c r="D967" s="5"/>
      <c r="E967" s="5"/>
      <c r="F967" s="11"/>
      <c r="G967" s="11"/>
    </row>
    <row r="968">
      <c r="A968" s="2" t="str">
        <f>IFERROR(__xludf.DUMMYFUNCTION("""COMPUTED_VALUE"""),"utvidgning")</f>
        <v>utvidgning</v>
      </c>
      <c r="B968" s="2" t="str">
        <f>IFERROR(__xludf.DUMMYFUNCTION("""COMPUTED_VALUE"""),"extension")</f>
        <v>extension</v>
      </c>
      <c r="C968" s="2" t="str">
        <f>IFERROR(__xludf.DUMMYFUNCTION("""COMPUTED_VALUE"""),"jatke, laajennus")</f>
        <v>jatke, laajennus</v>
      </c>
      <c r="D968" s="5"/>
      <c r="E968" s="5"/>
      <c r="F968" s="11"/>
      <c r="G968" s="11"/>
    </row>
    <row r="969">
      <c r="A969" s="2" t="str">
        <f>IFERROR(__xludf.DUMMYFUNCTION("""COMPUTED_VALUE"""),"vanlig differentialekvation")</f>
        <v>vanlig differentialekvation</v>
      </c>
      <c r="B969" s="2" t="str">
        <f>IFERROR(__xludf.DUMMYFUNCTION("""COMPUTED_VALUE"""),"ODE")</f>
        <v>ODE</v>
      </c>
      <c r="C969" s="2" t="str">
        <f>IFERROR(__xludf.DUMMYFUNCTION("""COMPUTED_VALUE"""),"TaDY")</f>
        <v>TaDY</v>
      </c>
      <c r="D969" s="5"/>
      <c r="E969" s="5"/>
      <c r="F969" s="11"/>
      <c r="G969" s="11"/>
    </row>
    <row r="970">
      <c r="A970" s="2" t="str">
        <f>IFERROR(__xludf.DUMMYFUNCTION("""COMPUTED_VALUE"""),"variabel")</f>
        <v>variabel</v>
      </c>
      <c r="B970" s="2" t="str">
        <f>IFERROR(__xludf.DUMMYFUNCTION("""COMPUTED_VALUE"""),"variable")</f>
        <v>variable</v>
      </c>
      <c r="C970" s="2" t="str">
        <f>IFERROR(__xludf.DUMMYFUNCTION("""COMPUTED_VALUE"""),"muuttuja")</f>
        <v>muuttuja</v>
      </c>
      <c r="D970" s="5"/>
      <c r="E970" s="5"/>
      <c r="F970" s="11"/>
      <c r="G970" s="11"/>
    </row>
    <row r="971">
      <c r="A971" s="2" t="str">
        <f>IFERROR(__xludf.DUMMYFUNCTION("""COMPUTED_VALUE"""),"varians")</f>
        <v>varians</v>
      </c>
      <c r="B971" s="2" t="str">
        <f>IFERROR(__xludf.DUMMYFUNCTION("""COMPUTED_VALUE"""),"variance")</f>
        <v>variance</v>
      </c>
      <c r="C971" s="2" t="str">
        <f>IFERROR(__xludf.DUMMYFUNCTION("""COMPUTED_VALUE"""),"varianssi")</f>
        <v>varianssi</v>
      </c>
      <c r="D971" s="5"/>
      <c r="E971" s="5"/>
      <c r="F971" s="11"/>
      <c r="G971" s="11"/>
    </row>
    <row r="972">
      <c r="A972" s="2" t="str">
        <f>IFERROR(__xludf.DUMMYFUNCTION("""COMPUTED_VALUE"""),"variation av konstanter")</f>
        <v>variation av konstanter</v>
      </c>
      <c r="B972" s="2" t="str">
        <f>IFERROR(__xludf.DUMMYFUNCTION("""COMPUTED_VALUE"""),"variation of parameters")</f>
        <v>variation of parameters</v>
      </c>
      <c r="C972" s="2" t="str">
        <f>IFERROR(__xludf.DUMMYFUNCTION("""COMPUTED_VALUE"""),"vakioiden variointi")</f>
        <v>vakioiden variointi</v>
      </c>
      <c r="D972" s="5"/>
      <c r="E972" s="5"/>
      <c r="F972" s="11"/>
      <c r="G972" s="11"/>
    </row>
    <row r="973">
      <c r="A973" s="2" t="str">
        <f>IFERROR(__xludf.DUMMYFUNCTION("""COMPUTED_VALUE"""),"varvtal")</f>
        <v>varvtal</v>
      </c>
      <c r="B973" s="2" t="str">
        <f>IFERROR(__xludf.DUMMYFUNCTION("""COMPUTED_VALUE"""),"winding number")</f>
        <v>winding number</v>
      </c>
      <c r="C973" s="2" t="str">
        <f>IFERROR(__xludf.DUMMYFUNCTION("""COMPUTED_VALUE"""),"kierrosluku")</f>
        <v>kierrosluku</v>
      </c>
      <c r="D973" s="5"/>
      <c r="E973" s="5"/>
      <c r="F973" s="11"/>
      <c r="G973" s="11"/>
    </row>
    <row r="974">
      <c r="A974" s="2" t="str">
        <f>IFERROR(__xludf.DUMMYFUNCTION("""COMPUTED_VALUE"""),"vektor")</f>
        <v>vektor</v>
      </c>
      <c r="B974" s="2" t="str">
        <f>IFERROR(__xludf.DUMMYFUNCTION("""COMPUTED_VALUE"""),"vector")</f>
        <v>vector</v>
      </c>
      <c r="C974" s="2" t="str">
        <f>IFERROR(__xludf.DUMMYFUNCTION("""COMPUTED_VALUE"""),"vektori")</f>
        <v>vektori</v>
      </c>
      <c r="D974" s="5"/>
      <c r="E974" s="5"/>
      <c r="F974" s="11"/>
      <c r="G974" s="11"/>
    </row>
    <row r="975">
      <c r="A975" s="2" t="str">
        <f>IFERROR(__xludf.DUMMYFUNCTION("""COMPUTED_VALUE"""),"vektorfält")</f>
        <v>vektorfält</v>
      </c>
      <c r="B975" s="2" t="str">
        <f>IFERROR(__xludf.DUMMYFUNCTION("""COMPUTED_VALUE"""),"vector field")</f>
        <v>vector field</v>
      </c>
      <c r="C975" s="2" t="str">
        <f>IFERROR(__xludf.DUMMYFUNCTION("""COMPUTED_VALUE"""),"vektorikenttä")</f>
        <v>vektorikenttä</v>
      </c>
      <c r="D975" s="5"/>
      <c r="E975" s="5"/>
      <c r="F975" s="11"/>
      <c r="G975" s="11"/>
    </row>
    <row r="976">
      <c r="A976" s="2" t="str">
        <f>IFERROR(__xludf.DUMMYFUNCTION("""COMPUTED_VALUE"""),"vektorprojektion")</f>
        <v>vektorprojektion</v>
      </c>
      <c r="B976" s="2" t="str">
        <f>IFERROR(__xludf.DUMMYFUNCTION("""COMPUTED_VALUE"""),"vector projection")</f>
        <v>vector projection</v>
      </c>
      <c r="C976" s="2" t="str">
        <f>IFERROR(__xludf.DUMMYFUNCTION("""COMPUTED_VALUE"""),"vektoriprojektio")</f>
        <v>vektoriprojektio</v>
      </c>
      <c r="D976" s="5"/>
      <c r="E976" s="5"/>
      <c r="F976" s="11"/>
      <c r="G976" s="11"/>
    </row>
    <row r="977">
      <c r="A977" s="2" t="str">
        <f>IFERROR(__xludf.DUMMYFUNCTION("""COMPUTED_VALUE"""),"vektorrum")</f>
        <v>vektorrum</v>
      </c>
      <c r="B977" s="2" t="str">
        <f>IFERROR(__xludf.DUMMYFUNCTION("""COMPUTED_VALUE"""),"vector space, linear space")</f>
        <v>vector space, linear space</v>
      </c>
      <c r="C977" s="2" t="str">
        <f>IFERROR(__xludf.DUMMYFUNCTION("""COMPUTED_VALUE"""),"vektoriavaruus, lineaariavaruus")</f>
        <v>vektoriavaruus, lineaariavaruus</v>
      </c>
      <c r="D977" s="5"/>
      <c r="E977" s="5"/>
      <c r="F977" s="11"/>
      <c r="G977" s="11"/>
    </row>
    <row r="978">
      <c r="A978" s="2" t="str">
        <f>IFERROR(__xludf.DUMMYFUNCTION("""COMPUTED_VALUE"""),"vikt")</f>
        <v>vikt</v>
      </c>
      <c r="B978" s="2" t="str">
        <f>IFERROR(__xludf.DUMMYFUNCTION("""COMPUTED_VALUE"""),"weighting coefficient")</f>
        <v>weighting coefficient</v>
      </c>
      <c r="C978" s="2" t="str">
        <f>IFERROR(__xludf.DUMMYFUNCTION("""COMPUTED_VALUE"""),"paino")</f>
        <v>paino</v>
      </c>
      <c r="D978" s="5"/>
      <c r="E978" s="5"/>
      <c r="F978" s="11"/>
      <c r="G978" s="11"/>
    </row>
    <row r="979">
      <c r="A979" s="2" t="str">
        <f>IFERROR(__xludf.DUMMYFUNCTION("""COMPUTED_VALUE"""),"vinkel")</f>
        <v>vinkel</v>
      </c>
      <c r="B979" s="2" t="str">
        <f>IFERROR(__xludf.DUMMYFUNCTION("""COMPUTED_VALUE"""),"angle")</f>
        <v>angle</v>
      </c>
      <c r="C979" s="2" t="str">
        <f>IFERROR(__xludf.DUMMYFUNCTION("""COMPUTED_VALUE"""),"kulma")</f>
        <v>kulma</v>
      </c>
      <c r="D979" s="5"/>
      <c r="E979" s="5"/>
      <c r="F979" s="11"/>
      <c r="G979" s="11"/>
    </row>
    <row r="980">
      <c r="A980" s="2" t="str">
        <f>IFERROR(__xludf.DUMMYFUNCTION("""COMPUTED_VALUE"""),"vinkelhastighet")</f>
        <v>vinkelhastighet</v>
      </c>
      <c r="B980" s="2" t="str">
        <f>IFERROR(__xludf.DUMMYFUNCTION("""COMPUTED_VALUE"""),"angular velocity")</f>
        <v>angular velocity</v>
      </c>
      <c r="C980" s="2" t="str">
        <f>IFERROR(__xludf.DUMMYFUNCTION("""COMPUTED_VALUE"""),"kulmanopeus")</f>
        <v>kulmanopeus</v>
      </c>
      <c r="D980" s="5"/>
      <c r="E980" s="5"/>
      <c r="F980" s="11"/>
      <c r="G980" s="11"/>
    </row>
    <row r="981">
      <c r="A981" s="2" t="str">
        <f>IFERROR(__xludf.DUMMYFUNCTION("""COMPUTED_VALUE"""),"vinkelhastighet")</f>
        <v>vinkelhastighet</v>
      </c>
      <c r="B981" s="2" t="str">
        <f>IFERROR(__xludf.DUMMYFUNCTION("""COMPUTED_VALUE"""),"circular frequency")</f>
        <v>circular frequency</v>
      </c>
      <c r="C981" s="2" t="str">
        <f>IFERROR(__xludf.DUMMYFUNCTION("""COMPUTED_VALUE"""),"kulmanopeus, kulmataajuus")</f>
        <v>kulmanopeus, kulmataajuus</v>
      </c>
      <c r="D981" s="5"/>
      <c r="E981" s="5"/>
      <c r="F981" s="11"/>
      <c r="G981" s="11"/>
    </row>
    <row r="982">
      <c r="A982" s="2" t="str">
        <f>IFERROR(__xludf.DUMMYFUNCTION("""COMPUTED_VALUE"""),"vinkelrät")</f>
        <v>vinkelrät</v>
      </c>
      <c r="B982" s="2" t="str">
        <f>IFERROR(__xludf.DUMMYFUNCTION("""COMPUTED_VALUE"""),"perpendicular")</f>
        <v>perpendicular</v>
      </c>
      <c r="C982" s="2" t="str">
        <f>IFERROR(__xludf.DUMMYFUNCTION("""COMPUTED_VALUE"""),"kohtisuora")</f>
        <v>kohtisuora</v>
      </c>
      <c r="D982" s="5"/>
      <c r="E982" s="5"/>
      <c r="F982" s="11"/>
      <c r="G982" s="11"/>
    </row>
    <row r="983">
      <c r="A983" s="2" t="str">
        <f>IFERROR(__xludf.DUMMYFUNCTION("""COMPUTED_VALUE"""),"vinkelrät, ortogonal")</f>
        <v>vinkelrät, ortogonal</v>
      </c>
      <c r="B983" s="2" t="str">
        <f>IFERROR(__xludf.DUMMYFUNCTION("""COMPUTED_VALUE"""),"orthogonal")</f>
        <v>orthogonal</v>
      </c>
      <c r="C983" s="2" t="str">
        <f>IFERROR(__xludf.DUMMYFUNCTION("""COMPUTED_VALUE"""),"kohtisuora, ortogonaalinen")</f>
        <v>kohtisuora, ortogonaalinen</v>
      </c>
      <c r="D983" s="5"/>
      <c r="E983" s="5"/>
      <c r="F983" s="11"/>
      <c r="G983" s="11"/>
    </row>
    <row r="984">
      <c r="A984" s="2" t="str">
        <f>IFERROR(__xludf.DUMMYFUNCTION("""COMPUTED_VALUE"""),"virvelfri")</f>
        <v>virvelfri</v>
      </c>
      <c r="B984" s="2" t="str">
        <f>IFERROR(__xludf.DUMMYFUNCTION("""COMPUTED_VALUE"""),"irrotational")</f>
        <v>irrotational</v>
      </c>
      <c r="C984" s="2" t="str">
        <f>IFERROR(__xludf.DUMMYFUNCTION("""COMPUTED_VALUE"""),"pyörteetön (curl f eli nabla risti f on 0)")</f>
        <v>pyörteetön (curl f eli nabla risti f on 0)</v>
      </c>
      <c r="D984" s="5"/>
      <c r="E984" s="5"/>
      <c r="F984" s="11"/>
      <c r="G984" s="11"/>
    </row>
    <row r="985">
      <c r="A985" s="2" t="str">
        <f>IFERROR(__xludf.DUMMYFUNCTION("""COMPUTED_VALUE"""),"visa")</f>
        <v>visa</v>
      </c>
      <c r="B985" s="2" t="str">
        <f>IFERROR(__xludf.DUMMYFUNCTION("""COMPUTED_VALUE"""),"show")</f>
        <v>show</v>
      </c>
      <c r="C985" s="2" t="str">
        <f>IFERROR(__xludf.DUMMYFUNCTION("""COMPUTED_VALUE"""),"näyttää")</f>
        <v>näyttää</v>
      </c>
      <c r="D985" s="5"/>
      <c r="E985" s="5"/>
      <c r="F985" s="11"/>
      <c r="G985" s="11"/>
    </row>
    <row r="986">
      <c r="A986" s="2" t="str">
        <f>IFERROR(__xludf.DUMMYFUNCTION("""COMPUTED_VALUE"""),"volym")</f>
        <v>volym</v>
      </c>
      <c r="B986" s="2" t="str">
        <f>IFERROR(__xludf.DUMMYFUNCTION("""COMPUTED_VALUE"""),"volume")</f>
        <v>volume</v>
      </c>
      <c r="C986" s="2" t="str">
        <f>IFERROR(__xludf.DUMMYFUNCTION("""COMPUTED_VALUE"""),"tilavuus")</f>
        <v>tilavuus</v>
      </c>
      <c r="D986" s="5"/>
      <c r="E986" s="5"/>
      <c r="F986" s="11"/>
      <c r="G986" s="11"/>
    </row>
    <row r="987">
      <c r="A987" s="2" t="str">
        <f>IFERROR(__xludf.DUMMYFUNCTION("""COMPUTED_VALUE"""),"volymelement")</f>
        <v>volymelement</v>
      </c>
      <c r="B987" s="2" t="str">
        <f>IFERROR(__xludf.DUMMYFUNCTION("""COMPUTED_VALUE"""),"volume element")</f>
        <v>volume element</v>
      </c>
      <c r="C987" s="2" t="str">
        <f>IFERROR(__xludf.DUMMYFUNCTION("""COMPUTED_VALUE"""),"tilavuusalkio")</f>
        <v>tilavuusalkio</v>
      </c>
      <c r="D987" s="5"/>
      <c r="E987" s="5"/>
      <c r="F987" s="11"/>
      <c r="G987" s="11"/>
    </row>
    <row r="988">
      <c r="A988" s="2" t="str">
        <f>IFERROR(__xludf.DUMMYFUNCTION("""COMPUTED_VALUE"""),"vågrät vektor")</f>
        <v>vågrät vektor</v>
      </c>
      <c r="B988" s="2" t="str">
        <f>IFERROR(__xludf.DUMMYFUNCTION("""COMPUTED_VALUE"""),"column")</f>
        <v>column</v>
      </c>
      <c r="C988" s="2" t="str">
        <f>IFERROR(__xludf.DUMMYFUNCTION("""COMPUTED_VALUE"""),"sarake, pystyrivi")</f>
        <v>sarake, pystyrivi</v>
      </c>
      <c r="D988" s="5"/>
      <c r="E988" s="5"/>
      <c r="F988" s="11"/>
      <c r="G988" s="11"/>
    </row>
    <row r="989">
      <c r="A989" s="2" t="str">
        <f>IFERROR(__xludf.DUMMYFUNCTION("""COMPUTED_VALUE"""),"vågrät vektor")</f>
        <v>vågrät vektor</v>
      </c>
      <c r="B989" s="2" t="str">
        <f>IFERROR(__xludf.DUMMYFUNCTION("""COMPUTED_VALUE"""),"row vector")</f>
        <v>row vector</v>
      </c>
      <c r="C989" s="2" t="str">
        <f>IFERROR(__xludf.DUMMYFUNCTION("""COMPUTED_VALUE"""),"vaakavektori")</f>
        <v>vaakavektori</v>
      </c>
      <c r="D989" s="5"/>
      <c r="E989" s="5"/>
      <c r="F989" s="11"/>
      <c r="G989" s="11"/>
    </row>
    <row r="990">
      <c r="A990" s="2" t="str">
        <f>IFERROR(__xludf.DUMMYFUNCTION("""COMPUTED_VALUE"""),"vägt")</f>
        <v>vägt</v>
      </c>
      <c r="B990" s="2" t="str">
        <f>IFERROR(__xludf.DUMMYFUNCTION("""COMPUTED_VALUE"""),"weighted")</f>
        <v>weighted</v>
      </c>
      <c r="C990" s="2" t="str">
        <f>IFERROR(__xludf.DUMMYFUNCTION("""COMPUTED_VALUE"""),"painotettu")</f>
        <v>painotettu</v>
      </c>
      <c r="D990" s="5"/>
      <c r="E990" s="5"/>
      <c r="F990" s="11"/>
      <c r="G990" s="11"/>
    </row>
    <row r="991">
      <c r="A991" s="2" t="str">
        <f>IFERROR(__xludf.DUMMYFUNCTION("""COMPUTED_VALUE"""),"välordnad")</f>
        <v>välordnad</v>
      </c>
      <c r="B991" s="2" t="str">
        <f>IFERROR(__xludf.DUMMYFUNCTION("""COMPUTED_VALUE"""),"well-ordering")</f>
        <v>well-ordering</v>
      </c>
      <c r="C991" s="2" t="str">
        <f>IFERROR(__xludf.DUMMYFUNCTION("""COMPUTED_VALUE"""),"hyvä järjestys")</f>
        <v>hyvä järjestys</v>
      </c>
      <c r="D991" s="5"/>
      <c r="E991" s="5"/>
      <c r="F991" s="11"/>
      <c r="G991" s="11"/>
    </row>
    <row r="992">
      <c r="A992" s="2" t="str">
        <f>IFERROR(__xludf.DUMMYFUNCTION("""COMPUTED_VALUE"""),"vänster gränsvärde")</f>
        <v>vänster gränsvärde</v>
      </c>
      <c r="B992" s="2" t="str">
        <f>IFERROR(__xludf.DUMMYFUNCTION("""COMPUTED_VALUE"""),"left-hand limit, left limit")</f>
        <v>left-hand limit, left limit</v>
      </c>
      <c r="C992" s="2" t="str">
        <f>IFERROR(__xludf.DUMMYFUNCTION("""COMPUTED_VALUE"""),"vasemmanpuoleinen raja-arvo")</f>
        <v>vasemmanpuoleinen raja-arvo</v>
      </c>
      <c r="D992" s="5"/>
      <c r="E992" s="5"/>
      <c r="F992" s="11"/>
      <c r="G992" s="11"/>
    </row>
    <row r="993">
      <c r="A993" s="2" t="str">
        <f>IFERROR(__xludf.DUMMYFUNCTION("""COMPUTED_VALUE"""),"vänster invers")</f>
        <v>vänster invers</v>
      </c>
      <c r="B993" s="2" t="str">
        <f>IFERROR(__xludf.DUMMYFUNCTION("""COMPUTED_VALUE"""),"left inverse (matrix)")</f>
        <v>left inverse (matrix)</v>
      </c>
      <c r="C993" s="2" t="str">
        <f>IFERROR(__xludf.DUMMYFUNCTION("""COMPUTED_VALUE"""),"vasemmanpuoleinen käänteismatriisi")</f>
        <v>vasemmanpuoleinen käänteismatriisi</v>
      </c>
      <c r="D993" s="5"/>
      <c r="E993" s="5"/>
      <c r="F993" s="11"/>
      <c r="G993" s="11"/>
    </row>
    <row r="994">
      <c r="A994" s="2" t="str">
        <f>IFERROR(__xludf.DUMMYFUNCTION("""COMPUTED_VALUE"""),"vänster kärna")</f>
        <v>vänster kärna</v>
      </c>
      <c r="B994" s="2" t="str">
        <f>IFERROR(__xludf.DUMMYFUNCTION("""COMPUTED_VALUE"""),"left null space")</f>
        <v>left null space</v>
      </c>
      <c r="C994" s="2" t="str">
        <f>IFERROR(__xludf.DUMMYFUNCTION("""COMPUTED_VALUE"""),"vasen ydin")</f>
        <v>vasen ydin</v>
      </c>
      <c r="D994" s="5"/>
      <c r="E994" s="5"/>
      <c r="F994" s="11"/>
      <c r="G994" s="11"/>
    </row>
    <row r="995">
      <c r="A995" s="2" t="str">
        <f>IFERROR(__xludf.DUMMYFUNCTION("""COMPUTED_VALUE"""),"vänster-derivata")</f>
        <v>vänster-derivata</v>
      </c>
      <c r="B995" s="2" t="str">
        <f>IFERROR(__xludf.DUMMYFUNCTION("""COMPUTED_VALUE"""),"left derivative")</f>
        <v>left derivative</v>
      </c>
      <c r="C995" s="2" t="str">
        <f>IFERROR(__xludf.DUMMYFUNCTION("""COMPUTED_VALUE"""),"vasemmanpuoleinen derivaatta, derivaatta vasemmalta")</f>
        <v>vasemmanpuoleinen derivaatta, derivaatta vasemmalta</v>
      </c>
      <c r="D995" s="5"/>
      <c r="E995" s="5"/>
      <c r="F995" s="11"/>
      <c r="G995" s="11"/>
    </row>
    <row r="996">
      <c r="A996" s="2" t="str">
        <f>IFERROR(__xludf.DUMMYFUNCTION("""COMPUTED_VALUE"""),"väntevärde")</f>
        <v>väntevärde</v>
      </c>
      <c r="B996" s="2" t="str">
        <f>IFERROR(__xludf.DUMMYFUNCTION("""COMPUTED_VALUE"""),"expected value, expectation (value)")</f>
        <v>expected value, expectation (value)</v>
      </c>
      <c r="C996" s="2" t="str">
        <f>IFERROR(__xludf.DUMMYFUNCTION("""COMPUTED_VALUE"""),"odotusarvo")</f>
        <v>odotusarvo</v>
      </c>
      <c r="D996" s="5"/>
      <c r="E996" s="5"/>
      <c r="F996" s="11"/>
      <c r="G996" s="11"/>
    </row>
    <row r="997">
      <c r="A997" s="2" t="str">
        <f>IFERROR(__xludf.DUMMYFUNCTION("""COMPUTED_VALUE"""),"värde")</f>
        <v>värde</v>
      </c>
      <c r="B997" s="2" t="str">
        <f>IFERROR(__xludf.DUMMYFUNCTION("""COMPUTED_VALUE"""),"value")</f>
        <v>value</v>
      </c>
      <c r="C997" s="2" t="str">
        <f>IFERROR(__xludf.DUMMYFUNCTION("""COMPUTED_VALUE"""),"arvo")</f>
        <v>arvo</v>
      </c>
      <c r="D997" s="5"/>
      <c r="E997" s="5"/>
      <c r="F997" s="11"/>
      <c r="G997" s="11"/>
    </row>
    <row r="998">
      <c r="A998" s="2" t="str">
        <f>IFERROR(__xludf.DUMMYFUNCTION("""COMPUTED_VALUE"""),"väsentlig singularitet")</f>
        <v>väsentlig singularitet</v>
      </c>
      <c r="B998" s="2" t="str">
        <f>IFERROR(__xludf.DUMMYFUNCTION("""COMPUTED_VALUE"""),"essential singularity")</f>
        <v>essential singularity</v>
      </c>
      <c r="C998" s="2" t="str">
        <f>IFERROR(__xludf.DUMMYFUNCTION("""COMPUTED_VALUE"""),"olennainen erikoispiste")</f>
        <v>olennainen erikoispiste</v>
      </c>
      <c r="D998" s="5"/>
      <c r="E998" s="5"/>
      <c r="F998" s="11"/>
      <c r="G998" s="11"/>
    </row>
    <row r="999">
      <c r="A999" s="2" t="str">
        <f>IFERROR(__xludf.DUMMYFUNCTION("""COMPUTED_VALUE"""),"växande")</f>
        <v>växande</v>
      </c>
      <c r="B999" s="2" t="str">
        <f>IFERROR(__xludf.DUMMYFUNCTION("""COMPUTED_VALUE"""),"increasing")</f>
        <v>increasing</v>
      </c>
      <c r="C999" s="2" t="str">
        <f>IFERROR(__xludf.DUMMYFUNCTION("""COMPUTED_VALUE"""),"kasvava; aidosti kasvava")</f>
        <v>kasvava; aidosti kasvava</v>
      </c>
      <c r="D999" s="5"/>
      <c r="E999" s="5"/>
      <c r="F999" s="11"/>
      <c r="G999" s="11"/>
    </row>
    <row r="1000">
      <c r="A1000" s="2" t="str">
        <f>IFERROR(__xludf.DUMMYFUNCTION("""COMPUTED_VALUE"""),"växande")</f>
        <v>växande</v>
      </c>
      <c r="B1000" s="2" t="str">
        <f>IFERROR(__xludf.DUMMYFUNCTION("""COMPUTED_VALUE"""),"non-decreasing, increasing")</f>
        <v>non-decreasing, increasing</v>
      </c>
      <c r="C1000" s="2" t="str">
        <f>IFERROR(__xludf.DUMMYFUNCTION("""COMPUTED_VALUE"""),"kasvava")</f>
        <v>kasvava</v>
      </c>
      <c r="D1000" s="5"/>
      <c r="E1000" s="5"/>
      <c r="F1000" s="11"/>
      <c r="G1000" s="11"/>
    </row>
    <row r="1001">
      <c r="A1001" s="2" t="str">
        <f>IFERROR(__xludf.DUMMYFUNCTION("""COMPUTED_VALUE"""),"Wronskis determinant")</f>
        <v>Wronskis determinant</v>
      </c>
      <c r="B1001" s="2" t="str">
        <f>IFERROR(__xludf.DUMMYFUNCTION("""COMPUTED_VALUE"""),"Wronskian")</f>
        <v>Wronskian</v>
      </c>
      <c r="C1001" s="2" t="str">
        <f>IFERROR(__xludf.DUMMYFUNCTION("""COMPUTED_VALUE"""),"Wronskin determinantti")</f>
        <v>Wronskin determinantti</v>
      </c>
      <c r="D1001" s="5"/>
      <c r="E1001" s="5"/>
      <c r="F1001" s="11"/>
      <c r="G1001" s="11"/>
    </row>
    <row r="1002">
      <c r="A1002" s="2" t="str">
        <f>IFERROR(__xludf.DUMMYFUNCTION("""COMPUTED_VALUE"""),"xi")</f>
        <v>xi</v>
      </c>
      <c r="B1002" s="2" t="str">
        <f>IFERROR(__xludf.DUMMYFUNCTION("""COMPUTED_VALUE"""),"xi")</f>
        <v>xi</v>
      </c>
      <c r="C1002" s="2" t="str">
        <f>IFERROR(__xludf.DUMMYFUNCTION("""COMPUTED_VALUE"""),"ksii")</f>
        <v>ksii</v>
      </c>
      <c r="D1002" s="5"/>
      <c r="E1002" s="5"/>
      <c r="F1002" s="11"/>
      <c r="G1002" s="11"/>
    </row>
    <row r="1003">
      <c r="A1003" s="2" t="str">
        <f>IFERROR(__xludf.DUMMYFUNCTION("""COMPUTED_VALUE"""),"yta")</f>
        <v>yta</v>
      </c>
      <c r="B1003" s="2" t="str">
        <f>IFERROR(__xludf.DUMMYFUNCTION("""COMPUTED_VALUE"""),"surface")</f>
        <v>surface</v>
      </c>
      <c r="C1003" s="2" t="str">
        <f>IFERROR(__xludf.DUMMYFUNCTION("""COMPUTED_VALUE"""),"pinta")</f>
        <v>pinta</v>
      </c>
      <c r="D1003" s="5"/>
      <c r="E1003" s="5"/>
      <c r="F1003" s="11"/>
      <c r="G1003" s="11"/>
    </row>
    <row r="1004">
      <c r="A1004" s="2" t="str">
        <f>IFERROR(__xludf.DUMMYFUNCTION("""COMPUTED_VALUE"""),"yta, area")</f>
        <v>yta, area</v>
      </c>
      <c r="B1004" s="2" t="str">
        <f>IFERROR(__xludf.DUMMYFUNCTION("""COMPUTED_VALUE"""),"area")</f>
        <v>area</v>
      </c>
      <c r="C1004" s="2" t="str">
        <f>IFERROR(__xludf.DUMMYFUNCTION("""COMPUTED_VALUE"""),"pinta-ala, ala")</f>
        <v>pinta-ala, ala</v>
      </c>
      <c r="D1004" s="5"/>
      <c r="E1004" s="5"/>
      <c r="F1004" s="11"/>
      <c r="G1004" s="11"/>
    </row>
    <row r="1005">
      <c r="A1005" s="2" t="str">
        <f>IFERROR(__xludf.DUMMYFUNCTION("""COMPUTED_VALUE"""),"yttre mått")</f>
        <v>yttre mått</v>
      </c>
      <c r="B1005" s="2" t="str">
        <f>IFERROR(__xludf.DUMMYFUNCTION("""COMPUTED_VALUE"""),"outer measure")</f>
        <v>outer measure</v>
      </c>
      <c r="C1005" s="2" t="str">
        <f>IFERROR(__xludf.DUMMYFUNCTION("""COMPUTED_VALUE"""),"ulkomitta")</f>
        <v>ulkomitta</v>
      </c>
      <c r="D1005" s="5"/>
      <c r="E1005" s="5"/>
      <c r="F1005" s="11"/>
      <c r="G1005" s="11"/>
    </row>
    <row r="1006">
      <c r="A1006" s="2" t="str">
        <f>IFERROR(__xludf.DUMMYFUNCTION("""COMPUTED_VALUE"""),"yttre produkt")</f>
        <v>yttre produkt</v>
      </c>
      <c r="B1006" s="2" t="str">
        <f>IFERROR(__xludf.DUMMYFUNCTION("""COMPUTED_VALUE"""),"outer product")</f>
        <v>outer product</v>
      </c>
      <c r="C1006" s="2" t="str">
        <f>IFERROR(__xludf.DUMMYFUNCTION("""COMPUTED_VALUE"""),"ulkotulo")</f>
        <v>ulkotulo</v>
      </c>
      <c r="D1006" s="5"/>
      <c r="E1006" s="5"/>
      <c r="F1006" s="11"/>
      <c r="G1006" s="11"/>
    </row>
    <row r="1007">
      <c r="A1007" s="2" t="str">
        <f>IFERROR(__xludf.DUMMYFUNCTION("""COMPUTED_VALUE"""),"yttre punkt")</f>
        <v>yttre punkt</v>
      </c>
      <c r="B1007" s="2" t="str">
        <f>IFERROR(__xludf.DUMMYFUNCTION("""COMPUTED_VALUE"""),"exterior point")</f>
        <v>exterior point</v>
      </c>
      <c r="C1007" s="2" t="str">
        <f>IFERROR(__xludf.DUMMYFUNCTION("""COMPUTED_VALUE"""),"ulkopiste")</f>
        <v>ulkopiste</v>
      </c>
      <c r="D1007" s="5"/>
      <c r="E1007" s="5"/>
      <c r="F1007" s="11"/>
      <c r="G1007" s="11"/>
    </row>
    <row r="1008">
      <c r="A1008" s="2" t="str">
        <f>IFERROR(__xludf.DUMMYFUNCTION("""COMPUTED_VALUE"""),"äkta delmängd")</f>
        <v>äkta delmängd</v>
      </c>
      <c r="B1008" s="2" t="str">
        <f>IFERROR(__xludf.DUMMYFUNCTION("""COMPUTED_VALUE"""),"proper subset")</f>
        <v>proper subset</v>
      </c>
      <c r="C1008" s="2" t="str">
        <f>IFERROR(__xludf.DUMMYFUNCTION("""COMPUTED_VALUE"""),"aito osajoukko")</f>
        <v>aito osajoukko</v>
      </c>
      <c r="D1008" s="5"/>
      <c r="E1008" s="5"/>
      <c r="F1008" s="11"/>
      <c r="G1008" s="11"/>
    </row>
    <row r="1009">
      <c r="A1009" s="2" t="str">
        <f>IFERROR(__xludf.DUMMYFUNCTION("""COMPUTED_VALUE"""),"ändlig")</f>
        <v>ändlig</v>
      </c>
      <c r="B1009" s="2" t="str">
        <f>IFERROR(__xludf.DUMMYFUNCTION("""COMPUTED_VALUE"""),"finite")</f>
        <v>finite</v>
      </c>
      <c r="C1009" s="2" t="str">
        <f>IFERROR(__xludf.DUMMYFUNCTION("""COMPUTED_VALUE"""),"äärellinen")</f>
        <v>äärellinen</v>
      </c>
      <c r="D1009" s="5"/>
      <c r="E1009" s="5"/>
      <c r="F1009" s="11"/>
      <c r="G1009" s="11"/>
    </row>
    <row r="1010">
      <c r="A1010" s="2" t="str">
        <f>IFERROR(__xludf.DUMMYFUNCTION("""COMPUTED_VALUE"""),"ändlig")</f>
        <v>ändlig</v>
      </c>
      <c r="B1010" s="2" t="str">
        <f>IFERROR(__xludf.DUMMYFUNCTION("""COMPUTED_VALUE"""),"finitely-valued")</f>
        <v>finitely-valued</v>
      </c>
      <c r="C1010" s="2" t="str">
        <f>IFERROR(__xludf.DUMMYFUNCTION("""COMPUTED_VALUE"""),"äärellisarvoinen")</f>
        <v>äärellisarvoinen</v>
      </c>
      <c r="D1010" s="5"/>
      <c r="E1010" s="5"/>
      <c r="F1010" s="11"/>
      <c r="G1010" s="11"/>
    </row>
    <row r="1011">
      <c r="A1011" s="2" t="str">
        <f>IFERROR(__xludf.DUMMYFUNCTION("""COMPUTED_VALUE"""),"ändpunkt")</f>
        <v>ändpunkt</v>
      </c>
      <c r="B1011" s="2" t="str">
        <f>IFERROR(__xludf.DUMMYFUNCTION("""COMPUTED_VALUE"""),"endpoint")</f>
        <v>endpoint</v>
      </c>
      <c r="C1011" s="2" t="str">
        <f>IFERROR(__xludf.DUMMYFUNCTION("""COMPUTED_VALUE"""),"päätepiste")</f>
        <v>päätepiste</v>
      </c>
      <c r="D1011" s="5"/>
      <c r="E1011" s="5"/>
      <c r="F1011" s="11"/>
      <c r="G1011" s="11"/>
    </row>
    <row r="1012">
      <c r="A1012" s="2" t="str">
        <f>IFERROR(__xludf.DUMMYFUNCTION("""COMPUTED_VALUE"""),"ärftlig")</f>
        <v>ärftlig</v>
      </c>
      <c r="B1012" s="2" t="str">
        <f>IFERROR(__xludf.DUMMYFUNCTION("""COMPUTED_VALUE"""),"hereditary")</f>
        <v>hereditary</v>
      </c>
      <c r="C1012" s="2" t="str">
        <f>IFERROR(__xludf.DUMMYFUNCTION("""COMPUTED_VALUE"""),"perinnöllinen")</f>
        <v>perinnöllinen</v>
      </c>
      <c r="D1012" s="5"/>
      <c r="E1012" s="5"/>
      <c r="F1012" s="11"/>
      <c r="G1012" s="11"/>
    </row>
    <row r="1013">
      <c r="A1013" s="2" t="str">
        <f>IFERROR(__xludf.DUMMYFUNCTION("""COMPUTED_VALUE"""),"ögla")</f>
        <v>ögla</v>
      </c>
      <c r="B1013" s="2" t="str">
        <f>IFERROR(__xludf.DUMMYFUNCTION("""COMPUTED_VALUE"""),"loop")</f>
        <v>loop</v>
      </c>
      <c r="C1013" s="2" t="str">
        <f>IFERROR(__xludf.DUMMYFUNCTION("""COMPUTED_VALUE"""),"silmukka")</f>
        <v>silmukka</v>
      </c>
      <c r="D1013" s="5"/>
      <c r="E1013" s="5"/>
      <c r="F1013" s="11"/>
      <c r="G1013" s="11"/>
    </row>
    <row r="1014">
      <c r="A1014" s="2" t="str">
        <f>IFERROR(__xludf.DUMMYFUNCTION("""COMPUTED_VALUE"""),"öppen")</f>
        <v>öppen</v>
      </c>
      <c r="B1014" s="2" t="str">
        <f>IFERROR(__xludf.DUMMYFUNCTION("""COMPUTED_VALUE"""),"open")</f>
        <v>open</v>
      </c>
      <c r="C1014" s="2" t="str">
        <f>IFERROR(__xludf.DUMMYFUNCTION("""COMPUTED_VALUE"""),"avoin")</f>
        <v>avoin</v>
      </c>
      <c r="D1014" s="5"/>
      <c r="E1014" s="5"/>
      <c r="F1014" s="11"/>
      <c r="G1014" s="11"/>
    </row>
    <row r="1015">
      <c r="A1015" s="2" t="str">
        <f>IFERROR(__xludf.DUMMYFUNCTION("""COMPUTED_VALUE"""),"överrelaxationsmetoden")</f>
        <v>överrelaxationsmetoden</v>
      </c>
      <c r="B1015" s="2" t="str">
        <f>IFERROR(__xludf.DUMMYFUNCTION("""COMPUTED_VALUE"""),"successive overrelaxation")</f>
        <v>successive overrelaxation</v>
      </c>
      <c r="C1015" s="2" t="str">
        <f>IFERROR(__xludf.DUMMYFUNCTION("""COMPUTED_VALUE"""),"ylirelaksaatiomenetelmä")</f>
        <v>ylirelaksaatiomenetelmä</v>
      </c>
      <c r="D1015" s="5"/>
      <c r="E1015" s="5"/>
      <c r="F1015" s="11"/>
      <c r="G1015" s="11"/>
    </row>
    <row r="1016">
      <c r="A1016" s="2" t="str">
        <f>IFERROR(__xludf.DUMMYFUNCTION("""COMPUTED_VALUE"""),"övertriangulär matris")</f>
        <v>övertriangulär matris</v>
      </c>
      <c r="B1016" s="2" t="str">
        <f>IFERROR(__xludf.DUMMYFUNCTION("""COMPUTED_VALUE"""),"upper triangular matrix")</f>
        <v>upper triangular matrix</v>
      </c>
      <c r="C1016" s="2" t="str">
        <f>IFERROR(__xludf.DUMMYFUNCTION("""COMPUTED_VALUE"""),"yläkolmiomatriisi")</f>
        <v>yläkolmiomatriisi</v>
      </c>
      <c r="D1016" s="5"/>
      <c r="E1016" s="5"/>
      <c r="F1016" s="11"/>
      <c r="G1016" s="11"/>
    </row>
    <row r="1017">
      <c r="A1017" s="2" t="str">
        <f>IFERROR(__xludf.DUMMYFUNCTION("""COMPUTED_VALUE"""),"övertäckningsavbildning")</f>
        <v>övertäckningsavbildning</v>
      </c>
      <c r="B1017" s="2" t="str">
        <f>IFERROR(__xludf.DUMMYFUNCTION("""COMPUTED_VALUE"""),"covering map")</f>
        <v>covering map</v>
      </c>
      <c r="C1017" s="2" t="str">
        <f>IFERROR(__xludf.DUMMYFUNCTION("""COMPUTED_VALUE"""),"peitekuvaus")</f>
        <v>peitekuvaus</v>
      </c>
      <c r="D1017" s="5"/>
      <c r="E1017" s="5"/>
      <c r="F1017" s="11"/>
      <c r="G1017" s="11"/>
    </row>
    <row r="1018">
      <c r="A1018" s="2" t="str">
        <f>IFERROR(__xludf.DUMMYFUNCTION("""COMPUTED_VALUE"""),"övre gräns")</f>
        <v>övre gräns</v>
      </c>
      <c r="B1018" s="2" t="str">
        <f>IFERROR(__xludf.DUMMYFUNCTION("""COMPUTED_VALUE"""),"upper bound")</f>
        <v>upper bound</v>
      </c>
      <c r="C1018" s="2" t="str">
        <f>IFERROR(__xludf.DUMMYFUNCTION("""COMPUTED_VALUE"""),"yläraja")</f>
        <v>yläraja</v>
      </c>
      <c r="D1018" s="5"/>
      <c r="E1018" s="5"/>
      <c r="F1018" s="11"/>
      <c r="G1018" s="11"/>
    </row>
    <row r="1019">
      <c r="A1019" s="2" t="str">
        <f>IFERROR(__xludf.DUMMYFUNCTION("""COMPUTED_VALUE"""),"övre gränsvärde")</f>
        <v>övre gränsvärde</v>
      </c>
      <c r="B1019" s="2" t="str">
        <f>IFERROR(__xludf.DUMMYFUNCTION("""COMPUTED_VALUE"""),"limes superior")</f>
        <v>limes superior</v>
      </c>
      <c r="C1019" s="2" t="str">
        <f>IFERROR(__xludf.DUMMYFUNCTION("""COMPUTED_VALUE"""),"yläraja-arvo (limsup)")</f>
        <v>yläraja-arvo (limsup)</v>
      </c>
      <c r="D1019" s="5"/>
      <c r="E1019" s="5"/>
      <c r="F1019" s="11"/>
      <c r="G1019" s="11"/>
    </row>
    <row r="1020">
      <c r="A1020" s="2"/>
      <c r="B1020" s="2" t="str">
        <f>IFERROR(__xludf.DUMMYFUNCTION("""COMPUTED_VALUE"""),"dummy variable")</f>
        <v>dummy variable</v>
      </c>
      <c r="C1020" s="2" t="str">
        <f>IFERROR(__xludf.DUMMYFUNCTION("""COMPUTED_VALUE"""),"tekomuuttuja")</f>
        <v>tekomuuttuja</v>
      </c>
      <c r="D1020" s="5"/>
      <c r="E1020" s="5"/>
      <c r="F1020" s="11"/>
      <c r="G1020" s="11"/>
    </row>
    <row r="1021">
      <c r="A1021" s="2"/>
      <c r="B1021" s="2" t="str">
        <f>IFERROR(__xludf.DUMMYFUNCTION("""COMPUTED_VALUE"""),"F-space")</f>
        <v>F-space</v>
      </c>
      <c r="C1021" s="2" t="str">
        <f>IFERROR(__xludf.DUMMYFUNCTION("""COMPUTED_VALUE"""),"F-avaruus")</f>
        <v>F-avaruus</v>
      </c>
      <c r="D1021" s="5"/>
      <c r="E1021" s="5"/>
      <c r="F1021" s="11"/>
      <c r="G1021" s="11"/>
    </row>
    <row r="1022">
      <c r="A1022" s="2"/>
      <c r="B1022" s="2" t="str">
        <f>IFERROR(__xludf.DUMMYFUNCTION("""COMPUTED_VALUE"""),"iterated integral, repeated integral")</f>
        <v>iterated integral, repeated integral</v>
      </c>
      <c r="C1022" s="2" t="str">
        <f>IFERROR(__xludf.DUMMYFUNCTION("""COMPUTED_VALUE"""),"moninkertainen integraali, iteroitu")</f>
        <v>moninkertainen integraali, iteroitu</v>
      </c>
      <c r="D1022" s="5"/>
      <c r="E1022" s="5"/>
      <c r="F1022" s="11"/>
      <c r="G1022" s="11"/>
    </row>
    <row r="1023">
      <c r="A1023" s="2"/>
      <c r="B1023" s="2" t="str">
        <f>IFERROR(__xludf.DUMMYFUNCTION("""COMPUTED_VALUE"""),"polar decomposition")</f>
        <v>polar decomposition</v>
      </c>
      <c r="C1023" s="2" t="str">
        <f>IFERROR(__xludf.DUMMYFUNCTION("""COMPUTED_VALUE"""),"polaarihajotelma")</f>
        <v>polaarihajotelma</v>
      </c>
      <c r="D1023" s="5"/>
      <c r="E1023" s="5"/>
      <c r="F1023" s="11"/>
      <c r="G1023" s="11"/>
    </row>
    <row r="1024">
      <c r="A1024" s="2"/>
      <c r="B1024" s="2" t="str">
        <f>IFERROR(__xludf.DUMMYFUNCTION("""COMPUTED_VALUE"""),"power method")</f>
        <v>power method</v>
      </c>
      <c r="C1024" s="2" t="str">
        <f>IFERROR(__xludf.DUMMYFUNCTION("""COMPUTED_VALUE"""),"potenssiinkorotusmenetelmä")</f>
        <v>potenssiinkorotusmenetelmä</v>
      </c>
      <c r="D1024" s="5"/>
      <c r="E1024" s="5"/>
      <c r="F1024" s="11"/>
      <c r="G1024" s="11"/>
    </row>
    <row r="1025">
      <c r="A1025" s="2"/>
      <c r="B1025" s="2" t="str">
        <f>IFERROR(__xludf.DUMMYFUNCTION("""COMPUTED_VALUE"""),"quotient space")</f>
        <v>quotient space</v>
      </c>
      <c r="C1025" s="2" t="str">
        <f>IFERROR(__xludf.DUMMYFUNCTION("""COMPUTED_VALUE"""),"tekijäavaruus")</f>
        <v>tekijäavaruus</v>
      </c>
      <c r="D1025" s="5"/>
      <c r="E1025" s="5"/>
      <c r="F1025" s="11"/>
      <c r="G1025" s="11"/>
    </row>
    <row r="1026">
      <c r="A1026" s="2"/>
      <c r="B1026" s="2" t="str">
        <f>IFERROR(__xludf.DUMMYFUNCTION("""COMPUTED_VALUE"""),"range")</f>
        <v>range</v>
      </c>
      <c r="C1026" s="2" t="str">
        <f>IFERROR(__xludf.DUMMYFUNCTION("""COMPUTED_VALUE"""),"kuva-avaruus, kuvajoukko, arvojoukko; vaihteluväli")</f>
        <v>kuva-avaruus, kuvajoukko, arvojoukko; vaihteluväli</v>
      </c>
      <c r="D1026" s="5"/>
      <c r="E1026" s="5"/>
      <c r="F1026" s="11"/>
      <c r="G1026" s="11"/>
    </row>
    <row r="1027">
      <c r="A1027" s="2"/>
      <c r="B1027" s="2" t="str">
        <f>IFERROR(__xludf.DUMMYFUNCTION("""COMPUTED_VALUE"""),"sigma-finite")</f>
        <v>sigma-finite</v>
      </c>
      <c r="C1027" s="2" t="str">
        <f>IFERROR(__xludf.DUMMYFUNCTION("""COMPUTED_VALUE"""),"sigma-äärellinen")</f>
        <v>sigma-äärellinen</v>
      </c>
      <c r="D1027" s="5"/>
      <c r="E1027" s="5"/>
      <c r="F1027" s="11"/>
      <c r="G1027" s="11"/>
    </row>
    <row r="1028">
      <c r="A1028" s="2"/>
      <c r="B1028" s="2" t="str">
        <f>IFERROR(__xludf.DUMMYFUNCTION("""COMPUTED_VALUE"""),"tempered distributions (S')")</f>
        <v>tempered distributions (S')</v>
      </c>
      <c r="C1028" s="2" t="str">
        <f>IFERROR(__xludf.DUMMYFUNCTION("""COMPUTED_VALUE"""),"vaimennetut distribuutiot (S')")</f>
        <v>vaimennetut distribuutiot (S')</v>
      </c>
      <c r="D1028" s="5"/>
      <c r="E1028" s="5"/>
      <c r="F1028" s="11"/>
      <c r="G1028" s="11"/>
    </row>
    <row r="1029">
      <c r="A1029" s="2"/>
      <c r="B1029" s="2" t="str">
        <f>IFERROR(__xludf.DUMMYFUNCTION("""COMPUTED_VALUE"""),"weak topology")</f>
        <v>weak topology</v>
      </c>
      <c r="C1029" s="2" t="str">
        <f>IFERROR(__xludf.DUMMYFUNCTION("""COMPUTED_VALUE"""),"heikko topologia")</f>
        <v>heikko topologia</v>
      </c>
      <c r="D1029" s="5"/>
      <c r="E1029" s="5"/>
      <c r="F1029" s="11"/>
      <c r="G1029" s="11"/>
    </row>
    <row r="1030">
      <c r="A1030" s="2"/>
      <c r="B1030" s="2"/>
      <c r="C1030" s="2"/>
      <c r="D1030" s="5"/>
      <c r="E1030" s="5"/>
    </row>
    <row r="1031">
      <c r="A1031" s="2"/>
      <c r="B1031" s="2"/>
      <c r="C1031" s="2"/>
      <c r="D1031" s="5"/>
      <c r="E1031" s="5"/>
    </row>
    <row r="1032">
      <c r="A1032" s="2"/>
      <c r="B1032" s="2"/>
      <c r="C1032" s="2"/>
      <c r="D1032" s="5"/>
      <c r="E1032" s="5"/>
    </row>
    <row r="1033">
      <c r="A1033" s="2"/>
      <c r="B1033" s="2"/>
      <c r="C1033" s="2"/>
      <c r="D1033" s="5"/>
      <c r="E1033" s="5"/>
    </row>
    <row r="1034">
      <c r="A1034" s="2"/>
      <c r="B1034" s="2"/>
      <c r="C1034" s="2"/>
      <c r="D1034" s="5"/>
      <c r="E1034" s="5"/>
    </row>
    <row r="1035">
      <c r="A1035" s="2"/>
      <c r="B1035" s="2"/>
      <c r="C1035" s="2"/>
      <c r="D1035" s="5"/>
      <c r="E1035" s="5"/>
    </row>
    <row r="1036">
      <c r="A1036" s="2"/>
      <c r="B1036" s="2"/>
      <c r="C1036" s="2"/>
      <c r="D1036" s="5"/>
      <c r="E1036" s="5"/>
    </row>
    <row r="1037">
      <c r="A1037" s="2"/>
      <c r="B1037" s="2"/>
      <c r="C1037" s="2"/>
      <c r="D1037" s="5"/>
      <c r="E1037" s="5"/>
    </row>
    <row r="1038">
      <c r="A1038" s="2"/>
      <c r="B1038" s="2"/>
      <c r="C1038" s="2"/>
      <c r="D1038" s="5"/>
      <c r="E1038" s="5"/>
    </row>
    <row r="1039">
      <c r="A1039" s="2"/>
      <c r="B1039" s="2"/>
      <c r="C1039" s="2"/>
      <c r="D1039" s="5"/>
      <c r="E1039" s="5"/>
    </row>
    <row r="1040">
      <c r="A1040" s="2"/>
      <c r="B1040" s="2"/>
      <c r="C1040" s="2"/>
      <c r="D1040" s="5"/>
      <c r="E1040" s="5"/>
    </row>
    <row r="1041">
      <c r="A1041" s="2"/>
      <c r="B1041" s="2"/>
      <c r="C1041" s="2"/>
      <c r="D1041" s="5"/>
      <c r="E1041" s="5"/>
    </row>
    <row r="1042">
      <c r="A1042" s="2"/>
      <c r="B1042" s="2"/>
      <c r="C1042" s="2"/>
      <c r="D1042" s="5"/>
      <c r="E1042" s="5"/>
    </row>
    <row r="1043">
      <c r="A1043" s="2"/>
      <c r="B1043" s="2"/>
      <c r="C1043" s="2"/>
      <c r="D1043" s="5"/>
      <c r="E1043" s="5"/>
    </row>
    <row r="1044">
      <c r="A1044" s="2"/>
      <c r="B1044" s="2"/>
      <c r="C1044" s="2"/>
      <c r="D1044" s="5"/>
      <c r="E1044" s="5"/>
    </row>
    <row r="1045">
      <c r="A1045" s="2"/>
      <c r="B1045" s="2"/>
      <c r="C1045" s="2"/>
      <c r="D1045" s="5"/>
      <c r="E1045" s="5"/>
    </row>
    <row r="1046">
      <c r="A1046" s="2"/>
      <c r="B1046" s="2"/>
      <c r="C1046" s="2"/>
      <c r="D1046" s="5"/>
      <c r="E1046" s="5"/>
    </row>
    <row r="1047">
      <c r="A1047" s="2"/>
      <c r="B1047" s="2"/>
      <c r="C1047" s="2"/>
      <c r="D1047" s="5"/>
      <c r="E1047" s="5"/>
    </row>
    <row r="1048">
      <c r="A1048" s="2"/>
      <c r="B1048" s="2"/>
      <c r="C1048" s="2"/>
      <c r="D1048" s="5"/>
      <c r="E1048" s="5"/>
    </row>
    <row r="1049">
      <c r="A1049" s="2"/>
      <c r="B1049" s="2"/>
      <c r="C1049" s="2"/>
      <c r="D1049" s="5"/>
      <c r="E1049" s="5"/>
    </row>
    <row r="1050">
      <c r="A1050" s="2"/>
      <c r="B1050" s="2"/>
      <c r="C1050" s="2"/>
      <c r="D1050" s="5"/>
      <c r="E1050" s="5"/>
    </row>
    <row r="1051">
      <c r="A1051" s="2"/>
      <c r="B1051" s="2"/>
      <c r="C1051" s="2"/>
      <c r="D1051" s="5"/>
      <c r="E1051" s="5"/>
    </row>
    <row r="1052">
      <c r="A1052" s="2"/>
      <c r="B1052" s="2"/>
      <c r="C1052" s="2"/>
      <c r="D1052" s="5"/>
      <c r="E1052" s="5"/>
    </row>
    <row r="1053">
      <c r="A1053" s="2"/>
      <c r="B1053" s="2"/>
      <c r="C1053" s="2"/>
      <c r="D1053" s="5"/>
      <c r="E1053" s="5"/>
    </row>
    <row r="1054">
      <c r="A1054" s="2"/>
      <c r="B1054" s="2"/>
      <c r="C1054" s="2"/>
      <c r="D1054" s="5"/>
      <c r="E1054" s="5"/>
    </row>
    <row r="1055">
      <c r="A1055" s="2"/>
      <c r="B1055" s="2"/>
      <c r="C1055" s="2"/>
      <c r="D1055" s="5"/>
      <c r="E1055" s="5"/>
    </row>
    <row r="1056">
      <c r="A1056" s="2"/>
      <c r="B1056" s="2"/>
      <c r="C1056" s="2"/>
      <c r="D1056" s="5"/>
      <c r="E1056" s="5"/>
    </row>
    <row r="1057">
      <c r="A1057" s="2"/>
      <c r="B1057" s="2"/>
      <c r="C1057" s="2"/>
      <c r="D1057" s="5"/>
      <c r="E1057" s="5"/>
    </row>
    <row r="1058">
      <c r="A1058" s="2"/>
      <c r="B1058" s="2"/>
      <c r="C1058" s="2"/>
      <c r="D1058" s="5"/>
      <c r="E1058" s="5"/>
    </row>
    <row r="1059">
      <c r="A1059" s="2"/>
      <c r="B1059" s="2"/>
      <c r="C1059" s="2"/>
      <c r="D1059" s="5"/>
      <c r="E1059" s="5"/>
    </row>
    <row r="1060">
      <c r="A1060" s="2"/>
      <c r="B1060" s="2"/>
      <c r="C1060" s="2"/>
      <c r="D1060" s="5"/>
      <c r="E1060" s="5"/>
    </row>
    <row r="1061">
      <c r="A1061" s="2"/>
      <c r="B1061" s="2"/>
      <c r="C1061" s="2"/>
      <c r="D1061" s="5"/>
      <c r="E1061" s="5"/>
    </row>
    <row r="1062">
      <c r="A1062" s="2"/>
      <c r="B1062" s="2"/>
      <c r="C1062" s="2"/>
      <c r="D1062" s="5"/>
      <c r="E1062" s="5"/>
    </row>
    <row r="1063">
      <c r="A1063" s="2"/>
      <c r="B1063" s="2"/>
      <c r="C1063" s="2"/>
      <c r="D1063" s="5"/>
      <c r="E1063" s="5"/>
    </row>
    <row r="1064">
      <c r="A1064" s="2"/>
      <c r="B1064" s="2"/>
      <c r="C1064" s="2"/>
      <c r="D1064" s="5"/>
      <c r="E1064" s="5"/>
    </row>
    <row r="1065">
      <c r="A1065" s="2"/>
      <c r="B1065" s="2"/>
      <c r="C1065" s="2"/>
      <c r="D1065" s="5"/>
      <c r="E1065" s="5"/>
    </row>
    <row r="1066">
      <c r="A1066" s="2"/>
      <c r="B1066" s="2"/>
      <c r="C1066" s="2"/>
      <c r="D1066" s="5"/>
      <c r="E1066" s="5"/>
    </row>
    <row r="1067">
      <c r="A1067" s="2"/>
      <c r="B1067" s="2"/>
      <c r="C1067" s="2"/>
      <c r="D1067" s="5"/>
      <c r="E1067" s="5"/>
    </row>
    <row r="1068">
      <c r="A1068" s="2"/>
      <c r="B1068" s="2"/>
      <c r="C1068" s="2"/>
      <c r="D1068" s="5"/>
      <c r="E1068" s="5"/>
    </row>
    <row r="1069">
      <c r="A1069" s="2"/>
      <c r="B1069" s="2"/>
      <c r="C1069" s="2"/>
      <c r="D1069" s="5"/>
      <c r="E1069" s="5"/>
    </row>
    <row r="1070">
      <c r="A1070" s="2"/>
      <c r="B1070" s="2"/>
      <c r="C1070" s="2"/>
      <c r="D1070" s="5"/>
      <c r="E1070" s="5"/>
    </row>
    <row r="1071">
      <c r="A1071" s="2"/>
      <c r="B1071" s="2"/>
      <c r="C1071" s="2"/>
      <c r="D1071" s="5"/>
      <c r="E1071" s="5"/>
    </row>
    <row r="1072">
      <c r="A1072" s="2"/>
      <c r="B1072" s="2"/>
      <c r="C1072" s="2"/>
      <c r="D1072" s="5"/>
      <c r="E1072" s="5"/>
    </row>
    <row r="1073">
      <c r="A1073" s="2"/>
      <c r="B1073" s="2"/>
      <c r="C1073" s="2"/>
      <c r="D1073" s="5"/>
      <c r="E1073" s="5"/>
    </row>
    <row r="1074">
      <c r="A1074" s="2"/>
      <c r="B1074" s="2"/>
      <c r="C1074" s="2"/>
      <c r="D1074" s="5"/>
      <c r="E1074" s="5"/>
    </row>
    <row r="1075">
      <c r="A1075" s="2"/>
      <c r="B1075" s="2"/>
      <c r="C1075" s="2"/>
      <c r="D1075" s="5"/>
      <c r="E1075" s="5"/>
    </row>
    <row r="1076">
      <c r="A1076" s="2"/>
      <c r="B1076" s="2"/>
      <c r="C1076" s="2"/>
      <c r="D1076" s="5"/>
      <c r="E1076" s="5"/>
    </row>
    <row r="1077">
      <c r="A1077" s="2"/>
      <c r="B1077" s="2"/>
      <c r="C1077" s="2"/>
      <c r="D1077" s="5"/>
      <c r="E1077" s="5"/>
    </row>
    <row r="1078">
      <c r="A1078" s="2"/>
      <c r="B1078" s="2"/>
      <c r="C1078" s="2"/>
      <c r="D1078" s="5"/>
      <c r="E1078" s="5"/>
    </row>
    <row r="1079">
      <c r="A1079" s="2"/>
      <c r="B1079" s="2"/>
      <c r="C1079" s="2"/>
      <c r="D1079" s="5"/>
      <c r="E1079" s="5"/>
    </row>
    <row r="1080">
      <c r="A1080" s="2"/>
      <c r="B1080" s="2"/>
      <c r="C1080" s="2"/>
      <c r="D1080" s="5"/>
      <c r="E1080" s="5"/>
    </row>
    <row r="1081">
      <c r="A1081" s="2"/>
      <c r="B1081" s="2"/>
      <c r="C1081" s="2"/>
      <c r="D1081" s="5"/>
      <c r="E1081" s="5"/>
    </row>
    <row r="1082">
      <c r="A1082" s="2"/>
      <c r="B1082" s="2"/>
      <c r="C1082" s="2"/>
      <c r="D1082" s="5"/>
      <c r="E1082" s="5"/>
    </row>
    <row r="1083">
      <c r="A1083" s="2"/>
      <c r="B1083" s="2"/>
      <c r="C1083" s="2"/>
      <c r="D1083" s="5"/>
      <c r="E1083" s="5"/>
    </row>
    <row r="1084">
      <c r="A1084" s="2"/>
      <c r="B1084" s="2"/>
      <c r="C1084" s="2"/>
      <c r="D1084" s="5"/>
      <c r="E1084" s="5"/>
    </row>
    <row r="1085">
      <c r="A1085" s="2"/>
      <c r="B1085" s="2"/>
      <c r="C1085" s="2"/>
      <c r="D1085" s="5"/>
      <c r="E1085" s="5"/>
    </row>
    <row r="1086">
      <c r="A1086" s="2"/>
      <c r="B1086" s="2"/>
      <c r="C1086" s="2"/>
      <c r="D1086" s="5"/>
      <c r="E1086" s="5"/>
    </row>
    <row r="1087">
      <c r="A1087" s="2"/>
      <c r="B1087" s="2"/>
      <c r="C1087" s="2"/>
      <c r="D1087" s="5"/>
      <c r="E1087" s="5"/>
    </row>
    <row r="1088">
      <c r="A1088" s="2"/>
      <c r="B1088" s="2"/>
      <c r="C1088" s="2"/>
      <c r="D1088" s="5"/>
      <c r="E1088" s="5"/>
    </row>
    <row r="1089">
      <c r="A1089" s="2"/>
      <c r="B1089" s="2"/>
      <c r="C1089" s="2"/>
      <c r="D1089" s="5"/>
      <c r="E1089" s="5"/>
    </row>
    <row r="1090">
      <c r="A1090" s="2"/>
      <c r="B1090" s="2"/>
      <c r="C1090" s="2"/>
      <c r="D1090" s="5"/>
      <c r="E1090" s="5"/>
    </row>
    <row r="1091">
      <c r="A1091" s="2"/>
      <c r="B1091" s="2"/>
      <c r="C1091" s="2"/>
      <c r="D1091" s="5"/>
      <c r="E1091" s="5"/>
    </row>
    <row r="1092">
      <c r="A1092" s="2"/>
      <c r="B1092" s="2"/>
      <c r="C1092" s="2"/>
      <c r="D1092" s="5"/>
      <c r="E1092" s="5"/>
    </row>
    <row r="1093">
      <c r="A1093" s="2"/>
      <c r="B1093" s="2"/>
      <c r="C1093" s="2"/>
      <c r="D1093" s="5"/>
      <c r="E1093" s="5"/>
    </row>
    <row r="1094">
      <c r="A1094" s="2"/>
      <c r="B1094" s="2"/>
      <c r="C1094" s="2"/>
      <c r="D1094" s="5"/>
      <c r="E1094" s="5"/>
    </row>
    <row r="1095">
      <c r="A1095" s="2"/>
      <c r="B1095" s="2"/>
      <c r="C1095" s="2"/>
      <c r="D1095" s="5"/>
      <c r="E1095" s="5"/>
    </row>
    <row r="1096">
      <c r="A1096" s="2"/>
      <c r="B1096" s="2"/>
      <c r="C1096" s="2"/>
      <c r="D1096" s="5"/>
      <c r="E1096" s="5"/>
    </row>
    <row r="1097">
      <c r="A1097" s="2"/>
      <c r="B1097" s="2"/>
      <c r="C1097" s="2"/>
      <c r="D1097" s="5"/>
      <c r="E1097" s="5"/>
    </row>
    <row r="1098">
      <c r="A1098" s="2"/>
      <c r="B1098" s="2"/>
      <c r="C1098" s="2"/>
      <c r="D1098" s="5"/>
      <c r="E1098" s="5"/>
    </row>
    <row r="1099">
      <c r="A1099" s="2"/>
      <c r="B1099" s="2"/>
      <c r="C1099" s="2"/>
      <c r="D1099" s="5"/>
      <c r="E1099" s="5"/>
    </row>
    <row r="1100">
      <c r="A1100" s="2"/>
      <c r="B1100" s="2"/>
      <c r="C1100" s="2"/>
      <c r="D1100" s="5"/>
      <c r="E1100" s="5"/>
    </row>
    <row r="1101">
      <c r="A1101" s="2"/>
      <c r="B1101" s="2"/>
      <c r="C1101" s="2"/>
      <c r="D1101" s="5"/>
      <c r="E1101" s="5"/>
    </row>
    <row r="1102">
      <c r="A1102" s="2"/>
      <c r="B1102" s="2"/>
      <c r="C1102" s="2"/>
      <c r="D1102" s="5"/>
      <c r="E1102" s="5"/>
    </row>
    <row r="1103">
      <c r="A1103" s="2"/>
      <c r="B1103" s="2"/>
      <c r="C1103" s="2"/>
      <c r="D1103" s="5"/>
      <c r="E1103" s="5"/>
    </row>
    <row r="1104">
      <c r="A1104" s="2"/>
      <c r="B1104" s="2"/>
      <c r="C1104" s="2"/>
      <c r="D1104" s="5"/>
      <c r="E1104" s="5"/>
    </row>
    <row r="1105">
      <c r="A1105" s="2"/>
      <c r="B1105" s="2"/>
      <c r="C1105" s="2"/>
      <c r="D1105" s="5"/>
      <c r="E1105" s="5"/>
    </row>
    <row r="1106">
      <c r="A1106" s="2"/>
      <c r="B1106" s="2"/>
      <c r="C1106" s="2"/>
      <c r="D1106" s="5"/>
      <c r="E1106" s="5"/>
    </row>
    <row r="1107">
      <c r="A1107" s="2"/>
      <c r="B1107" s="2"/>
      <c r="C1107" s="2"/>
      <c r="D1107" s="5"/>
      <c r="E1107" s="5"/>
    </row>
    <row r="1108">
      <c r="A1108" s="2"/>
      <c r="B1108" s="2"/>
      <c r="C1108" s="2"/>
      <c r="D1108" s="5"/>
      <c r="E1108" s="5"/>
    </row>
    <row r="1109">
      <c r="A1109" s="2"/>
      <c r="B1109" s="2"/>
      <c r="C1109" s="2"/>
      <c r="D1109" s="5"/>
      <c r="E1109" s="5"/>
    </row>
    <row r="1110">
      <c r="A1110" s="2"/>
      <c r="B1110" s="2"/>
      <c r="C1110" s="2"/>
      <c r="D1110" s="5"/>
      <c r="E1110" s="5"/>
    </row>
    <row r="1111">
      <c r="A1111" s="2"/>
      <c r="B1111" s="2"/>
      <c r="C1111" s="2"/>
      <c r="D1111" s="5"/>
      <c r="E1111" s="5"/>
    </row>
    <row r="1112">
      <c r="A1112" s="2"/>
      <c r="B1112" s="2"/>
      <c r="C1112" s="2"/>
      <c r="D1112" s="5"/>
      <c r="E1112" s="5"/>
    </row>
    <row r="1113">
      <c r="A1113" s="2"/>
      <c r="B1113" s="2"/>
      <c r="C1113" s="2"/>
      <c r="D1113" s="5"/>
      <c r="E1113" s="5"/>
    </row>
    <row r="1114">
      <c r="A1114" s="2"/>
      <c r="B1114" s="2"/>
      <c r="C1114" s="2"/>
      <c r="D1114" s="5"/>
      <c r="E1114" s="5"/>
    </row>
    <row r="1115">
      <c r="A1115" s="2"/>
      <c r="B1115" s="2"/>
      <c r="C1115" s="2"/>
      <c r="D1115" s="5"/>
      <c r="E1115" s="5"/>
    </row>
    <row r="1116">
      <c r="A1116" s="2"/>
      <c r="B1116" s="2"/>
      <c r="C1116" s="2"/>
      <c r="D1116" s="5"/>
      <c r="E1116" s="5"/>
    </row>
    <row r="1117">
      <c r="A1117" s="2"/>
      <c r="B1117" s="2"/>
      <c r="C1117" s="2"/>
      <c r="D1117" s="5"/>
      <c r="E1117" s="5"/>
    </row>
    <row r="1118">
      <c r="A1118" s="2"/>
      <c r="B1118" s="2"/>
      <c r="C1118" s="2"/>
      <c r="D1118" s="5"/>
      <c r="E1118" s="5"/>
    </row>
    <row r="1119">
      <c r="A1119" s="2"/>
      <c r="B1119" s="2"/>
      <c r="C1119" s="2"/>
      <c r="D1119" s="5"/>
      <c r="E1119" s="5"/>
    </row>
    <row r="1120">
      <c r="A1120" s="2"/>
      <c r="B1120" s="2"/>
      <c r="C1120" s="2"/>
      <c r="D1120" s="5"/>
      <c r="E1120" s="5"/>
    </row>
    <row r="1121">
      <c r="A1121" s="2"/>
      <c r="B1121" s="2"/>
      <c r="C1121" s="2"/>
      <c r="D1121" s="5"/>
      <c r="E1121" s="5"/>
    </row>
    <row r="1122">
      <c r="A1122" s="2"/>
      <c r="B1122" s="2"/>
      <c r="C1122" s="2"/>
      <c r="D1122" s="5"/>
      <c r="E1122" s="5"/>
    </row>
    <row r="1123">
      <c r="A1123" s="2"/>
      <c r="B1123" s="2"/>
      <c r="C1123" s="2"/>
      <c r="D1123" s="5"/>
      <c r="E1123" s="5"/>
    </row>
    <row r="1124">
      <c r="A1124" s="2"/>
      <c r="B1124" s="2"/>
      <c r="C1124" s="2"/>
      <c r="D1124" s="5"/>
      <c r="E1124" s="5"/>
    </row>
    <row r="1125">
      <c r="A1125" s="2"/>
      <c r="B1125" s="2"/>
      <c r="C1125" s="2"/>
      <c r="D1125" s="5"/>
      <c r="E1125" s="5"/>
    </row>
    <row r="1126">
      <c r="A1126" s="2"/>
      <c r="B1126" s="2"/>
      <c r="C1126" s="2"/>
      <c r="D1126" s="5"/>
      <c r="E1126" s="5"/>
    </row>
    <row r="1127">
      <c r="A1127" s="2"/>
      <c r="B1127" s="2"/>
      <c r="C1127" s="2"/>
      <c r="D1127" s="5"/>
      <c r="E1127" s="5"/>
    </row>
    <row r="1128">
      <c r="A1128" s="2"/>
      <c r="B1128" s="2"/>
      <c r="C1128" s="2"/>
      <c r="D1128" s="5"/>
      <c r="E1128" s="5"/>
    </row>
    <row r="1129">
      <c r="A1129" s="2"/>
      <c r="B1129" s="2"/>
      <c r="C1129" s="2"/>
      <c r="D1129" s="5"/>
      <c r="E1129" s="5"/>
    </row>
    <row r="1130">
      <c r="A1130" s="2"/>
      <c r="B1130" s="2"/>
      <c r="C1130" s="2"/>
      <c r="D1130" s="5"/>
      <c r="E1130" s="5"/>
    </row>
    <row r="1131">
      <c r="A1131" s="2"/>
      <c r="B1131" s="2"/>
      <c r="C1131" s="2"/>
      <c r="D1131" s="5"/>
      <c r="E1131" s="5"/>
    </row>
    <row r="1132">
      <c r="A1132" s="2"/>
      <c r="B1132" s="2"/>
      <c r="C1132" s="2"/>
      <c r="D1132" s="5"/>
      <c r="E1132" s="5"/>
    </row>
    <row r="1133">
      <c r="A1133" s="2"/>
      <c r="B1133" s="2"/>
      <c r="C1133" s="2"/>
      <c r="D1133" s="5"/>
      <c r="E1133" s="5"/>
    </row>
    <row r="1134">
      <c r="A1134" s="2"/>
      <c r="B1134" s="2"/>
      <c r="C1134" s="2"/>
      <c r="D1134" s="5"/>
      <c r="E1134" s="5"/>
    </row>
    <row r="1135">
      <c r="A1135" s="2"/>
      <c r="B1135" s="2"/>
      <c r="C1135" s="2"/>
      <c r="D1135" s="5"/>
      <c r="E1135" s="5"/>
    </row>
    <row r="1136">
      <c r="A1136" s="2"/>
      <c r="B1136" s="2"/>
      <c r="C1136" s="2"/>
      <c r="D1136" s="5"/>
      <c r="E1136" s="5"/>
    </row>
    <row r="1137">
      <c r="A1137" s="2"/>
      <c r="B1137" s="2"/>
      <c r="C1137" s="2"/>
      <c r="D1137" s="5"/>
      <c r="E1137" s="5"/>
    </row>
    <row r="1138">
      <c r="A1138" s="2"/>
      <c r="B1138" s="2"/>
      <c r="C1138" s="2"/>
      <c r="D1138" s="5"/>
      <c r="E1138" s="5"/>
    </row>
    <row r="1139">
      <c r="A1139" s="2"/>
      <c r="B1139" s="2"/>
      <c r="C1139" s="2"/>
      <c r="D1139" s="5"/>
      <c r="E1139" s="5"/>
    </row>
    <row r="1140">
      <c r="A1140" s="2"/>
      <c r="B1140" s="2"/>
      <c r="C1140" s="2"/>
      <c r="D1140" s="5"/>
      <c r="E1140" s="5"/>
    </row>
    <row r="1141">
      <c r="A1141" s="2"/>
      <c r="B1141" s="2"/>
      <c r="C1141" s="2"/>
      <c r="D1141" s="5"/>
      <c r="E1141" s="5"/>
    </row>
    <row r="1142">
      <c r="A1142" s="2"/>
      <c r="B1142" s="2"/>
      <c r="C1142" s="2"/>
      <c r="D1142" s="5"/>
      <c r="E1142" s="5"/>
    </row>
    <row r="1143">
      <c r="A1143" s="2"/>
      <c r="B1143" s="2"/>
      <c r="C1143" s="2"/>
      <c r="D1143" s="5"/>
      <c r="E1143" s="5"/>
    </row>
    <row r="1144">
      <c r="A1144" s="2"/>
      <c r="B1144" s="2"/>
      <c r="C1144" s="2"/>
      <c r="D1144" s="5"/>
      <c r="E1144" s="5"/>
    </row>
    <row r="1145">
      <c r="A1145" s="2"/>
      <c r="B1145" s="2"/>
      <c r="C1145" s="2"/>
      <c r="D1145" s="5"/>
      <c r="E1145" s="5"/>
    </row>
    <row r="1146">
      <c r="A1146" s="2"/>
      <c r="B1146" s="2"/>
      <c r="C1146" s="2"/>
      <c r="D1146" s="5"/>
      <c r="E1146" s="5"/>
    </row>
    <row r="1147">
      <c r="A1147" s="2"/>
      <c r="B1147" s="2"/>
      <c r="C1147" s="2"/>
      <c r="D1147" s="5"/>
      <c r="E1147" s="5"/>
    </row>
    <row r="1148">
      <c r="A1148" s="2"/>
      <c r="B1148" s="2"/>
      <c r="C1148" s="2"/>
      <c r="D1148" s="5"/>
      <c r="E1148" s="5"/>
    </row>
    <row r="1149">
      <c r="A1149" s="2"/>
      <c r="B1149" s="2"/>
      <c r="C1149" s="2"/>
      <c r="D1149" s="5"/>
      <c r="E1149" s="5"/>
    </row>
    <row r="1150">
      <c r="A1150" s="2"/>
      <c r="B1150" s="2"/>
      <c r="C1150" s="2"/>
      <c r="D1150" s="5"/>
      <c r="E1150" s="5"/>
    </row>
    <row r="1151">
      <c r="A1151" s="2"/>
      <c r="B1151" s="2"/>
      <c r="C1151" s="2"/>
      <c r="D1151" s="5"/>
      <c r="E1151" s="5"/>
    </row>
    <row r="1152">
      <c r="A1152" s="2"/>
      <c r="B1152" s="2"/>
      <c r="C1152" s="2"/>
      <c r="D1152" s="5"/>
      <c r="E1152" s="5"/>
    </row>
    <row r="1153">
      <c r="A1153" s="2"/>
      <c r="B1153" s="2"/>
      <c r="C1153" s="2"/>
      <c r="D1153" s="5"/>
      <c r="E1153" s="5"/>
    </row>
    <row r="1154">
      <c r="A1154" s="2"/>
      <c r="B1154" s="2"/>
      <c r="C1154" s="2"/>
      <c r="D1154" s="5"/>
      <c r="E1154" s="5"/>
    </row>
    <row r="1155">
      <c r="A1155" s="2"/>
      <c r="B1155" s="2"/>
      <c r="C1155" s="2"/>
      <c r="D1155" s="5"/>
      <c r="E1155" s="5"/>
    </row>
    <row r="1156">
      <c r="A1156" s="2"/>
      <c r="B1156" s="2"/>
      <c r="C1156" s="2"/>
      <c r="D1156" s="5"/>
      <c r="E1156" s="5"/>
    </row>
    <row r="1157">
      <c r="A1157" s="2"/>
      <c r="B1157" s="2"/>
      <c r="C1157" s="2"/>
      <c r="D1157" s="5"/>
      <c r="E1157" s="5"/>
    </row>
    <row r="1158">
      <c r="A1158" s="2"/>
      <c r="B1158" s="2"/>
      <c r="C1158" s="2"/>
      <c r="D1158" s="5"/>
      <c r="E1158" s="5"/>
    </row>
    <row r="1159">
      <c r="A1159" s="2"/>
      <c r="B1159" s="2"/>
      <c r="C1159" s="2"/>
      <c r="D1159" s="5"/>
      <c r="E1159" s="5"/>
    </row>
    <row r="1160">
      <c r="A1160" s="2"/>
      <c r="B1160" s="2"/>
      <c r="C1160" s="2"/>
      <c r="D1160" s="5"/>
      <c r="E1160" s="5"/>
    </row>
    <row r="1161">
      <c r="A1161" s="2"/>
      <c r="B1161" s="2"/>
      <c r="C1161" s="2"/>
      <c r="D1161" s="5"/>
      <c r="E1161" s="5"/>
    </row>
    <row r="1162">
      <c r="A1162" s="2"/>
      <c r="B1162" s="2"/>
      <c r="C1162" s="2"/>
      <c r="D1162" s="5"/>
      <c r="E1162" s="5"/>
    </row>
    <row r="1163">
      <c r="A1163" s="2"/>
      <c r="B1163" s="2"/>
      <c r="C1163" s="2"/>
      <c r="D1163" s="5"/>
      <c r="E1163" s="5"/>
    </row>
    <row r="1164">
      <c r="A1164" s="2"/>
      <c r="B1164" s="2"/>
      <c r="C1164" s="2"/>
      <c r="D1164" s="5"/>
      <c r="E1164" s="5"/>
    </row>
    <row r="1165">
      <c r="A1165" s="2"/>
      <c r="B1165" s="2"/>
      <c r="C1165" s="2"/>
      <c r="D1165" s="5"/>
      <c r="E1165" s="5"/>
    </row>
    <row r="1166">
      <c r="A1166" s="2"/>
      <c r="B1166" s="2"/>
      <c r="C1166" s="2"/>
      <c r="D1166" s="5"/>
      <c r="E1166" s="5"/>
    </row>
    <row r="1167">
      <c r="A1167" s="2"/>
      <c r="B1167" s="2"/>
      <c r="C1167" s="2"/>
      <c r="D1167" s="5"/>
      <c r="E1167" s="5"/>
    </row>
    <row r="1168">
      <c r="A1168" s="2"/>
      <c r="B1168" s="2"/>
      <c r="C1168" s="2"/>
      <c r="D1168" s="5"/>
      <c r="E1168" s="5"/>
    </row>
    <row r="1169">
      <c r="A1169" s="2"/>
      <c r="B1169" s="2"/>
      <c r="C1169" s="2"/>
      <c r="D1169" s="5"/>
      <c r="E1169" s="5"/>
    </row>
    <row r="1170">
      <c r="A1170" s="2"/>
      <c r="B1170" s="2"/>
      <c r="C1170" s="2"/>
      <c r="D1170" s="5"/>
      <c r="E1170" s="5"/>
    </row>
    <row r="1171">
      <c r="A1171" s="2"/>
      <c r="B1171" s="2"/>
      <c r="C1171" s="2"/>
      <c r="D1171" s="5"/>
      <c r="E1171" s="5"/>
    </row>
    <row r="1172">
      <c r="A1172" s="2"/>
      <c r="B1172" s="2"/>
      <c r="C1172" s="2"/>
      <c r="D1172" s="5"/>
      <c r="E1172" s="5"/>
    </row>
    <row r="1173">
      <c r="A1173" s="2"/>
      <c r="B1173" s="2"/>
      <c r="C1173" s="2"/>
      <c r="D1173" s="5"/>
      <c r="E1173" s="5"/>
    </row>
    <row r="1174">
      <c r="A1174" s="2"/>
      <c r="B1174" s="2"/>
      <c r="C1174" s="2"/>
      <c r="D1174" s="5"/>
      <c r="E1174" s="5"/>
    </row>
    <row r="1175">
      <c r="A1175" s="2"/>
      <c r="B1175" s="2"/>
      <c r="C1175" s="2"/>
      <c r="D1175" s="5"/>
      <c r="E1175" s="5"/>
    </row>
    <row r="1176">
      <c r="A1176" s="2"/>
      <c r="B1176" s="2"/>
      <c r="C1176" s="2"/>
      <c r="D1176" s="5"/>
      <c r="E1176" s="5"/>
    </row>
    <row r="1177">
      <c r="A1177" s="2"/>
      <c r="B1177" s="2"/>
      <c r="C1177" s="2"/>
      <c r="D1177" s="5"/>
      <c r="E1177" s="5"/>
    </row>
    <row r="1178">
      <c r="A1178" s="2"/>
      <c r="B1178" s="2"/>
      <c r="C1178" s="2"/>
      <c r="D1178" s="5"/>
      <c r="E1178" s="5"/>
    </row>
    <row r="1179">
      <c r="A1179" s="2"/>
      <c r="B1179" s="2"/>
      <c r="C1179" s="2"/>
      <c r="D1179" s="5"/>
      <c r="E1179" s="5"/>
    </row>
    <row r="1180">
      <c r="A1180" s="2"/>
      <c r="B1180" s="2"/>
      <c r="C1180" s="2"/>
      <c r="D1180" s="5"/>
      <c r="E1180" s="5"/>
    </row>
    <row r="1181">
      <c r="A1181" s="2"/>
      <c r="B1181" s="2"/>
      <c r="C1181" s="2"/>
      <c r="D1181" s="5"/>
      <c r="E1181" s="5"/>
    </row>
    <row r="1182">
      <c r="A1182" s="2"/>
      <c r="B1182" s="2"/>
      <c r="C1182" s="2"/>
      <c r="D1182" s="5"/>
      <c r="E1182" s="5"/>
    </row>
    <row r="1183">
      <c r="A1183" s="2"/>
      <c r="B1183" s="2"/>
      <c r="C1183" s="2"/>
      <c r="D1183" s="5"/>
      <c r="E1183" s="5"/>
    </row>
    <row r="1184">
      <c r="A1184" s="2"/>
      <c r="B1184" s="2"/>
      <c r="C1184" s="2"/>
      <c r="D1184" s="5"/>
      <c r="E1184" s="5"/>
    </row>
    <row r="1185">
      <c r="A1185" s="2"/>
      <c r="B1185" s="2"/>
      <c r="C1185" s="2"/>
      <c r="D1185" s="5"/>
      <c r="E1185" s="5"/>
    </row>
    <row r="1186">
      <c r="A1186" s="2"/>
      <c r="B1186" s="2"/>
      <c r="C1186" s="2"/>
      <c r="D1186" s="5"/>
      <c r="E1186" s="5"/>
    </row>
    <row r="1187">
      <c r="A1187" s="2"/>
      <c r="B1187" s="2"/>
      <c r="C1187" s="2"/>
      <c r="D1187" s="5"/>
      <c r="E1187" s="5"/>
    </row>
    <row r="1188">
      <c r="A1188" s="2"/>
      <c r="B1188" s="2"/>
      <c r="C1188" s="2"/>
      <c r="D1188" s="5"/>
      <c r="E1188" s="5"/>
    </row>
    <row r="1189">
      <c r="A1189" s="2"/>
      <c r="B1189" s="2"/>
      <c r="C1189" s="2"/>
      <c r="D1189" s="5"/>
      <c r="E1189" s="5"/>
    </row>
    <row r="1190">
      <c r="A1190" s="2"/>
      <c r="B1190" s="2"/>
      <c r="C1190" s="2"/>
      <c r="D1190" s="5"/>
      <c r="E1190" s="5"/>
    </row>
    <row r="1191">
      <c r="A1191" s="2"/>
      <c r="B1191" s="2"/>
      <c r="C1191" s="2"/>
      <c r="D1191" s="5"/>
      <c r="E1191" s="5"/>
    </row>
    <row r="1192">
      <c r="A1192" s="2"/>
      <c r="B1192" s="2"/>
      <c r="C1192" s="2"/>
      <c r="D1192" s="5"/>
      <c r="E1192" s="5"/>
    </row>
    <row r="1193">
      <c r="A1193" s="2"/>
      <c r="B1193" s="2"/>
      <c r="C1193" s="2"/>
      <c r="D1193" s="5"/>
      <c r="E1193" s="5"/>
    </row>
    <row r="1194">
      <c r="A1194" s="2"/>
      <c r="B1194" s="2"/>
      <c r="C1194" s="2"/>
      <c r="D1194" s="5"/>
      <c r="E1194" s="5"/>
    </row>
    <row r="1195">
      <c r="A1195" s="2"/>
      <c r="B1195" s="2"/>
      <c r="C1195" s="2"/>
      <c r="D1195" s="5"/>
      <c r="E1195" s="5"/>
    </row>
    <row r="1196">
      <c r="A1196" s="2"/>
      <c r="B1196" s="2"/>
      <c r="C1196" s="2"/>
      <c r="D1196" s="5"/>
      <c r="E1196" s="5"/>
    </row>
    <row r="1197">
      <c r="A1197" s="2"/>
      <c r="B1197" s="2"/>
      <c r="C1197" s="2"/>
      <c r="D1197" s="5"/>
      <c r="E1197" s="5"/>
    </row>
    <row r="1198">
      <c r="A1198" s="2"/>
      <c r="B1198" s="2"/>
      <c r="C1198" s="2"/>
      <c r="D1198" s="5"/>
      <c r="E1198" s="5"/>
    </row>
    <row r="1199">
      <c r="A1199" s="2"/>
      <c r="B1199" s="2"/>
      <c r="C1199" s="2"/>
      <c r="D1199" s="5"/>
      <c r="E1199" s="5"/>
    </row>
    <row r="1200">
      <c r="A1200" s="2"/>
      <c r="B1200" s="2"/>
      <c r="C1200" s="2"/>
      <c r="D1200" s="5"/>
      <c r="E1200" s="5"/>
    </row>
    <row r="1201">
      <c r="A1201" s="2"/>
      <c r="B1201" s="2"/>
      <c r="C1201" s="2"/>
      <c r="D1201" s="5"/>
      <c r="E1201" s="5"/>
    </row>
    <row r="1202">
      <c r="A1202" s="2"/>
      <c r="B1202" s="2"/>
      <c r="C1202" s="2"/>
      <c r="D1202" s="5"/>
      <c r="E1202" s="5"/>
    </row>
    <row r="1203">
      <c r="A1203" s="2"/>
      <c r="B1203" s="2"/>
      <c r="C1203" s="2"/>
      <c r="D1203" s="5"/>
      <c r="E1203" s="5"/>
    </row>
    <row r="1204">
      <c r="A1204" s="2"/>
      <c r="B1204" s="2"/>
      <c r="C1204" s="2"/>
      <c r="D1204" s="5"/>
      <c r="E1204" s="5"/>
    </row>
    <row r="1205">
      <c r="A1205" s="2"/>
      <c r="B1205" s="2"/>
      <c r="C1205" s="2"/>
      <c r="D1205" s="5"/>
      <c r="E1205" s="5"/>
    </row>
    <row r="1206">
      <c r="A1206" s="2"/>
      <c r="B1206" s="2"/>
      <c r="C1206" s="2"/>
      <c r="D1206" s="5"/>
      <c r="E1206" s="5"/>
    </row>
    <row r="1207">
      <c r="A1207" s="2"/>
      <c r="B1207" s="2"/>
      <c r="C1207" s="2"/>
      <c r="D1207" s="5"/>
      <c r="E1207" s="5"/>
    </row>
    <row r="1208">
      <c r="A1208" s="2"/>
      <c r="B1208" s="2"/>
      <c r="C1208" s="2"/>
      <c r="D1208" s="5"/>
      <c r="E1208" s="5"/>
    </row>
    <row r="1209">
      <c r="A1209" s="2"/>
      <c r="B1209" s="2"/>
      <c r="C1209" s="2"/>
      <c r="D1209" s="5"/>
      <c r="E1209" s="5"/>
    </row>
    <row r="1210">
      <c r="A1210" s="2"/>
      <c r="B1210" s="2"/>
      <c r="C1210" s="2"/>
      <c r="D1210" s="5"/>
      <c r="E1210" s="5"/>
    </row>
    <row r="1211">
      <c r="A1211" s="2"/>
      <c r="B1211" s="2"/>
      <c r="C1211" s="2"/>
      <c r="D1211" s="5"/>
      <c r="E1211" s="5"/>
    </row>
    <row r="1212">
      <c r="A1212" s="2"/>
      <c r="B1212" s="2"/>
      <c r="C1212" s="2"/>
      <c r="D1212" s="5"/>
      <c r="E1212" s="5"/>
    </row>
    <row r="1213">
      <c r="A1213" s="2"/>
      <c r="B1213" s="2"/>
      <c r="C1213" s="2"/>
      <c r="D1213" s="5"/>
      <c r="E1213" s="5"/>
    </row>
    <row r="1214">
      <c r="A1214" s="2"/>
      <c r="B1214" s="2"/>
      <c r="C1214" s="2"/>
      <c r="D1214" s="5"/>
      <c r="E1214" s="5"/>
    </row>
    <row r="1215">
      <c r="A1215" s="2"/>
      <c r="B1215" s="2"/>
      <c r="C1215" s="2"/>
      <c r="D1215" s="5"/>
      <c r="E1215" s="5"/>
    </row>
    <row r="1216">
      <c r="A1216" s="2"/>
      <c r="B1216" s="2"/>
      <c r="C1216" s="2"/>
      <c r="D1216" s="5"/>
      <c r="E1216" s="5"/>
    </row>
    <row r="1217">
      <c r="A1217" s="2"/>
      <c r="B1217" s="2"/>
      <c r="C1217" s="2"/>
      <c r="D1217" s="5"/>
      <c r="E1217" s="5"/>
    </row>
    <row r="1218">
      <c r="A1218" s="2"/>
      <c r="B1218" s="2"/>
      <c r="C1218" s="2"/>
      <c r="D1218" s="5"/>
      <c r="E1218" s="5"/>
    </row>
    <row r="1219">
      <c r="A1219" s="2"/>
      <c r="B1219" s="2"/>
      <c r="C1219" s="2"/>
      <c r="D1219" s="5"/>
      <c r="E1219" s="5"/>
    </row>
    <row r="1220">
      <c r="A1220" s="2"/>
      <c r="B1220" s="2"/>
      <c r="C1220" s="2"/>
      <c r="D1220" s="5"/>
      <c r="E1220" s="5"/>
    </row>
    <row r="1221">
      <c r="A1221" s="2"/>
      <c r="B1221" s="2"/>
      <c r="C1221" s="2"/>
      <c r="D1221" s="5"/>
      <c r="E1221" s="5"/>
    </row>
    <row r="1222">
      <c r="A1222" s="2"/>
      <c r="B1222" s="2"/>
      <c r="C1222" s="2"/>
      <c r="D1222" s="5"/>
      <c r="E1222" s="5"/>
    </row>
    <row r="1223">
      <c r="A1223" s="2"/>
      <c r="B1223" s="2"/>
      <c r="C1223" s="2"/>
      <c r="D1223" s="5"/>
      <c r="E1223" s="5"/>
    </row>
    <row r="1224">
      <c r="A1224" s="2"/>
      <c r="B1224" s="2"/>
      <c r="C1224" s="2"/>
      <c r="D1224" s="5"/>
      <c r="E1224" s="5"/>
    </row>
    <row r="1225">
      <c r="A1225" s="2"/>
      <c r="B1225" s="2"/>
      <c r="C1225" s="2"/>
      <c r="D1225" s="5"/>
      <c r="E1225" s="5"/>
    </row>
    <row r="1226">
      <c r="A1226" s="2"/>
      <c r="B1226" s="2"/>
      <c r="C1226" s="2"/>
      <c r="D1226" s="5"/>
      <c r="E1226" s="5"/>
    </row>
    <row r="1227">
      <c r="A1227" s="2"/>
      <c r="B1227" s="2"/>
      <c r="C1227" s="2"/>
      <c r="D1227" s="5"/>
      <c r="E1227" s="5"/>
    </row>
    <row r="1228">
      <c r="A1228" s="2"/>
      <c r="B1228" s="2"/>
      <c r="C1228" s="2"/>
      <c r="D1228" s="5"/>
      <c r="E1228" s="5"/>
    </row>
    <row r="1229">
      <c r="A1229" s="2"/>
      <c r="B1229" s="2"/>
      <c r="C1229" s="2"/>
      <c r="D1229" s="5"/>
      <c r="E1229" s="5"/>
    </row>
    <row r="1230">
      <c r="A1230" s="2"/>
      <c r="B1230" s="2"/>
      <c r="C1230" s="2"/>
      <c r="D1230" s="5"/>
      <c r="E1230" s="5"/>
    </row>
    <row r="1231">
      <c r="A1231" s="2"/>
      <c r="B1231" s="2"/>
      <c r="C1231" s="2"/>
      <c r="D1231" s="5"/>
      <c r="E1231" s="5"/>
    </row>
    <row r="1232">
      <c r="A1232" s="2"/>
      <c r="B1232" s="2"/>
      <c r="C1232" s="2"/>
      <c r="D1232" s="5"/>
      <c r="E1232" s="5"/>
    </row>
    <row r="1233">
      <c r="A1233" s="2"/>
      <c r="B1233" s="2"/>
      <c r="C1233" s="2"/>
      <c r="D1233" s="5"/>
      <c r="E1233" s="5"/>
    </row>
    <row r="1234">
      <c r="A1234" s="2"/>
      <c r="B1234" s="2"/>
      <c r="C1234" s="2"/>
      <c r="D1234" s="5"/>
      <c r="E1234" s="5"/>
    </row>
    <row r="1235">
      <c r="A1235" s="2"/>
      <c r="B1235" s="2"/>
      <c r="C1235" s="2"/>
      <c r="D1235" s="5"/>
      <c r="E1235" s="5"/>
    </row>
    <row r="1236">
      <c r="A1236" s="2"/>
      <c r="B1236" s="2"/>
      <c r="C1236" s="2"/>
      <c r="D1236" s="5"/>
      <c r="E1236" s="5"/>
    </row>
    <row r="1237">
      <c r="A1237" s="2"/>
      <c r="B1237" s="2"/>
      <c r="C1237" s="2"/>
      <c r="D1237" s="5"/>
      <c r="E1237" s="5"/>
    </row>
    <row r="1238">
      <c r="A1238" s="2"/>
      <c r="B1238" s="2"/>
      <c r="C1238" s="2"/>
      <c r="D1238" s="5"/>
      <c r="E1238" s="5"/>
    </row>
    <row r="1239">
      <c r="A1239" s="2"/>
      <c r="B1239" s="2"/>
      <c r="C1239" s="2"/>
      <c r="D1239" s="5"/>
      <c r="E1239" s="5"/>
    </row>
    <row r="1240">
      <c r="A1240" s="2"/>
      <c r="B1240" s="2"/>
      <c r="C1240" s="2"/>
      <c r="D1240" s="5"/>
      <c r="E1240" s="5"/>
    </row>
    <row r="1241">
      <c r="A1241" s="2"/>
      <c r="B1241" s="2"/>
      <c r="C1241" s="2"/>
      <c r="D1241" s="5"/>
      <c r="E1241" s="5"/>
    </row>
    <row r="1242">
      <c r="A1242" s="2"/>
      <c r="B1242" s="2"/>
      <c r="C1242" s="2"/>
      <c r="D1242" s="5"/>
      <c r="E1242" s="5"/>
    </row>
    <row r="1243">
      <c r="A1243" s="2"/>
      <c r="B1243" s="2"/>
      <c r="C1243" s="2"/>
      <c r="D1243" s="5"/>
      <c r="E1243" s="5"/>
    </row>
    <row r="1244">
      <c r="A1244" s="2"/>
      <c r="B1244" s="2"/>
      <c r="C1244" s="2"/>
      <c r="D1244" s="5"/>
      <c r="E1244" s="5"/>
    </row>
    <row r="1245">
      <c r="A1245" s="2"/>
      <c r="B1245" s="2"/>
      <c r="C1245" s="2"/>
      <c r="D1245" s="5"/>
      <c r="E1245" s="5"/>
    </row>
    <row r="1246">
      <c r="A1246" s="2"/>
      <c r="B1246" s="2"/>
      <c r="C1246" s="2"/>
      <c r="D1246" s="5"/>
      <c r="E1246" s="5"/>
    </row>
    <row r="1247">
      <c r="A1247" s="2"/>
      <c r="B1247" s="2"/>
      <c r="C1247" s="2"/>
      <c r="D1247" s="5"/>
      <c r="E1247" s="5"/>
    </row>
    <row r="1248">
      <c r="A1248" s="2"/>
      <c r="B1248" s="2"/>
      <c r="C1248" s="2"/>
      <c r="D1248" s="5"/>
      <c r="E1248" s="5"/>
    </row>
    <row r="1249">
      <c r="A1249" s="2"/>
      <c r="B1249" s="2"/>
      <c r="C1249" s="2"/>
      <c r="D1249" s="5"/>
      <c r="E1249" s="5"/>
    </row>
    <row r="1250">
      <c r="A1250" s="2"/>
      <c r="B1250" s="2"/>
      <c r="C1250" s="2"/>
      <c r="D1250" s="5"/>
      <c r="E1250" s="5"/>
    </row>
    <row r="1251">
      <c r="A1251" s="2"/>
      <c r="B1251" s="2"/>
      <c r="C1251" s="2"/>
      <c r="D1251" s="5"/>
      <c r="E1251" s="5"/>
    </row>
    <row r="1252">
      <c r="A1252" s="2"/>
      <c r="B1252" s="2"/>
      <c r="C1252" s="2"/>
      <c r="D1252" s="5"/>
      <c r="E1252" s="5"/>
    </row>
    <row r="1253">
      <c r="A1253" s="2"/>
      <c r="B1253" s="2"/>
      <c r="C1253" s="2"/>
      <c r="D1253" s="5"/>
      <c r="E1253" s="5"/>
    </row>
    <row r="1254">
      <c r="A1254" s="2"/>
      <c r="B1254" s="2"/>
      <c r="C1254" s="2"/>
      <c r="D1254" s="5"/>
      <c r="E1254" s="5"/>
    </row>
    <row r="1255">
      <c r="A1255" s="2"/>
      <c r="B1255" s="2"/>
      <c r="C1255" s="2"/>
      <c r="D1255" s="5"/>
      <c r="E1255" s="5"/>
    </row>
    <row r="1256">
      <c r="A1256" s="2"/>
      <c r="B1256" s="2"/>
      <c r="C1256" s="2"/>
      <c r="D1256" s="5"/>
      <c r="E1256" s="5"/>
    </row>
    <row r="1257">
      <c r="A1257" s="2"/>
      <c r="B1257" s="2"/>
      <c r="C1257" s="2"/>
      <c r="D1257" s="5"/>
      <c r="E1257" s="5"/>
    </row>
    <row r="1258">
      <c r="A1258" s="2"/>
      <c r="B1258" s="2"/>
      <c r="C1258" s="2"/>
      <c r="D1258" s="5"/>
      <c r="E1258" s="5"/>
    </row>
    <row r="1259">
      <c r="A1259" s="2"/>
      <c r="B1259" s="2"/>
      <c r="C1259" s="2"/>
      <c r="D1259" s="5"/>
      <c r="E1259" s="5"/>
    </row>
    <row r="1260">
      <c r="A1260" s="2"/>
      <c r="B1260" s="2"/>
      <c r="C1260" s="2"/>
      <c r="D1260" s="5"/>
      <c r="E1260" s="5"/>
    </row>
    <row r="1261">
      <c r="A1261" s="2"/>
      <c r="B1261" s="2"/>
      <c r="C1261" s="2"/>
      <c r="D1261" s="5"/>
      <c r="E1261" s="5"/>
    </row>
    <row r="1262">
      <c r="A1262" s="2"/>
      <c r="B1262" s="2"/>
      <c r="C1262" s="2"/>
      <c r="D1262" s="5"/>
      <c r="E1262" s="5"/>
    </row>
    <row r="1263">
      <c r="A1263" s="2"/>
      <c r="B1263" s="2"/>
      <c r="C1263" s="2"/>
      <c r="D1263" s="5"/>
      <c r="E1263" s="5"/>
    </row>
    <row r="1264">
      <c r="A1264" s="2"/>
      <c r="B1264" s="2"/>
      <c r="C1264" s="2"/>
      <c r="D1264" s="5"/>
      <c r="E1264" s="5"/>
    </row>
    <row r="1265">
      <c r="A1265" s="2"/>
      <c r="B1265" s="2"/>
      <c r="C1265" s="2"/>
      <c r="D1265" s="5"/>
      <c r="E1265" s="5"/>
    </row>
    <row r="1266">
      <c r="A1266" s="2"/>
      <c r="B1266" s="2"/>
      <c r="C1266" s="2"/>
      <c r="D1266" s="5"/>
      <c r="E1266" s="5"/>
    </row>
    <row r="1267">
      <c r="A1267" s="2"/>
      <c r="B1267" s="2"/>
      <c r="C1267" s="2"/>
      <c r="D1267" s="5"/>
      <c r="E1267" s="5"/>
    </row>
    <row r="1268">
      <c r="A1268" s="2"/>
      <c r="B1268" s="2"/>
      <c r="C1268" s="2"/>
      <c r="D1268" s="5"/>
      <c r="E1268" s="5"/>
    </row>
    <row r="1269">
      <c r="A1269" s="2"/>
      <c r="B1269" s="2"/>
      <c r="C1269" s="2"/>
      <c r="D1269" s="5"/>
      <c r="E1269" s="5"/>
    </row>
    <row r="1270">
      <c r="A1270" s="2"/>
      <c r="B1270" s="2"/>
      <c r="C1270" s="2"/>
      <c r="D1270" s="5"/>
      <c r="E1270" s="5"/>
    </row>
    <row r="1271">
      <c r="A1271" s="2"/>
      <c r="B1271" s="2"/>
      <c r="C1271" s="2"/>
      <c r="D1271" s="5"/>
      <c r="E1271" s="5"/>
    </row>
    <row r="1272">
      <c r="A1272" s="2"/>
      <c r="B1272" s="2"/>
      <c r="C1272" s="2"/>
      <c r="D1272" s="5"/>
      <c r="E1272" s="5"/>
    </row>
    <row r="1273">
      <c r="A1273" s="2"/>
      <c r="B1273" s="2"/>
      <c r="C1273" s="2"/>
      <c r="D1273" s="5"/>
      <c r="E1273" s="5"/>
    </row>
    <row r="1274">
      <c r="A1274" s="2"/>
      <c r="B1274" s="2"/>
      <c r="C1274" s="2"/>
      <c r="D1274" s="5"/>
      <c r="E1274" s="5"/>
    </row>
    <row r="1275">
      <c r="A1275" s="2"/>
      <c r="B1275" s="2"/>
      <c r="C1275" s="2"/>
      <c r="D1275" s="5"/>
      <c r="E1275" s="5"/>
    </row>
    <row r="1276">
      <c r="A1276" s="2"/>
      <c r="B1276" s="2"/>
      <c r="C1276" s="2"/>
      <c r="D1276" s="5"/>
      <c r="E1276" s="5"/>
    </row>
    <row r="1277">
      <c r="A1277" s="2"/>
      <c r="B1277" s="2"/>
      <c r="C1277" s="2"/>
      <c r="D1277" s="5"/>
      <c r="E1277" s="5"/>
    </row>
    <row r="1278">
      <c r="A1278" s="2"/>
      <c r="B1278" s="2"/>
      <c r="C1278" s="2"/>
      <c r="D1278" s="5"/>
      <c r="E1278" s="5"/>
    </row>
    <row r="1279">
      <c r="A1279" s="2"/>
      <c r="B1279" s="2"/>
      <c r="C1279" s="2"/>
      <c r="D1279" s="5"/>
      <c r="E1279" s="5"/>
    </row>
    <row r="1280">
      <c r="A1280" s="2"/>
      <c r="B1280" s="2"/>
      <c r="C1280" s="2"/>
      <c r="D1280" s="5"/>
      <c r="E1280" s="5"/>
    </row>
    <row r="1281">
      <c r="A1281" s="2"/>
      <c r="B1281" s="2"/>
      <c r="C1281" s="2"/>
      <c r="D1281" s="5"/>
      <c r="E1281" s="5"/>
    </row>
    <row r="1282">
      <c r="A1282" s="2"/>
      <c r="B1282" s="2"/>
      <c r="C1282" s="2"/>
      <c r="D1282" s="5"/>
      <c r="E1282" s="5"/>
    </row>
    <row r="1283">
      <c r="A1283" s="2"/>
      <c r="B1283" s="2"/>
      <c r="C1283" s="2"/>
      <c r="D1283" s="5"/>
      <c r="E1283" s="5"/>
    </row>
    <row r="1284">
      <c r="A1284" s="2"/>
      <c r="B1284" s="2"/>
      <c r="C1284" s="2"/>
      <c r="D1284" s="5"/>
      <c r="E1284" s="5"/>
    </row>
    <row r="1285">
      <c r="A1285" s="2"/>
      <c r="B1285" s="2"/>
      <c r="C1285" s="2"/>
      <c r="D1285" s="5"/>
      <c r="E1285" s="5"/>
    </row>
    <row r="1286">
      <c r="A1286" s="2"/>
      <c r="B1286" s="2"/>
      <c r="C1286" s="2"/>
      <c r="D1286" s="5"/>
      <c r="E1286" s="5"/>
    </row>
    <row r="1287">
      <c r="A1287" s="2"/>
      <c r="B1287" s="2"/>
      <c r="C1287" s="2"/>
      <c r="D1287" s="5"/>
      <c r="E1287" s="5"/>
    </row>
    <row r="1288">
      <c r="A1288" s="2"/>
      <c r="B1288" s="2"/>
      <c r="C1288" s="2"/>
      <c r="D1288" s="5"/>
      <c r="E1288" s="5"/>
    </row>
    <row r="1289">
      <c r="A1289" s="2"/>
      <c r="B1289" s="2"/>
      <c r="C1289" s="2"/>
      <c r="D1289" s="5"/>
      <c r="E1289" s="5"/>
    </row>
    <row r="1290">
      <c r="A1290" s="2"/>
      <c r="B1290" s="2"/>
      <c r="C1290" s="2"/>
      <c r="D1290" s="5"/>
      <c r="E1290" s="5"/>
    </row>
    <row r="1291">
      <c r="A1291" s="2"/>
      <c r="B1291" s="2"/>
      <c r="C1291" s="2"/>
      <c r="D1291" s="5"/>
      <c r="E1291" s="5"/>
    </row>
    <row r="1292">
      <c r="A1292" s="2"/>
      <c r="B1292" s="2"/>
      <c r="C1292" s="2"/>
      <c r="D1292" s="5"/>
      <c r="E1292" s="5"/>
    </row>
    <row r="1293">
      <c r="A1293" s="2"/>
      <c r="B1293" s="2"/>
      <c r="C1293" s="2"/>
      <c r="D1293" s="5"/>
      <c r="E1293" s="5"/>
    </row>
    <row r="1294">
      <c r="A1294" s="2"/>
      <c r="B1294" s="2"/>
      <c r="C1294" s="2"/>
      <c r="D1294" s="5"/>
      <c r="E1294" s="5"/>
    </row>
    <row r="1295">
      <c r="A1295" s="2"/>
      <c r="B1295" s="2"/>
      <c r="C1295" s="2"/>
      <c r="D1295" s="5"/>
      <c r="E1295" s="5"/>
    </row>
    <row r="1296">
      <c r="A1296" s="2"/>
      <c r="B1296" s="2"/>
      <c r="C1296" s="2"/>
      <c r="D1296" s="5"/>
      <c r="E1296" s="5"/>
    </row>
    <row r="1297">
      <c r="A1297" s="2"/>
      <c r="B1297" s="2"/>
      <c r="C1297" s="2"/>
      <c r="D1297" s="5"/>
      <c r="E1297" s="5"/>
    </row>
    <row r="1298">
      <c r="A1298" s="2"/>
      <c r="B1298" s="2"/>
      <c r="C1298" s="2"/>
      <c r="D1298" s="5"/>
      <c r="E1298" s="5"/>
    </row>
    <row r="1299">
      <c r="A1299" s="2"/>
      <c r="B1299" s="2"/>
      <c r="C1299" s="2"/>
      <c r="D1299" s="5"/>
      <c r="E1299" s="5"/>
    </row>
    <row r="1300">
      <c r="A1300" s="2"/>
      <c r="B1300" s="2"/>
      <c r="C1300" s="2"/>
      <c r="D1300" s="5"/>
      <c r="E1300" s="5"/>
    </row>
    <row r="1301">
      <c r="A1301" s="2"/>
      <c r="B1301" s="2"/>
      <c r="C1301" s="2"/>
      <c r="D1301" s="5"/>
      <c r="E1301" s="5"/>
    </row>
    <row r="1302">
      <c r="A1302" s="2"/>
      <c r="B1302" s="2"/>
      <c r="C1302" s="2"/>
      <c r="D1302" s="5"/>
      <c r="E1302" s="5"/>
    </row>
    <row r="1303">
      <c r="A1303" s="2"/>
      <c r="B1303" s="2"/>
      <c r="C1303" s="2"/>
      <c r="D1303" s="5"/>
      <c r="E1303" s="5"/>
    </row>
    <row r="1304">
      <c r="A1304" s="2"/>
      <c r="B1304" s="2"/>
      <c r="C1304" s="2"/>
      <c r="D1304" s="5"/>
      <c r="E1304" s="5"/>
    </row>
    <row r="1305">
      <c r="A1305" s="2"/>
      <c r="B1305" s="2"/>
      <c r="C1305" s="2"/>
      <c r="D1305" s="5"/>
      <c r="E1305" s="5"/>
    </row>
    <row r="1306">
      <c r="A1306" s="2"/>
      <c r="B1306" s="2"/>
      <c r="C1306" s="2"/>
      <c r="D1306" s="5"/>
      <c r="E1306" s="5"/>
    </row>
    <row r="1307">
      <c r="A1307" s="2"/>
      <c r="B1307" s="2"/>
      <c r="C1307" s="2"/>
      <c r="D1307" s="5"/>
      <c r="E1307" s="5"/>
    </row>
    <row r="1308">
      <c r="A1308" s="2"/>
      <c r="B1308" s="2"/>
      <c r="C1308" s="2"/>
      <c r="D1308" s="5"/>
      <c r="E1308" s="5"/>
    </row>
    <row r="1309">
      <c r="A1309" s="2"/>
      <c r="B1309" s="2"/>
      <c r="C1309" s="2"/>
      <c r="D1309" s="5"/>
      <c r="E1309" s="5"/>
    </row>
    <row r="1310">
      <c r="A1310" s="2"/>
      <c r="B1310" s="2"/>
      <c r="C1310" s="2"/>
      <c r="D1310" s="5"/>
      <c r="E1310" s="5"/>
    </row>
    <row r="1311">
      <c r="A1311" s="2"/>
      <c r="B1311" s="2"/>
      <c r="C1311" s="2"/>
      <c r="D1311" s="5"/>
      <c r="E1311" s="5"/>
    </row>
    <row r="1312">
      <c r="A1312" s="2"/>
      <c r="B1312" s="2"/>
      <c r="C1312" s="2"/>
      <c r="D1312" s="5"/>
      <c r="E1312" s="5"/>
    </row>
    <row r="1313">
      <c r="A1313" s="2"/>
      <c r="B1313" s="2"/>
      <c r="C1313" s="2"/>
      <c r="D1313" s="5"/>
      <c r="E1313" s="5"/>
    </row>
    <row r="1314">
      <c r="A1314" s="2"/>
      <c r="B1314" s="2"/>
      <c r="C1314" s="2"/>
      <c r="D1314" s="5"/>
      <c r="E1314" s="5"/>
    </row>
    <row r="1315">
      <c r="A1315" s="2"/>
      <c r="B1315" s="2"/>
      <c r="C1315" s="2"/>
      <c r="D1315" s="5"/>
      <c r="E1315" s="5"/>
    </row>
    <row r="1316">
      <c r="A1316" s="2"/>
      <c r="B1316" s="2"/>
      <c r="C1316" s="2"/>
      <c r="D1316" s="5"/>
      <c r="E1316" s="5"/>
    </row>
    <row r="1317">
      <c r="A1317" s="2"/>
      <c r="B1317" s="2"/>
      <c r="C1317" s="2"/>
      <c r="D1317" s="5"/>
      <c r="E1317" s="5"/>
    </row>
    <row r="1318">
      <c r="A1318" s="2"/>
      <c r="B1318" s="2"/>
      <c r="C1318" s="2"/>
      <c r="D1318" s="5"/>
      <c r="E1318" s="5"/>
    </row>
    <row r="1319">
      <c r="A1319" s="2"/>
      <c r="B1319" s="2"/>
      <c r="C1319" s="2"/>
      <c r="D1319" s="5"/>
      <c r="E1319" s="5"/>
    </row>
    <row r="1320">
      <c r="A1320" s="2"/>
      <c r="B1320" s="2"/>
      <c r="C1320" s="2"/>
      <c r="D1320" s="5"/>
      <c r="E1320" s="5"/>
    </row>
    <row r="1321">
      <c r="A1321" s="2"/>
      <c r="B1321" s="2"/>
      <c r="C1321" s="2"/>
      <c r="D1321" s="5"/>
      <c r="E1321" s="5"/>
    </row>
    <row r="1322">
      <c r="A1322" s="2"/>
      <c r="B1322" s="2"/>
      <c r="C1322" s="2"/>
      <c r="D1322" s="5"/>
      <c r="E1322" s="5"/>
    </row>
    <row r="1323">
      <c r="A1323" s="2"/>
      <c r="B1323" s="2"/>
      <c r="C1323" s="2"/>
      <c r="D1323" s="5"/>
      <c r="E1323" s="5"/>
    </row>
    <row r="1324">
      <c r="A1324" s="2"/>
      <c r="B1324" s="2"/>
      <c r="C1324" s="2"/>
      <c r="D1324" s="5"/>
      <c r="E1324" s="5"/>
    </row>
    <row r="1325">
      <c r="A1325" s="2"/>
      <c r="B1325" s="2"/>
      <c r="C1325" s="2"/>
      <c r="D1325" s="5"/>
      <c r="E1325" s="5"/>
    </row>
    <row r="1326">
      <c r="A1326" s="2"/>
      <c r="B1326" s="2"/>
      <c r="C1326" s="2"/>
      <c r="D1326" s="5"/>
      <c r="E1326" s="5"/>
    </row>
    <row r="1327">
      <c r="A1327" s="2"/>
      <c r="B1327" s="2"/>
      <c r="C1327" s="2"/>
      <c r="D1327" s="5"/>
      <c r="E1327" s="5"/>
    </row>
    <row r="1328">
      <c r="A1328" s="2"/>
      <c r="B1328" s="2"/>
      <c r="C1328" s="2"/>
      <c r="D1328" s="5"/>
      <c r="E1328" s="5"/>
    </row>
    <row r="1329">
      <c r="A1329" s="2"/>
      <c r="B1329" s="2"/>
      <c r="C1329" s="2"/>
      <c r="D1329" s="5"/>
      <c r="E1329" s="5"/>
    </row>
    <row r="1330">
      <c r="A1330" s="2"/>
      <c r="B1330" s="2"/>
      <c r="C1330" s="2"/>
      <c r="D1330" s="5"/>
      <c r="E1330" s="5"/>
    </row>
    <row r="1331">
      <c r="A1331" s="2"/>
      <c r="B1331" s="2"/>
      <c r="C1331" s="2"/>
      <c r="D1331" s="5"/>
      <c r="E1331" s="5"/>
    </row>
    <row r="1332">
      <c r="A1332" s="2"/>
      <c r="B1332" s="2"/>
      <c r="C1332" s="2"/>
      <c r="D1332" s="5"/>
      <c r="E1332" s="5"/>
    </row>
    <row r="1333">
      <c r="A1333" s="2"/>
      <c r="B1333" s="2"/>
      <c r="C1333" s="2"/>
      <c r="D1333" s="5"/>
      <c r="E1333" s="5"/>
    </row>
    <row r="1334">
      <c r="A1334" s="2"/>
      <c r="B1334" s="2"/>
      <c r="C1334" s="2"/>
      <c r="D1334" s="5"/>
      <c r="E1334" s="5"/>
    </row>
    <row r="1335">
      <c r="A1335" s="2"/>
      <c r="B1335" s="2"/>
      <c r="C1335" s="2"/>
      <c r="D1335" s="5"/>
      <c r="E1335" s="5"/>
    </row>
    <row r="1336">
      <c r="A1336" s="2"/>
      <c r="B1336" s="2"/>
      <c r="C1336" s="2"/>
      <c r="D1336" s="5"/>
      <c r="E1336" s="5"/>
    </row>
    <row r="1337">
      <c r="A1337" s="2"/>
      <c r="B1337" s="2"/>
      <c r="C1337" s="2"/>
      <c r="D1337" s="5"/>
      <c r="E1337" s="5"/>
    </row>
    <row r="1338">
      <c r="A1338" s="2"/>
      <c r="B1338" s="2"/>
      <c r="C1338" s="2"/>
      <c r="D1338" s="5"/>
      <c r="E1338" s="5"/>
    </row>
    <row r="1339">
      <c r="A1339" s="2"/>
      <c r="B1339" s="2"/>
      <c r="C1339" s="2"/>
      <c r="D1339" s="5"/>
      <c r="E1339" s="5"/>
    </row>
    <row r="1340">
      <c r="A1340" s="2"/>
      <c r="B1340" s="2"/>
      <c r="C1340" s="2"/>
      <c r="D1340" s="5"/>
      <c r="E1340" s="5"/>
    </row>
    <row r="1341">
      <c r="A1341" s="2"/>
      <c r="B1341" s="2"/>
      <c r="C1341" s="2"/>
      <c r="D1341" s="5"/>
      <c r="E1341" s="5"/>
    </row>
    <row r="1342">
      <c r="A1342" s="2"/>
      <c r="B1342" s="2"/>
      <c r="C1342" s="2"/>
      <c r="D1342" s="5"/>
      <c r="E1342" s="5"/>
    </row>
    <row r="1343">
      <c r="A1343" s="2"/>
      <c r="B1343" s="2"/>
      <c r="C1343" s="2"/>
      <c r="D1343" s="5"/>
      <c r="E1343" s="5"/>
    </row>
    <row r="1344">
      <c r="A1344" s="2"/>
      <c r="B1344" s="2"/>
      <c r="C1344" s="2"/>
      <c r="D1344" s="5"/>
      <c r="E1344" s="5"/>
    </row>
    <row r="1345">
      <c r="A1345" s="2"/>
      <c r="B1345" s="2"/>
      <c r="C1345" s="2"/>
      <c r="D1345" s="5"/>
      <c r="E1345" s="5"/>
    </row>
    <row r="1346">
      <c r="A1346" s="2"/>
      <c r="B1346" s="2"/>
      <c r="C1346" s="2"/>
      <c r="D1346" s="5"/>
      <c r="E1346" s="5"/>
    </row>
    <row r="1347">
      <c r="A1347" s="2"/>
      <c r="B1347" s="2"/>
      <c r="C1347" s="2"/>
      <c r="D1347" s="5"/>
      <c r="E1347" s="5"/>
    </row>
    <row r="1348">
      <c r="A1348" s="2"/>
      <c r="B1348" s="2"/>
      <c r="C1348" s="2"/>
      <c r="D1348" s="5"/>
      <c r="E1348" s="5"/>
    </row>
    <row r="1349">
      <c r="A1349" s="2"/>
      <c r="B1349" s="2"/>
      <c r="C1349" s="2"/>
      <c r="D1349" s="5"/>
      <c r="E1349" s="5"/>
    </row>
    <row r="1350">
      <c r="A1350" s="2"/>
      <c r="B1350" s="2"/>
      <c r="C1350" s="2"/>
      <c r="D1350" s="5"/>
      <c r="E1350" s="5"/>
    </row>
    <row r="1351">
      <c r="A1351" s="2"/>
      <c r="B1351" s="2"/>
      <c r="C1351" s="2"/>
      <c r="D1351" s="5"/>
      <c r="E1351" s="5"/>
    </row>
    <row r="1352">
      <c r="A1352" s="2"/>
      <c r="B1352" s="2"/>
      <c r="C1352" s="2"/>
      <c r="D1352" s="5"/>
      <c r="E1352" s="5"/>
    </row>
    <row r="1353">
      <c r="A1353" s="2"/>
      <c r="B1353" s="2"/>
      <c r="C1353" s="2"/>
      <c r="D1353" s="5"/>
      <c r="E1353" s="5"/>
    </row>
    <row r="1354">
      <c r="A1354" s="2"/>
      <c r="B1354" s="2"/>
      <c r="C1354" s="2"/>
      <c r="D1354" s="5"/>
      <c r="E1354" s="5"/>
    </row>
    <row r="1355">
      <c r="A1355" s="2"/>
      <c r="B1355" s="2"/>
      <c r="C1355" s="2"/>
      <c r="D1355" s="5"/>
      <c r="E1355" s="5"/>
    </row>
    <row r="1356">
      <c r="A1356" s="2"/>
      <c r="B1356" s="2"/>
      <c r="C1356" s="2"/>
      <c r="D1356" s="5"/>
      <c r="E1356" s="5"/>
    </row>
    <row r="1357">
      <c r="A1357" s="2"/>
      <c r="B1357" s="2"/>
      <c r="C1357" s="2"/>
      <c r="D1357" s="5"/>
      <c r="E1357" s="5"/>
    </row>
    <row r="1358">
      <c r="A1358" s="2"/>
      <c r="B1358" s="2"/>
      <c r="C1358" s="2"/>
      <c r="D1358" s="5"/>
      <c r="E1358" s="5"/>
    </row>
    <row r="1359">
      <c r="A1359" s="2"/>
      <c r="B1359" s="2"/>
      <c r="C1359" s="2"/>
      <c r="D1359" s="5"/>
      <c r="E1359" s="5"/>
    </row>
    <row r="1360">
      <c r="A1360" s="2"/>
      <c r="B1360" s="2"/>
      <c r="C1360" s="2"/>
      <c r="D1360" s="5"/>
      <c r="E1360" s="5"/>
    </row>
    <row r="1361">
      <c r="A1361" s="2"/>
      <c r="B1361" s="2"/>
      <c r="C1361" s="2"/>
      <c r="D1361" s="5"/>
      <c r="E1361" s="5"/>
    </row>
    <row r="1362">
      <c r="A1362" s="2"/>
      <c r="B1362" s="2"/>
      <c r="C1362" s="2"/>
      <c r="D1362" s="5"/>
      <c r="E1362" s="5"/>
    </row>
    <row r="1363">
      <c r="A1363" s="2"/>
      <c r="B1363" s="2"/>
      <c r="C1363" s="2"/>
      <c r="D1363" s="5"/>
      <c r="E1363" s="5"/>
    </row>
    <row r="1364">
      <c r="A1364" s="2"/>
      <c r="B1364" s="2"/>
      <c r="C1364" s="2"/>
      <c r="D1364" s="5"/>
      <c r="E1364" s="5"/>
    </row>
    <row r="1365">
      <c r="A1365" s="2"/>
      <c r="B1365" s="2"/>
      <c r="C1365" s="2"/>
      <c r="D1365" s="5"/>
      <c r="E1365" s="5"/>
    </row>
    <row r="1366">
      <c r="A1366" s="2"/>
      <c r="B1366" s="2"/>
      <c r="C1366" s="2"/>
      <c r="D1366" s="5"/>
      <c r="E1366" s="5"/>
    </row>
    <row r="1367">
      <c r="A1367" s="2"/>
      <c r="B1367" s="2"/>
      <c r="C1367" s="2"/>
      <c r="D1367" s="5"/>
      <c r="E1367" s="5"/>
    </row>
    <row r="1368">
      <c r="A1368" s="2"/>
      <c r="B1368" s="2"/>
      <c r="C1368" s="2"/>
      <c r="D1368" s="5"/>
      <c r="E1368" s="5"/>
    </row>
    <row r="1369">
      <c r="A1369" s="2"/>
      <c r="B1369" s="2"/>
      <c r="C1369" s="2"/>
      <c r="D1369" s="5"/>
      <c r="E1369" s="5"/>
    </row>
    <row r="1370">
      <c r="A1370" s="2"/>
      <c r="B1370" s="2"/>
      <c r="C1370" s="2"/>
      <c r="D1370" s="5"/>
      <c r="E1370" s="5"/>
    </row>
    <row r="1371">
      <c r="A1371" s="2"/>
      <c r="B1371" s="2"/>
      <c r="C1371" s="2"/>
      <c r="D1371" s="5"/>
      <c r="E1371" s="5"/>
    </row>
    <row r="1372">
      <c r="A1372" s="2"/>
      <c r="B1372" s="2"/>
      <c r="C1372" s="2"/>
      <c r="D1372" s="5"/>
      <c r="E1372" s="5"/>
    </row>
    <row r="1373">
      <c r="A1373" s="2"/>
      <c r="B1373" s="2"/>
      <c r="C1373" s="2"/>
      <c r="D1373" s="5"/>
      <c r="E1373" s="5"/>
    </row>
    <row r="1374">
      <c r="A1374" s="2"/>
      <c r="B1374" s="2"/>
      <c r="C1374" s="2"/>
      <c r="D1374" s="5"/>
      <c r="E1374" s="5"/>
    </row>
    <row r="1375">
      <c r="A1375" s="2"/>
      <c r="B1375" s="2"/>
      <c r="C1375" s="2"/>
      <c r="D1375" s="5"/>
      <c r="E1375" s="5"/>
    </row>
    <row r="1376">
      <c r="A1376" s="2"/>
      <c r="B1376" s="2"/>
      <c r="C1376" s="2"/>
      <c r="D1376" s="5"/>
      <c r="E1376" s="5"/>
    </row>
    <row r="1377">
      <c r="A1377" s="2"/>
      <c r="B1377" s="2"/>
      <c r="C1377" s="2"/>
      <c r="D1377" s="5"/>
      <c r="E1377" s="5"/>
    </row>
    <row r="1378">
      <c r="A1378" s="2"/>
      <c r="B1378" s="2"/>
      <c r="C1378" s="2"/>
      <c r="D1378" s="5"/>
      <c r="E1378" s="5"/>
    </row>
    <row r="1379">
      <c r="A1379" s="2"/>
      <c r="B1379" s="2"/>
      <c r="C1379" s="2"/>
      <c r="D1379" s="5"/>
      <c r="E1379" s="5"/>
    </row>
    <row r="1380">
      <c r="A1380" s="2"/>
      <c r="B1380" s="2"/>
      <c r="C1380" s="2"/>
      <c r="D1380" s="5"/>
      <c r="E1380" s="5"/>
    </row>
    <row r="1381">
      <c r="A1381" s="2"/>
      <c r="B1381" s="2"/>
      <c r="C1381" s="2"/>
      <c r="D1381" s="5"/>
      <c r="E1381" s="5"/>
    </row>
    <row r="1382">
      <c r="A1382" s="2"/>
      <c r="B1382" s="2"/>
      <c r="C1382" s="2"/>
      <c r="D1382" s="5"/>
      <c r="E1382" s="5"/>
    </row>
    <row r="1383">
      <c r="A1383" s="2"/>
      <c r="B1383" s="2"/>
      <c r="C1383" s="2"/>
      <c r="D1383" s="5"/>
      <c r="E1383" s="5"/>
    </row>
    <row r="1384">
      <c r="A1384" s="2"/>
      <c r="B1384" s="2"/>
      <c r="C1384" s="2"/>
      <c r="D1384" s="5"/>
      <c r="E1384" s="5"/>
    </row>
    <row r="1385">
      <c r="A1385" s="2"/>
      <c r="B1385" s="2"/>
      <c r="C1385" s="2"/>
      <c r="D1385" s="5"/>
      <c r="E1385" s="5"/>
    </row>
    <row r="1386">
      <c r="A1386" s="2"/>
      <c r="B1386" s="2"/>
      <c r="C1386" s="2"/>
      <c r="D1386" s="5"/>
      <c r="E1386" s="5"/>
    </row>
    <row r="1387">
      <c r="A1387" s="2"/>
      <c r="B1387" s="2"/>
      <c r="C1387" s="2"/>
      <c r="D1387" s="5"/>
      <c r="E1387" s="5"/>
    </row>
    <row r="1388">
      <c r="A1388" s="2"/>
      <c r="B1388" s="2"/>
      <c r="C1388" s="2"/>
      <c r="D1388" s="5"/>
      <c r="E1388" s="5"/>
    </row>
    <row r="1389">
      <c r="A1389" s="2"/>
      <c r="B1389" s="2"/>
      <c r="C1389" s="2"/>
      <c r="D1389" s="5"/>
      <c r="E1389" s="5"/>
    </row>
    <row r="1390">
      <c r="A1390" s="2"/>
      <c r="B1390" s="2"/>
      <c r="C1390" s="2"/>
      <c r="D1390" s="5"/>
      <c r="E1390" s="5"/>
    </row>
    <row r="1391">
      <c r="A1391" s="2"/>
      <c r="B1391" s="2"/>
      <c r="C1391" s="2"/>
      <c r="D1391" s="5"/>
      <c r="E1391" s="5"/>
    </row>
    <row r="1392">
      <c r="A1392" s="2"/>
      <c r="B1392" s="2"/>
      <c r="C1392" s="2"/>
      <c r="D1392" s="5"/>
      <c r="E1392" s="5"/>
    </row>
    <row r="1393">
      <c r="A1393" s="2"/>
      <c r="B1393" s="2"/>
      <c r="C1393" s="2"/>
      <c r="D1393" s="5"/>
      <c r="E1393" s="5"/>
    </row>
    <row r="1394">
      <c r="A1394" s="2"/>
      <c r="B1394" s="2"/>
      <c r="C1394" s="2"/>
      <c r="D1394" s="5"/>
      <c r="E1394" s="5"/>
    </row>
    <row r="1395">
      <c r="A1395" s="2"/>
      <c r="B1395" s="2"/>
      <c r="C1395" s="2"/>
      <c r="D1395" s="5"/>
      <c r="E1395" s="5"/>
    </row>
    <row r="1396">
      <c r="A1396" s="2"/>
      <c r="B1396" s="2"/>
      <c r="C1396" s="2"/>
      <c r="D1396" s="5"/>
      <c r="E1396" s="5"/>
    </row>
    <row r="1397">
      <c r="A1397" s="2"/>
      <c r="B1397" s="2"/>
      <c r="C1397" s="2"/>
      <c r="D1397" s="5"/>
      <c r="E1397" s="5"/>
    </row>
    <row r="1398">
      <c r="A1398" s="2"/>
      <c r="B1398" s="2"/>
      <c r="C1398" s="2"/>
      <c r="D1398" s="5"/>
      <c r="E1398" s="5"/>
    </row>
    <row r="1399">
      <c r="A1399" s="2"/>
      <c r="B1399" s="2"/>
      <c r="C1399" s="2"/>
      <c r="D1399" s="5"/>
      <c r="E1399" s="5"/>
    </row>
    <row r="1400">
      <c r="A1400" s="2"/>
      <c r="B1400" s="2"/>
      <c r="C1400" s="2"/>
      <c r="D1400" s="5"/>
      <c r="E1400" s="5"/>
    </row>
    <row r="1401">
      <c r="A1401" s="2"/>
      <c r="B1401" s="2"/>
      <c r="C1401" s="2"/>
      <c r="D1401" s="5"/>
      <c r="E1401" s="5"/>
    </row>
    <row r="1402">
      <c r="A1402" s="2"/>
      <c r="B1402" s="2"/>
      <c r="C1402" s="2"/>
      <c r="D1402" s="5"/>
      <c r="E1402" s="5"/>
    </row>
    <row r="1403">
      <c r="A1403" s="2"/>
      <c r="B1403" s="2"/>
      <c r="C1403" s="2"/>
      <c r="D1403" s="5"/>
      <c r="E1403" s="5"/>
    </row>
    <row r="1404">
      <c r="A1404" s="2"/>
      <c r="B1404" s="2"/>
      <c r="C1404" s="2"/>
      <c r="D1404" s="5"/>
      <c r="E1404" s="5"/>
    </row>
    <row r="1405">
      <c r="A1405" s="2"/>
      <c r="B1405" s="2"/>
      <c r="C1405" s="2"/>
      <c r="D1405" s="5"/>
      <c r="E1405" s="5"/>
    </row>
    <row r="1406">
      <c r="A1406" s="2"/>
      <c r="B1406" s="2"/>
      <c r="C1406" s="2"/>
      <c r="D1406" s="5"/>
      <c r="E1406" s="5"/>
    </row>
    <row r="1407">
      <c r="A1407" s="2"/>
      <c r="B1407" s="2"/>
      <c r="C1407" s="2"/>
      <c r="D1407" s="5"/>
      <c r="E1407" s="5"/>
    </row>
    <row r="1408">
      <c r="A1408" s="2"/>
      <c r="B1408" s="2"/>
      <c r="C1408" s="2"/>
      <c r="D1408" s="5"/>
      <c r="E1408" s="5"/>
    </row>
    <row r="1409">
      <c r="A1409" s="2"/>
      <c r="B1409" s="2"/>
      <c r="C1409" s="2"/>
      <c r="D1409" s="5"/>
      <c r="E1409" s="5"/>
    </row>
    <row r="1410">
      <c r="A1410" s="2"/>
      <c r="B1410" s="2"/>
      <c r="C1410" s="2"/>
      <c r="D1410" s="5"/>
      <c r="E1410" s="5"/>
    </row>
    <row r="1411">
      <c r="A1411" s="2"/>
      <c r="B1411" s="2"/>
      <c r="C1411" s="2"/>
      <c r="D1411" s="5"/>
      <c r="E1411" s="5"/>
    </row>
    <row r="1412">
      <c r="A1412" s="2"/>
      <c r="B1412" s="2"/>
      <c r="C1412" s="2"/>
      <c r="D1412" s="5"/>
      <c r="E1412" s="5"/>
    </row>
    <row r="1413">
      <c r="A1413" s="2"/>
      <c r="B1413" s="2"/>
      <c r="C1413" s="2"/>
      <c r="D1413" s="5"/>
      <c r="E1413" s="5"/>
    </row>
    <row r="1414">
      <c r="A1414" s="2"/>
      <c r="B1414" s="2"/>
      <c r="C1414" s="2"/>
      <c r="D1414" s="5"/>
      <c r="E1414" s="5"/>
    </row>
    <row r="1415">
      <c r="A1415" s="2"/>
      <c r="B1415" s="2"/>
      <c r="C1415" s="2"/>
      <c r="D1415" s="5"/>
      <c r="E1415" s="5"/>
    </row>
    <row r="1416">
      <c r="A1416" s="2"/>
      <c r="B1416" s="2"/>
      <c r="C1416" s="2"/>
      <c r="D1416" s="5"/>
      <c r="E1416" s="5"/>
    </row>
    <row r="1417">
      <c r="A1417" s="2"/>
      <c r="B1417" s="2"/>
      <c r="C1417" s="2"/>
      <c r="D1417" s="5"/>
      <c r="E1417" s="5"/>
    </row>
    <row r="1418">
      <c r="A1418" s="2"/>
      <c r="B1418" s="2"/>
      <c r="C1418" s="2"/>
      <c r="D1418" s="5"/>
      <c r="E1418" s="5"/>
    </row>
    <row r="1419">
      <c r="A1419" s="2"/>
      <c r="B1419" s="2"/>
      <c r="C1419" s="2"/>
      <c r="D1419" s="5"/>
      <c r="E1419" s="5"/>
    </row>
    <row r="1420">
      <c r="A1420" s="2"/>
      <c r="B1420" s="2"/>
      <c r="C1420" s="2"/>
      <c r="D1420" s="5"/>
      <c r="E1420" s="5"/>
    </row>
    <row r="1421">
      <c r="A1421" s="2"/>
      <c r="B1421" s="2"/>
      <c r="C1421" s="2"/>
      <c r="D1421" s="5"/>
      <c r="E1421" s="5"/>
    </row>
    <row r="1422">
      <c r="A1422" s="2"/>
      <c r="B1422" s="2"/>
      <c r="C1422" s="2"/>
      <c r="D1422" s="5"/>
      <c r="E1422" s="5"/>
    </row>
    <row r="1423">
      <c r="A1423" s="2"/>
      <c r="B1423" s="2"/>
      <c r="C1423" s="2"/>
      <c r="D1423" s="5"/>
      <c r="E1423" s="5"/>
    </row>
    <row r="1424">
      <c r="A1424" s="2"/>
      <c r="B1424" s="2"/>
      <c r="C1424" s="2"/>
      <c r="D1424" s="5"/>
      <c r="E1424" s="5"/>
    </row>
    <row r="1425">
      <c r="A1425" s="2"/>
      <c r="B1425" s="2"/>
      <c r="C1425" s="2"/>
      <c r="D1425" s="5"/>
      <c r="E1425" s="5"/>
    </row>
    <row r="1426">
      <c r="A1426" s="2"/>
      <c r="B1426" s="2"/>
      <c r="C1426" s="2"/>
      <c r="D1426" s="5"/>
      <c r="E1426" s="5"/>
    </row>
    <row r="1427">
      <c r="A1427" s="2"/>
      <c r="B1427" s="2"/>
      <c r="C1427" s="2"/>
      <c r="D1427" s="5"/>
      <c r="E1427" s="5"/>
    </row>
    <row r="1428">
      <c r="A1428" s="2"/>
      <c r="B1428" s="2"/>
      <c r="C1428" s="2"/>
      <c r="D1428" s="5"/>
      <c r="E1428" s="5"/>
    </row>
    <row r="1429">
      <c r="A1429" s="2"/>
      <c r="B1429" s="2"/>
      <c r="C1429" s="2"/>
      <c r="D1429" s="5"/>
      <c r="E1429" s="5"/>
    </row>
    <row r="1430">
      <c r="A1430" s="2"/>
      <c r="B1430" s="2"/>
      <c r="C1430" s="2"/>
      <c r="D1430" s="5"/>
      <c r="E1430" s="5"/>
    </row>
    <row r="1431">
      <c r="A1431" s="2"/>
      <c r="B1431" s="2"/>
      <c r="C1431" s="2"/>
      <c r="D1431" s="5"/>
      <c r="E1431" s="5"/>
    </row>
    <row r="1432">
      <c r="A1432" s="2"/>
      <c r="B1432" s="2"/>
      <c r="C1432" s="2"/>
      <c r="D1432" s="5"/>
      <c r="E1432" s="5"/>
    </row>
    <row r="1433">
      <c r="A1433" s="2"/>
      <c r="B1433" s="2"/>
      <c r="C1433" s="2"/>
      <c r="D1433" s="5"/>
      <c r="E1433" s="5"/>
    </row>
    <row r="1434">
      <c r="A1434" s="2"/>
      <c r="B1434" s="2"/>
      <c r="C1434" s="2"/>
      <c r="D1434" s="5"/>
      <c r="E1434" s="5"/>
    </row>
    <row r="1435">
      <c r="A1435" s="2"/>
      <c r="B1435" s="2"/>
      <c r="C1435" s="2"/>
      <c r="D1435" s="5"/>
      <c r="E1435" s="5"/>
    </row>
    <row r="1436">
      <c r="A1436" s="2"/>
      <c r="B1436" s="2"/>
      <c r="C1436" s="2"/>
      <c r="D1436" s="5"/>
      <c r="E1436" s="5"/>
    </row>
    <row r="1437">
      <c r="A1437" s="2"/>
      <c r="B1437" s="2"/>
      <c r="C1437" s="2"/>
      <c r="D1437" s="5"/>
      <c r="E1437" s="5"/>
    </row>
    <row r="1438">
      <c r="A1438" s="2"/>
      <c r="B1438" s="2"/>
      <c r="C1438" s="2"/>
      <c r="D1438" s="5"/>
      <c r="E1438" s="5"/>
    </row>
    <row r="1439">
      <c r="A1439" s="2"/>
      <c r="B1439" s="2"/>
      <c r="C1439" s="2"/>
      <c r="D1439" s="5"/>
      <c r="E1439" s="5"/>
    </row>
    <row r="1440">
      <c r="A1440" s="2"/>
      <c r="B1440" s="2"/>
      <c r="C1440" s="2"/>
      <c r="D1440" s="5"/>
      <c r="E1440" s="5"/>
    </row>
    <row r="1441">
      <c r="A1441" s="2"/>
      <c r="B1441" s="2"/>
      <c r="C1441" s="2"/>
      <c r="D1441" s="5"/>
      <c r="E1441" s="5"/>
    </row>
    <row r="1442">
      <c r="A1442" s="2"/>
      <c r="B1442" s="2"/>
      <c r="C1442" s="2"/>
      <c r="D1442" s="5"/>
      <c r="E1442" s="5"/>
    </row>
    <row r="1443">
      <c r="A1443" s="2"/>
      <c r="B1443" s="2"/>
      <c r="C1443" s="2"/>
      <c r="D1443" s="5"/>
      <c r="E1443" s="5"/>
    </row>
    <row r="1444">
      <c r="A1444" s="2"/>
      <c r="B1444" s="2"/>
      <c r="C1444" s="2"/>
      <c r="D1444" s="5"/>
      <c r="E1444" s="5"/>
    </row>
    <row r="1445">
      <c r="A1445" s="2"/>
      <c r="B1445" s="2"/>
      <c r="C1445" s="2"/>
      <c r="D1445" s="5"/>
      <c r="E1445" s="5"/>
    </row>
    <row r="1446">
      <c r="A1446" s="2"/>
      <c r="B1446" s="2"/>
      <c r="C1446" s="2"/>
      <c r="D1446" s="5"/>
      <c r="E1446" s="5"/>
    </row>
    <row r="1447">
      <c r="A1447" s="2"/>
      <c r="B1447" s="2"/>
      <c r="C1447" s="2"/>
      <c r="D1447" s="5"/>
      <c r="E1447" s="5"/>
    </row>
    <row r="1448">
      <c r="A1448" s="2"/>
      <c r="B1448" s="2"/>
      <c r="C1448" s="2"/>
      <c r="D1448" s="5"/>
      <c r="E1448" s="5"/>
    </row>
    <row r="1449">
      <c r="A1449" s="2"/>
      <c r="B1449" s="2"/>
      <c r="C1449" s="2"/>
      <c r="D1449" s="5"/>
      <c r="E1449" s="5"/>
    </row>
    <row r="1450">
      <c r="A1450" s="2"/>
      <c r="B1450" s="2"/>
      <c r="C1450" s="2"/>
      <c r="D1450" s="5"/>
      <c r="E1450" s="5"/>
    </row>
    <row r="1451">
      <c r="A1451" s="2"/>
      <c r="B1451" s="2"/>
      <c r="C1451" s="2"/>
      <c r="D1451" s="5"/>
      <c r="E1451" s="5"/>
    </row>
    <row r="1452">
      <c r="A1452" s="2"/>
      <c r="B1452" s="2"/>
      <c r="C1452" s="2"/>
      <c r="D1452" s="5"/>
      <c r="E1452" s="5"/>
    </row>
    <row r="1453">
      <c r="A1453" s="2"/>
      <c r="B1453" s="2"/>
      <c r="C1453" s="2"/>
      <c r="D1453" s="5"/>
      <c r="E1453" s="5"/>
    </row>
    <row r="1454">
      <c r="A1454" s="2"/>
      <c r="B1454" s="2"/>
      <c r="C1454" s="2"/>
      <c r="D1454" s="5"/>
      <c r="E1454" s="5"/>
    </row>
    <row r="1455">
      <c r="A1455" s="2"/>
      <c r="B1455" s="2"/>
      <c r="C1455" s="2"/>
      <c r="D1455" s="5"/>
      <c r="E1455" s="5"/>
    </row>
    <row r="1456">
      <c r="A1456" s="2"/>
      <c r="B1456" s="2"/>
      <c r="C1456" s="2"/>
      <c r="D1456" s="5"/>
      <c r="E1456" s="5"/>
    </row>
    <row r="1457">
      <c r="A1457" s="2"/>
      <c r="B1457" s="2"/>
      <c r="C1457" s="2"/>
      <c r="D1457" s="5"/>
      <c r="E1457" s="5"/>
    </row>
    <row r="1458">
      <c r="A1458" s="2"/>
      <c r="B1458" s="2"/>
      <c r="C1458" s="2"/>
      <c r="D1458" s="5"/>
      <c r="E1458" s="5"/>
    </row>
    <row r="1459">
      <c r="A1459" s="2"/>
      <c r="B1459" s="2"/>
      <c r="C1459" s="2"/>
      <c r="D1459" s="5"/>
      <c r="E1459" s="5"/>
    </row>
    <row r="1460">
      <c r="A1460" s="2"/>
      <c r="B1460" s="2"/>
      <c r="C1460" s="2"/>
      <c r="D1460" s="5"/>
      <c r="E1460" s="5"/>
    </row>
    <row r="1461">
      <c r="A1461" s="2"/>
      <c r="B1461" s="2"/>
      <c r="C1461" s="2"/>
      <c r="D1461" s="5"/>
      <c r="E1461" s="5"/>
    </row>
    <row r="1462">
      <c r="A1462" s="2"/>
      <c r="B1462" s="2"/>
      <c r="C1462" s="2"/>
      <c r="D1462" s="5"/>
      <c r="E1462" s="5"/>
    </row>
    <row r="1463">
      <c r="A1463" s="2"/>
      <c r="B1463" s="2"/>
      <c r="C1463" s="2"/>
      <c r="D1463" s="5"/>
      <c r="E1463" s="5"/>
    </row>
    <row r="1464">
      <c r="A1464" s="2"/>
      <c r="B1464" s="2"/>
      <c r="C1464" s="2"/>
      <c r="D1464" s="5"/>
      <c r="E1464" s="5"/>
    </row>
    <row r="1465">
      <c r="A1465" s="2"/>
      <c r="B1465" s="2"/>
      <c r="C1465" s="2"/>
      <c r="D1465" s="5"/>
      <c r="E1465" s="5"/>
    </row>
    <row r="1466">
      <c r="A1466" s="2"/>
      <c r="B1466" s="2"/>
      <c r="C1466" s="2"/>
      <c r="D1466" s="5"/>
      <c r="E1466" s="5"/>
    </row>
    <row r="1467">
      <c r="A1467" s="2"/>
      <c r="B1467" s="2"/>
      <c r="C1467" s="2"/>
      <c r="D1467" s="5"/>
      <c r="E1467" s="5"/>
    </row>
    <row r="1468">
      <c r="A1468" s="2"/>
      <c r="B1468" s="2"/>
      <c r="C1468" s="2"/>
      <c r="D1468" s="5"/>
      <c r="E1468" s="5"/>
    </row>
    <row r="1469">
      <c r="A1469" s="2"/>
      <c r="B1469" s="2"/>
      <c r="C1469" s="2"/>
      <c r="D1469" s="5"/>
      <c r="E1469" s="5"/>
    </row>
    <row r="1470">
      <c r="A1470" s="2"/>
      <c r="B1470" s="2"/>
      <c r="C1470" s="2"/>
      <c r="D1470" s="5"/>
      <c r="E1470" s="5"/>
    </row>
    <row r="1471">
      <c r="A1471" s="2"/>
      <c r="B1471" s="2"/>
      <c r="C1471" s="2"/>
      <c r="D1471" s="5"/>
      <c r="E1471" s="5"/>
    </row>
    <row r="1472">
      <c r="A1472" s="2"/>
      <c r="B1472" s="2"/>
      <c r="C1472" s="2"/>
      <c r="D1472" s="5"/>
      <c r="E1472" s="5"/>
    </row>
    <row r="1473">
      <c r="A1473" s="2"/>
      <c r="B1473" s="2"/>
      <c r="C1473" s="2"/>
      <c r="D1473" s="5"/>
      <c r="E1473" s="5"/>
    </row>
    <row r="1474">
      <c r="A1474" s="2"/>
      <c r="B1474" s="2"/>
      <c r="C1474" s="2"/>
      <c r="D1474" s="5"/>
      <c r="E1474" s="5"/>
    </row>
    <row r="1475">
      <c r="A1475" s="2"/>
      <c r="B1475" s="2"/>
      <c r="C1475" s="2"/>
      <c r="D1475" s="5"/>
      <c r="E1475" s="5"/>
    </row>
    <row r="1476">
      <c r="A1476" s="2"/>
      <c r="B1476" s="2"/>
      <c r="C1476" s="2"/>
      <c r="D1476" s="5"/>
      <c r="E1476" s="5"/>
    </row>
    <row r="1477">
      <c r="A1477" s="2"/>
      <c r="B1477" s="2"/>
      <c r="C1477" s="2"/>
      <c r="D1477" s="5"/>
      <c r="E1477" s="5"/>
    </row>
    <row r="1478">
      <c r="A1478" s="2"/>
      <c r="B1478" s="2"/>
      <c r="C1478" s="2"/>
      <c r="D1478" s="5"/>
      <c r="E1478" s="5"/>
    </row>
    <row r="1479">
      <c r="A1479" s="2"/>
      <c r="B1479" s="2"/>
      <c r="C1479" s="2"/>
      <c r="D1479" s="5"/>
      <c r="E1479" s="5"/>
    </row>
    <row r="1480">
      <c r="A1480" s="2"/>
      <c r="B1480" s="2"/>
      <c r="C1480" s="2"/>
      <c r="D1480" s="5"/>
      <c r="E1480" s="5"/>
    </row>
    <row r="1481">
      <c r="A1481" s="2"/>
      <c r="B1481" s="2"/>
      <c r="C1481" s="2"/>
      <c r="D1481" s="5"/>
      <c r="E1481" s="5"/>
    </row>
    <row r="1482">
      <c r="A1482" s="2"/>
      <c r="B1482" s="2"/>
      <c r="C1482" s="2"/>
      <c r="D1482" s="5"/>
      <c r="E1482" s="5"/>
    </row>
    <row r="1483">
      <c r="A1483" s="2"/>
      <c r="B1483" s="2"/>
      <c r="C1483" s="2"/>
      <c r="D1483" s="5"/>
      <c r="E1483" s="5"/>
    </row>
    <row r="1484">
      <c r="A1484" s="2"/>
      <c r="B1484" s="2"/>
      <c r="C1484" s="2"/>
      <c r="D1484" s="5"/>
      <c r="E1484" s="5"/>
    </row>
    <row r="1485">
      <c r="A1485" s="2"/>
      <c r="B1485" s="2"/>
      <c r="C1485" s="2"/>
      <c r="D1485" s="5"/>
      <c r="E1485" s="5"/>
    </row>
    <row r="1486">
      <c r="A1486" s="2"/>
      <c r="B1486" s="2"/>
      <c r="C1486" s="2"/>
      <c r="D1486" s="5"/>
      <c r="E1486" s="5"/>
    </row>
    <row r="1487">
      <c r="A1487" s="2"/>
      <c r="B1487" s="2"/>
      <c r="C1487" s="2"/>
      <c r="D1487" s="5"/>
      <c r="E1487" s="5"/>
    </row>
    <row r="1488">
      <c r="A1488" s="2"/>
      <c r="B1488" s="2"/>
      <c r="C1488" s="2"/>
      <c r="D1488" s="5"/>
      <c r="E1488" s="5"/>
    </row>
    <row r="1489">
      <c r="A1489" s="2"/>
      <c r="B1489" s="2"/>
      <c r="C1489" s="2"/>
      <c r="D1489" s="5"/>
      <c r="E1489" s="5"/>
    </row>
    <row r="1490">
      <c r="A1490" s="2"/>
      <c r="B1490" s="2"/>
      <c r="C1490" s="2"/>
      <c r="D1490" s="5"/>
      <c r="E1490" s="5"/>
    </row>
    <row r="1491">
      <c r="A1491" s="2"/>
      <c r="B1491" s="2"/>
      <c r="C1491" s="2"/>
      <c r="D1491" s="5"/>
      <c r="E1491" s="5"/>
    </row>
    <row r="1492">
      <c r="A1492" s="2"/>
      <c r="B1492" s="2"/>
      <c r="C1492" s="2"/>
      <c r="D1492" s="5"/>
      <c r="E1492" s="5"/>
    </row>
    <row r="1493">
      <c r="A1493" s="2"/>
      <c r="B1493" s="2"/>
      <c r="C1493" s="2"/>
      <c r="D1493" s="5"/>
      <c r="E1493" s="5"/>
    </row>
    <row r="1494">
      <c r="A1494" s="2"/>
      <c r="B1494" s="2"/>
      <c r="C1494" s="2"/>
      <c r="D1494" s="5"/>
      <c r="E1494" s="5"/>
    </row>
    <row r="1495">
      <c r="A1495" s="2"/>
      <c r="B1495" s="2"/>
      <c r="C1495" s="2"/>
      <c r="D1495" s="5"/>
      <c r="E1495" s="5"/>
    </row>
    <row r="1496">
      <c r="A1496" s="2"/>
      <c r="B1496" s="2"/>
      <c r="C1496" s="2"/>
      <c r="D1496" s="5"/>
      <c r="E1496" s="5"/>
    </row>
    <row r="1497">
      <c r="A1497" s="2"/>
      <c r="B1497" s="2"/>
      <c r="C1497" s="2"/>
      <c r="D1497" s="5"/>
      <c r="E1497" s="5"/>
    </row>
    <row r="1498">
      <c r="A1498" s="2"/>
      <c r="B1498" s="2"/>
      <c r="C1498" s="2"/>
      <c r="D1498" s="5"/>
      <c r="E1498" s="5"/>
    </row>
    <row r="1499">
      <c r="A1499" s="2"/>
      <c r="B1499" s="2"/>
      <c r="C1499" s="2"/>
      <c r="D1499" s="5"/>
      <c r="E1499" s="5"/>
    </row>
    <row r="1500">
      <c r="A1500" s="2"/>
      <c r="B1500" s="2"/>
      <c r="C1500" s="2"/>
      <c r="D1500" s="5"/>
      <c r="E1500" s="5"/>
    </row>
    <row r="1501">
      <c r="A1501" s="2"/>
      <c r="B1501" s="2"/>
      <c r="C1501" s="2"/>
      <c r="D1501" s="5"/>
      <c r="E1501" s="5"/>
    </row>
  </sheetData>
  <hyperlinks>
    <hyperlink r:id="rId1" ref="D152"/>
    <hyperlink r:id="rId2" ref="D426"/>
  </hyperlinks>
  <drawing r:id="rId3"/>
  <tableParts count="1">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2831</v>
      </c>
      <c r="B1" s="14"/>
      <c r="C1" s="14"/>
      <c r="D1" s="14"/>
      <c r="E1" s="14"/>
      <c r="F1" s="14"/>
      <c r="G1" s="14"/>
      <c r="H1" s="14"/>
      <c r="I1" s="14"/>
      <c r="J1" s="14"/>
      <c r="K1" s="14"/>
      <c r="L1" s="14"/>
      <c r="M1" s="14"/>
      <c r="N1" s="14"/>
      <c r="O1" s="14"/>
      <c r="P1" s="14"/>
      <c r="Q1" s="14"/>
      <c r="R1" s="14"/>
      <c r="S1" s="14"/>
      <c r="T1" s="14"/>
      <c r="U1" s="14"/>
      <c r="V1" s="14"/>
      <c r="W1" s="14"/>
      <c r="X1" s="14"/>
      <c r="Y1" s="14"/>
      <c r="Z1" s="14"/>
    </row>
    <row r="2">
      <c r="A2" s="15" t="s">
        <v>2832</v>
      </c>
      <c r="B2" s="14"/>
      <c r="C2" s="14"/>
      <c r="D2" s="14"/>
      <c r="E2" s="14"/>
      <c r="F2" s="14"/>
      <c r="G2" s="14"/>
      <c r="H2" s="14"/>
      <c r="I2" s="14"/>
      <c r="J2" s="14"/>
      <c r="K2" s="14"/>
      <c r="L2" s="14"/>
      <c r="M2" s="14"/>
      <c r="N2" s="14"/>
      <c r="O2" s="14"/>
      <c r="P2" s="14"/>
      <c r="Q2" s="14"/>
      <c r="R2" s="14"/>
      <c r="S2" s="14"/>
      <c r="T2" s="14"/>
      <c r="U2" s="14"/>
      <c r="V2" s="14"/>
      <c r="W2" s="14"/>
      <c r="X2" s="14"/>
      <c r="Y2" s="14"/>
      <c r="Z2" s="14"/>
    </row>
    <row r="3">
      <c r="A3" s="13"/>
      <c r="B3" s="14"/>
      <c r="C3" s="14"/>
      <c r="D3" s="14"/>
      <c r="E3" s="14"/>
      <c r="F3" s="14"/>
      <c r="G3" s="14"/>
      <c r="H3" s="14"/>
      <c r="I3" s="14"/>
      <c r="J3" s="14"/>
      <c r="K3" s="14"/>
      <c r="L3" s="14"/>
      <c r="M3" s="14"/>
      <c r="N3" s="14"/>
      <c r="O3" s="14"/>
      <c r="P3" s="14"/>
      <c r="Q3" s="14"/>
      <c r="R3" s="14"/>
      <c r="S3" s="14"/>
      <c r="T3" s="14"/>
      <c r="U3" s="14"/>
      <c r="V3" s="14"/>
      <c r="W3" s="14"/>
      <c r="X3" s="14"/>
      <c r="Y3" s="14"/>
      <c r="Z3" s="14"/>
    </row>
    <row r="4">
      <c r="A4" s="13" t="s">
        <v>2833</v>
      </c>
      <c r="B4" s="14"/>
      <c r="C4" s="14"/>
      <c r="D4" s="14"/>
      <c r="E4" s="14"/>
      <c r="F4" s="14"/>
      <c r="G4" s="14"/>
      <c r="H4" s="14"/>
      <c r="I4" s="14"/>
      <c r="J4" s="14"/>
      <c r="K4" s="14"/>
      <c r="L4" s="14"/>
      <c r="M4" s="14"/>
      <c r="N4" s="14"/>
      <c r="O4" s="14"/>
      <c r="P4" s="14"/>
      <c r="Q4" s="14"/>
      <c r="R4" s="14"/>
      <c r="S4" s="14"/>
      <c r="T4" s="14"/>
      <c r="U4" s="14"/>
      <c r="V4" s="14"/>
      <c r="W4" s="14"/>
      <c r="X4" s="14"/>
      <c r="Y4" s="14"/>
      <c r="Z4" s="14"/>
    </row>
    <row r="5">
      <c r="A5" s="13" t="s">
        <v>2834</v>
      </c>
      <c r="B5" s="14"/>
      <c r="C5" s="14"/>
      <c r="D5" s="14"/>
      <c r="E5" s="14"/>
      <c r="F5" s="14"/>
      <c r="G5" s="14"/>
      <c r="H5" s="14"/>
      <c r="I5" s="14"/>
      <c r="J5" s="14"/>
      <c r="K5" s="14"/>
      <c r="L5" s="14"/>
      <c r="M5" s="14"/>
      <c r="N5" s="14"/>
      <c r="O5" s="14"/>
      <c r="P5" s="14"/>
      <c r="Q5" s="14"/>
      <c r="R5" s="14"/>
      <c r="S5" s="14"/>
      <c r="T5" s="14"/>
      <c r="U5" s="14"/>
      <c r="V5" s="14"/>
      <c r="W5" s="14"/>
      <c r="X5" s="14"/>
      <c r="Y5" s="14"/>
      <c r="Z5" s="14"/>
    </row>
    <row r="6">
      <c r="A6" s="15" t="s">
        <v>2835</v>
      </c>
      <c r="B6" s="14"/>
      <c r="C6" s="14"/>
      <c r="D6" s="14"/>
      <c r="E6" s="14"/>
      <c r="F6" s="14"/>
      <c r="G6" s="14"/>
      <c r="H6" s="14"/>
      <c r="I6" s="14"/>
      <c r="J6" s="14"/>
      <c r="K6" s="14"/>
      <c r="L6" s="14"/>
      <c r="M6" s="14"/>
      <c r="N6" s="14"/>
      <c r="O6" s="14"/>
      <c r="P6" s="14"/>
      <c r="Q6" s="14"/>
      <c r="R6" s="14"/>
      <c r="S6" s="14"/>
      <c r="T6" s="14"/>
      <c r="U6" s="14"/>
      <c r="V6" s="14"/>
      <c r="W6" s="14"/>
      <c r="X6" s="14"/>
      <c r="Y6" s="14"/>
      <c r="Z6" s="14"/>
    </row>
    <row r="7">
      <c r="A7" s="14"/>
      <c r="B7" s="14"/>
      <c r="C7" s="14"/>
      <c r="D7" s="14"/>
      <c r="E7" s="14"/>
      <c r="F7" s="14"/>
      <c r="G7" s="14"/>
      <c r="H7" s="14"/>
      <c r="I7" s="14"/>
      <c r="J7" s="14"/>
      <c r="K7" s="14"/>
      <c r="L7" s="14"/>
      <c r="M7" s="14"/>
      <c r="N7" s="14"/>
      <c r="O7" s="14"/>
      <c r="P7" s="14"/>
      <c r="Q7" s="14"/>
      <c r="R7" s="14"/>
      <c r="S7" s="14"/>
      <c r="T7" s="14"/>
      <c r="U7" s="14"/>
      <c r="V7" s="14"/>
      <c r="W7" s="14"/>
      <c r="X7" s="14"/>
      <c r="Y7" s="14"/>
      <c r="Z7" s="14"/>
    </row>
    <row r="8">
      <c r="A8" s="16" t="s">
        <v>2836</v>
      </c>
      <c r="B8" s="14"/>
      <c r="C8" s="14"/>
      <c r="D8" s="14"/>
      <c r="E8" s="14"/>
      <c r="F8" s="14"/>
      <c r="G8" s="14"/>
      <c r="H8" s="14"/>
      <c r="I8" s="14"/>
      <c r="J8" s="14"/>
      <c r="K8" s="14"/>
      <c r="L8" s="14"/>
      <c r="M8" s="14"/>
      <c r="N8" s="14"/>
      <c r="O8" s="14"/>
      <c r="P8" s="14"/>
      <c r="Q8" s="14"/>
      <c r="R8" s="14"/>
      <c r="S8" s="14"/>
      <c r="T8" s="14"/>
      <c r="U8" s="14"/>
      <c r="V8" s="14"/>
      <c r="W8" s="14"/>
      <c r="X8" s="14"/>
      <c r="Y8" s="14"/>
      <c r="Z8" s="14"/>
    </row>
    <row r="9">
      <c r="A9" s="13" t="s">
        <v>2837</v>
      </c>
      <c r="B9" s="14"/>
      <c r="C9" s="14"/>
      <c r="D9" s="14"/>
      <c r="E9" s="14"/>
      <c r="F9" s="14"/>
      <c r="G9" s="14"/>
      <c r="H9" s="14"/>
      <c r="I9" s="14"/>
      <c r="J9" s="14"/>
      <c r="K9" s="14"/>
      <c r="L9" s="14"/>
      <c r="M9" s="14"/>
      <c r="N9" s="14"/>
      <c r="O9" s="14"/>
      <c r="P9" s="14"/>
      <c r="Q9" s="14"/>
      <c r="R9" s="14"/>
      <c r="S9" s="14"/>
      <c r="T9" s="14"/>
      <c r="U9" s="14"/>
      <c r="V9" s="14"/>
      <c r="W9" s="14"/>
      <c r="X9" s="14"/>
      <c r="Y9" s="14"/>
      <c r="Z9" s="14"/>
    </row>
    <row r="10">
      <c r="A10" s="13" t="s">
        <v>2838</v>
      </c>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A13" s="17" t="s">
        <v>2839</v>
      </c>
      <c r="B13" s="14"/>
      <c r="C13" s="13" t="s">
        <v>2840</v>
      </c>
      <c r="D13" s="14"/>
      <c r="E13" s="14"/>
      <c r="F13" s="14"/>
      <c r="G13" s="14"/>
      <c r="H13" s="14"/>
      <c r="I13" s="14"/>
      <c r="J13" s="14"/>
      <c r="K13" s="14"/>
      <c r="L13" s="14"/>
      <c r="M13" s="14"/>
      <c r="N13" s="14"/>
      <c r="O13" s="14"/>
      <c r="P13" s="14"/>
      <c r="Q13" s="14"/>
      <c r="R13" s="14"/>
      <c r="S13" s="14"/>
      <c r="T13" s="14"/>
      <c r="U13" s="14"/>
      <c r="V13" s="14"/>
      <c r="W13" s="14"/>
      <c r="X13" s="14"/>
      <c r="Y13" s="14"/>
      <c r="Z13" s="14"/>
    </row>
    <row r="14">
      <c r="A14" s="18" t="s">
        <v>2841</v>
      </c>
      <c r="B14" s="13"/>
      <c r="C14" s="13" t="s">
        <v>2842</v>
      </c>
      <c r="D14" s="14"/>
      <c r="E14" s="14"/>
      <c r="F14" s="14"/>
      <c r="G14" s="14"/>
      <c r="H14" s="14"/>
      <c r="I14" s="14"/>
      <c r="J14" s="14"/>
      <c r="K14" s="14"/>
      <c r="L14" s="14"/>
      <c r="M14" s="14"/>
      <c r="N14" s="14"/>
      <c r="O14" s="14"/>
      <c r="P14" s="14"/>
      <c r="Q14" s="14"/>
      <c r="R14" s="14"/>
      <c r="S14" s="14"/>
      <c r="T14" s="14"/>
      <c r="U14" s="14"/>
      <c r="V14" s="14"/>
      <c r="W14" s="14"/>
      <c r="X14" s="14"/>
      <c r="Y14" s="14"/>
      <c r="Z14" s="14"/>
    </row>
    <row r="15">
      <c r="A15" s="13" t="s">
        <v>2843</v>
      </c>
      <c r="B15" s="13"/>
      <c r="C15" s="13" t="s">
        <v>2844</v>
      </c>
      <c r="D15" s="14"/>
      <c r="E15" s="14"/>
      <c r="F15" s="14"/>
      <c r="G15" s="14"/>
      <c r="H15" s="14"/>
      <c r="I15" s="14"/>
      <c r="J15" s="14"/>
      <c r="K15" s="14"/>
      <c r="L15" s="14"/>
      <c r="M15" s="14"/>
      <c r="N15" s="14"/>
      <c r="O15" s="14"/>
      <c r="P15" s="14"/>
      <c r="Q15" s="14"/>
      <c r="R15" s="14"/>
      <c r="S15" s="14"/>
      <c r="T15" s="14"/>
      <c r="U15" s="14"/>
      <c r="V15" s="14"/>
      <c r="W15" s="14"/>
      <c r="X15" s="14"/>
      <c r="Y15" s="14"/>
      <c r="Z15" s="14"/>
    </row>
    <row r="16">
      <c r="A16" s="13"/>
      <c r="B16" s="13"/>
      <c r="C16" s="13"/>
      <c r="D16" s="14"/>
      <c r="E16" s="14"/>
      <c r="F16" s="14"/>
      <c r="G16" s="14"/>
      <c r="H16" s="14"/>
      <c r="I16" s="14"/>
      <c r="J16" s="14"/>
      <c r="K16" s="14"/>
      <c r="L16" s="14"/>
      <c r="M16" s="14"/>
      <c r="N16" s="14"/>
      <c r="O16" s="14"/>
      <c r="P16" s="14"/>
      <c r="Q16" s="14"/>
      <c r="R16" s="14"/>
      <c r="S16" s="14"/>
      <c r="T16" s="14"/>
      <c r="U16" s="14"/>
      <c r="V16" s="14"/>
      <c r="W16" s="14"/>
      <c r="X16" s="14"/>
      <c r="Y16" s="14"/>
      <c r="Z16" s="14"/>
    </row>
    <row r="17">
      <c r="A17" s="16" t="s">
        <v>2845</v>
      </c>
      <c r="B17" s="13"/>
      <c r="C17" s="13"/>
      <c r="D17" s="14"/>
      <c r="E17" s="14"/>
      <c r="F17" s="14"/>
      <c r="G17" s="14"/>
      <c r="H17" s="14"/>
      <c r="I17" s="14"/>
      <c r="J17" s="14"/>
      <c r="K17" s="14"/>
      <c r="L17" s="14"/>
      <c r="M17" s="14"/>
      <c r="N17" s="14"/>
      <c r="O17" s="14"/>
      <c r="P17" s="14"/>
      <c r="Q17" s="14"/>
      <c r="R17" s="14"/>
      <c r="S17" s="14"/>
      <c r="T17" s="14"/>
      <c r="U17" s="14"/>
      <c r="V17" s="14"/>
      <c r="W17" s="14"/>
      <c r="X17" s="14"/>
      <c r="Y17" s="14"/>
      <c r="Z17" s="14"/>
    </row>
    <row r="18">
      <c r="A18" s="13" t="s">
        <v>2846</v>
      </c>
      <c r="B18" s="13"/>
      <c r="C18" s="13"/>
      <c r="D18" s="14"/>
      <c r="E18" s="14"/>
      <c r="F18" s="14"/>
      <c r="G18" s="14"/>
      <c r="H18" s="14"/>
      <c r="I18" s="14"/>
      <c r="J18" s="14"/>
      <c r="K18" s="14"/>
      <c r="L18" s="14"/>
      <c r="M18" s="14"/>
      <c r="N18" s="14"/>
      <c r="O18" s="14"/>
      <c r="P18" s="14"/>
      <c r="Q18" s="14"/>
      <c r="R18" s="14"/>
      <c r="S18" s="14"/>
      <c r="T18" s="14"/>
      <c r="U18" s="14"/>
      <c r="V18" s="14"/>
      <c r="W18" s="14"/>
      <c r="X18" s="14"/>
      <c r="Y18" s="14"/>
      <c r="Z18" s="14"/>
    </row>
    <row r="19">
      <c r="A19" s="13" t="s">
        <v>2847</v>
      </c>
      <c r="B19" s="13"/>
      <c r="C19" s="13"/>
      <c r="D19" s="14"/>
      <c r="E19" s="14"/>
      <c r="F19" s="14"/>
      <c r="G19" s="14"/>
      <c r="H19" s="14"/>
      <c r="I19" s="14"/>
      <c r="J19" s="14"/>
      <c r="K19" s="14"/>
      <c r="L19" s="14"/>
      <c r="M19" s="14"/>
      <c r="N19" s="14"/>
      <c r="O19" s="14"/>
      <c r="P19" s="14"/>
      <c r="Q19" s="14"/>
      <c r="R19" s="14"/>
      <c r="S19" s="14"/>
      <c r="T19" s="14"/>
      <c r="U19" s="14"/>
      <c r="V19" s="14"/>
      <c r="W19" s="14"/>
      <c r="X19" s="14"/>
      <c r="Y19" s="14"/>
      <c r="Z19" s="14"/>
    </row>
    <row r="20">
      <c r="A20" s="13"/>
      <c r="B20" s="13"/>
      <c r="C20" s="13"/>
      <c r="D20" s="14"/>
      <c r="E20" s="14"/>
      <c r="F20" s="14"/>
      <c r="G20" s="14"/>
      <c r="H20" s="14"/>
      <c r="I20" s="14"/>
      <c r="J20" s="14"/>
      <c r="K20" s="14"/>
      <c r="L20" s="14"/>
      <c r="M20" s="14"/>
      <c r="N20" s="14"/>
      <c r="O20" s="14"/>
      <c r="P20" s="14"/>
      <c r="Q20" s="14"/>
      <c r="R20" s="14"/>
      <c r="S20" s="14"/>
      <c r="T20" s="14"/>
      <c r="U20" s="14"/>
      <c r="V20" s="14"/>
      <c r="W20" s="14"/>
      <c r="X20" s="14"/>
      <c r="Y20" s="14"/>
      <c r="Z20" s="14"/>
    </row>
    <row r="21">
      <c r="A21" s="16" t="s">
        <v>2848</v>
      </c>
      <c r="B21" s="13"/>
      <c r="C21" s="13"/>
      <c r="D21" s="14"/>
      <c r="E21" s="14"/>
      <c r="F21" s="14"/>
      <c r="G21" s="14"/>
      <c r="H21" s="14"/>
      <c r="I21" s="14"/>
      <c r="J21" s="14"/>
      <c r="K21" s="14"/>
      <c r="L21" s="14"/>
      <c r="M21" s="14"/>
      <c r="N21" s="14"/>
      <c r="O21" s="14"/>
      <c r="P21" s="14"/>
      <c r="Q21" s="14"/>
      <c r="R21" s="14"/>
      <c r="S21" s="14"/>
      <c r="T21" s="14"/>
      <c r="U21" s="14"/>
      <c r="V21" s="14"/>
      <c r="W21" s="14"/>
      <c r="X21" s="14"/>
      <c r="Y21" s="14"/>
      <c r="Z21" s="14"/>
    </row>
    <row r="22">
      <c r="A22" s="13" t="s">
        <v>2849</v>
      </c>
      <c r="B22" s="13"/>
      <c r="C22" s="13"/>
      <c r="D22" s="14"/>
      <c r="E22" s="14"/>
      <c r="F22" s="14"/>
      <c r="G22" s="14"/>
      <c r="H22" s="14"/>
      <c r="I22" s="14"/>
      <c r="J22" s="14"/>
      <c r="K22" s="14"/>
      <c r="L22" s="14"/>
      <c r="M22" s="14"/>
      <c r="N22" s="14"/>
      <c r="O22" s="14"/>
      <c r="P22" s="14"/>
      <c r="Q22" s="14"/>
      <c r="R22" s="14"/>
      <c r="S22" s="14"/>
      <c r="T22" s="14"/>
      <c r="U22" s="14"/>
      <c r="V22" s="14"/>
      <c r="W22" s="14"/>
      <c r="X22" s="14"/>
      <c r="Y22" s="14"/>
      <c r="Z22" s="14"/>
    </row>
    <row r="23">
      <c r="A23" s="17" t="s">
        <v>2850</v>
      </c>
      <c r="B23" s="13"/>
      <c r="C23" s="13"/>
      <c r="D23" s="14"/>
      <c r="E23" s="13" t="s">
        <v>2851</v>
      </c>
      <c r="F23" s="14"/>
      <c r="G23" s="14"/>
      <c r="H23" s="14"/>
      <c r="I23" s="14"/>
      <c r="J23" s="14"/>
      <c r="K23" s="14"/>
      <c r="L23" s="14"/>
      <c r="M23" s="14"/>
      <c r="N23" s="14"/>
      <c r="O23" s="14"/>
      <c r="P23" s="14"/>
      <c r="Q23" s="14"/>
      <c r="R23" s="14"/>
      <c r="S23" s="14"/>
      <c r="T23" s="14"/>
      <c r="U23" s="14"/>
      <c r="V23" s="14"/>
      <c r="W23" s="14"/>
      <c r="X23" s="14"/>
      <c r="Y23" s="14"/>
      <c r="Z23" s="14"/>
    </row>
    <row r="24">
      <c r="A24" s="13"/>
      <c r="B24" s="13"/>
      <c r="C24" s="13"/>
      <c r="D24" s="14"/>
      <c r="E24" s="14"/>
      <c r="F24" s="14"/>
      <c r="G24" s="14"/>
      <c r="H24" s="14"/>
      <c r="I24" s="14"/>
      <c r="J24" s="14"/>
      <c r="K24" s="14"/>
      <c r="L24" s="14"/>
      <c r="M24" s="14"/>
      <c r="N24" s="14"/>
      <c r="O24" s="14"/>
      <c r="P24" s="14"/>
      <c r="Q24" s="14"/>
      <c r="R24" s="14"/>
      <c r="S24" s="14"/>
      <c r="T24" s="14"/>
      <c r="U24" s="14"/>
      <c r="V24" s="14"/>
      <c r="W24" s="14"/>
      <c r="X24" s="14"/>
      <c r="Y24" s="14"/>
      <c r="Z24" s="14"/>
    </row>
    <row r="25">
      <c r="A25" s="16" t="s">
        <v>2852</v>
      </c>
      <c r="B25" s="13"/>
      <c r="C25" s="13"/>
      <c r="D25" s="14"/>
      <c r="E25" s="14"/>
      <c r="F25" s="14"/>
      <c r="G25" s="14"/>
      <c r="H25" s="14"/>
      <c r="I25" s="14"/>
      <c r="J25" s="14"/>
      <c r="K25" s="14"/>
      <c r="L25" s="14"/>
      <c r="M25" s="14"/>
      <c r="N25" s="14"/>
      <c r="O25" s="14"/>
      <c r="P25" s="14"/>
      <c r="Q25" s="14"/>
      <c r="R25" s="14"/>
      <c r="S25" s="14"/>
      <c r="T25" s="14"/>
      <c r="U25" s="14"/>
      <c r="V25" s="14"/>
      <c r="W25" s="14"/>
      <c r="X25" s="14"/>
      <c r="Y25" s="14"/>
      <c r="Z25" s="14"/>
    </row>
    <row r="26">
      <c r="A26" s="13" t="s">
        <v>2853</v>
      </c>
      <c r="B26" s="13"/>
      <c r="C26" s="13"/>
      <c r="D26" s="14"/>
      <c r="E26" s="14"/>
      <c r="F26" s="14"/>
      <c r="G26" s="14"/>
      <c r="H26" s="14"/>
      <c r="I26" s="14"/>
      <c r="J26" s="14"/>
      <c r="K26" s="14"/>
      <c r="L26" s="14"/>
      <c r="M26" s="14"/>
      <c r="N26" s="14"/>
      <c r="O26" s="14"/>
      <c r="P26" s="14"/>
      <c r="Q26" s="14"/>
      <c r="R26" s="14"/>
      <c r="S26" s="14"/>
      <c r="T26" s="14"/>
      <c r="U26" s="14"/>
      <c r="V26" s="14"/>
      <c r="W26" s="14"/>
      <c r="X26" s="14"/>
      <c r="Y26" s="14"/>
      <c r="Z26" s="14"/>
    </row>
    <row r="27">
      <c r="A27" s="13" t="s">
        <v>2854</v>
      </c>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5" t="s">
        <v>2855</v>
      </c>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3" t="s">
        <v>2856</v>
      </c>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3"/>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3" t="s">
        <v>2857</v>
      </c>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6" t="s">
        <v>2858</v>
      </c>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3" t="s">
        <v>2859</v>
      </c>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3" t="s">
        <v>2860</v>
      </c>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5" t="s">
        <v>2861</v>
      </c>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9" t="s">
        <v>2862</v>
      </c>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3" t="s">
        <v>2863</v>
      </c>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9" t="s">
        <v>2864</v>
      </c>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6" t="s">
        <v>2865</v>
      </c>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3" t="s">
        <v>2866</v>
      </c>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sheetData>
  <hyperlinks>
    <hyperlink r:id="rId1" ref="A13"/>
    <hyperlink r:id="rId2" ref="A14"/>
    <hyperlink r:id="rId3" ref="A23"/>
  </hyperlinks>
  <drawing r:id="rId4"/>
</worksheet>
</file>