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5805"/>
  </bookViews>
  <sheets>
    <sheet name="Al-khair cash" sheetId="10" r:id="rId1"/>
    <sheet name="2019" sheetId="17" r:id="rId2"/>
    <sheet name="2020" sheetId="14" r:id="rId3"/>
    <sheet name="proft rec" sheetId="16" r:id="rId4"/>
    <sheet name="investor shares" sheetId="18" r:id="rId5"/>
    <sheet name="Sheet1" sheetId="19" r:id="rId6"/>
  </sheets>
  <calcPr calcId="124519"/>
</workbook>
</file>

<file path=xl/calcChain.xml><?xml version="1.0" encoding="utf-8"?>
<calcChain xmlns="http://schemas.openxmlformats.org/spreadsheetml/2006/main">
  <c r="G264" i="10"/>
  <c r="F264" s="1"/>
  <c r="G263"/>
  <c r="F263" s="1"/>
  <c r="G262"/>
  <c r="F262" s="1"/>
  <c r="G260"/>
  <c r="F260" s="1"/>
  <c r="G259"/>
  <c r="F259" s="1"/>
  <c r="G258"/>
  <c r="F258" s="1"/>
  <c r="K118" i="14"/>
  <c r="AM118"/>
  <c r="AP118"/>
  <c r="AS118"/>
  <c r="AV118"/>
  <c r="AJ118"/>
  <c r="AG118"/>
  <c r="AD118"/>
  <c r="AA118"/>
  <c r="X118"/>
  <c r="U118"/>
  <c r="R118"/>
  <c r="L117"/>
  <c r="M117" s="1"/>
  <c r="AY117"/>
  <c r="G257" i="10"/>
  <c r="F257" s="1"/>
  <c r="G256"/>
  <c r="F256" s="1"/>
  <c r="G255"/>
  <c r="F255" s="1"/>
  <c r="G254"/>
  <c r="F254" s="1"/>
  <c r="F253"/>
  <c r="G253"/>
  <c r="G252"/>
  <c r="F252" s="1"/>
  <c r="F251"/>
  <c r="G251"/>
  <c r="G250"/>
  <c r="F250" s="1"/>
  <c r="L116" i="14"/>
  <c r="M116" s="1"/>
  <c r="AY116"/>
  <c r="G249" i="10"/>
  <c r="F249" s="1"/>
  <c r="L115" i="14"/>
  <c r="M115" s="1"/>
  <c r="AY115"/>
  <c r="G248" i="10"/>
  <c r="F248" s="1"/>
  <c r="L114" i="14"/>
  <c r="M114" s="1"/>
  <c r="AY114"/>
  <c r="L113"/>
  <c r="M113" s="1"/>
  <c r="AY113"/>
  <c r="G247" i="10"/>
  <c r="F247" s="1"/>
  <c r="L112" i="14"/>
  <c r="M112" s="1"/>
  <c r="AY112"/>
  <c r="G246" i="10"/>
  <c r="F246" s="1"/>
  <c r="L111" i="14"/>
  <c r="M111" s="1"/>
  <c r="AY111"/>
  <c r="L110"/>
  <c r="M110" s="1"/>
  <c r="AY110"/>
  <c r="G242" i="10"/>
  <c r="F242" s="1"/>
  <c r="G241"/>
  <c r="F241" s="1"/>
  <c r="G240"/>
  <c r="F240" s="1"/>
  <c r="G236"/>
  <c r="F236" s="1"/>
  <c r="G235"/>
  <c r="F235" s="1"/>
  <c r="L109" i="14"/>
  <c r="M109" s="1"/>
  <c r="AY109"/>
  <c r="L108"/>
  <c r="M108" s="1"/>
  <c r="AY108"/>
  <c r="G232" i="10"/>
  <c r="F232" s="1"/>
  <c r="F231"/>
  <c r="G231"/>
  <c r="G230"/>
  <c r="F230" s="1"/>
  <c r="L107" i="14"/>
  <c r="M107" s="1"/>
  <c r="AY107"/>
  <c r="G228" i="10"/>
  <c r="F228" s="1"/>
  <c r="L106" i="14"/>
  <c r="M106" s="1"/>
  <c r="AY106"/>
  <c r="F227" i="10"/>
  <c r="G227"/>
  <c r="G226"/>
  <c r="F226" s="1"/>
  <c r="L105" i="14"/>
  <c r="M105" s="1"/>
  <c r="I105" s="1"/>
  <c r="AY105"/>
  <c r="L104"/>
  <c r="M104" s="1"/>
  <c r="AY104"/>
  <c r="L103"/>
  <c r="M103" s="1"/>
  <c r="AY103"/>
  <c r="L102"/>
  <c r="M102" s="1"/>
  <c r="AY102"/>
  <c r="G225" i="10"/>
  <c r="F225" s="1"/>
  <c r="G224"/>
  <c r="F224" s="1"/>
  <c r="L101" i="14"/>
  <c r="M101" s="1"/>
  <c r="I101" s="1"/>
  <c r="AY101"/>
  <c r="G223" i="10"/>
  <c r="F223" s="1"/>
  <c r="G222"/>
  <c r="F222" s="1"/>
  <c r="L100" i="14"/>
  <c r="M100" s="1"/>
  <c r="I100" s="1"/>
  <c r="AY100"/>
  <c r="G221" i="10"/>
  <c r="F221" s="1"/>
  <c r="G220"/>
  <c r="F220" s="1"/>
  <c r="L99" i="14"/>
  <c r="M99" s="1"/>
  <c r="AY99"/>
  <c r="L98"/>
  <c r="M98" s="1"/>
  <c r="I98" s="1"/>
  <c r="AY98"/>
  <c r="G219" i="10"/>
  <c r="F219" s="1"/>
  <c r="G218"/>
  <c r="F218" s="1"/>
  <c r="G217"/>
  <c r="F217" s="1"/>
  <c r="F216"/>
  <c r="G216"/>
  <c r="G215"/>
  <c r="F215" s="1"/>
  <c r="G214"/>
  <c r="F214" s="1"/>
  <c r="F213"/>
  <c r="G213"/>
  <c r="G212"/>
  <c r="F212" s="1"/>
  <c r="G211"/>
  <c r="F211" s="1"/>
  <c r="G210"/>
  <c r="F210" s="1"/>
  <c r="L97" i="14"/>
  <c r="M97" s="1"/>
  <c r="AY97"/>
  <c r="L96"/>
  <c r="M96" s="1"/>
  <c r="AY96"/>
  <c r="L95"/>
  <c r="M95" s="1"/>
  <c r="AY95"/>
  <c r="F209" i="10"/>
  <c r="G209"/>
  <c r="AB11" i="18"/>
  <c r="AA11"/>
  <c r="AC11" s="1"/>
  <c r="AC7"/>
  <c r="AC8" s="1"/>
  <c r="AC9" s="1"/>
  <c r="AC10" s="1"/>
  <c r="AC6"/>
  <c r="AF17" i="16"/>
  <c r="AE17"/>
  <c r="AH6"/>
  <c r="AH7" s="1"/>
  <c r="I117" i="14" l="1"/>
  <c r="AU117" s="1"/>
  <c r="AT117" s="1"/>
  <c r="N117"/>
  <c r="G261" i="10"/>
  <c r="F261" s="1"/>
  <c r="AO117" i="14"/>
  <c r="AN117" s="1"/>
  <c r="N116"/>
  <c r="I116"/>
  <c r="I115"/>
  <c r="AU115" s="1"/>
  <c r="AT115" s="1"/>
  <c r="N115"/>
  <c r="AO115"/>
  <c r="AN115" s="1"/>
  <c r="N114"/>
  <c r="I114"/>
  <c r="N113"/>
  <c r="I113"/>
  <c r="I112"/>
  <c r="AO112" s="1"/>
  <c r="AN112" s="1"/>
  <c r="N112"/>
  <c r="N111"/>
  <c r="I111"/>
  <c r="T111" s="1"/>
  <c r="S111" s="1"/>
  <c r="I110"/>
  <c r="T110" s="1"/>
  <c r="S110" s="1"/>
  <c r="N110"/>
  <c r="AI110"/>
  <c r="AH110" s="1"/>
  <c r="G243" i="10"/>
  <c r="G237"/>
  <c r="N109" i="14"/>
  <c r="I109"/>
  <c r="T109" s="1"/>
  <c r="S109" s="1"/>
  <c r="G233" i="10"/>
  <c r="I108" i="14"/>
  <c r="N108"/>
  <c r="G229" i="10"/>
  <c r="F229" s="1"/>
  <c r="I107" i="14"/>
  <c r="N107"/>
  <c r="N106"/>
  <c r="I106"/>
  <c r="AI105"/>
  <c r="AH105" s="1"/>
  <c r="T105"/>
  <c r="S105" s="1"/>
  <c r="Z105"/>
  <c r="Y105" s="1"/>
  <c r="AF105"/>
  <c r="AE105" s="1"/>
  <c r="AL105"/>
  <c r="AK105" s="1"/>
  <c r="AR105"/>
  <c r="AQ105" s="1"/>
  <c r="AX105"/>
  <c r="AW105" s="1"/>
  <c r="Q105"/>
  <c r="P105" s="1"/>
  <c r="W105"/>
  <c r="V105" s="1"/>
  <c r="AC105"/>
  <c r="AB105" s="1"/>
  <c r="AO105"/>
  <c r="AN105" s="1"/>
  <c r="AU105"/>
  <c r="AT105" s="1"/>
  <c r="N105"/>
  <c r="N104"/>
  <c r="I104"/>
  <c r="AO104" s="1"/>
  <c r="AN104" s="1"/>
  <c r="I103"/>
  <c r="T103" s="1"/>
  <c r="S103" s="1"/>
  <c r="N103"/>
  <c r="I102"/>
  <c r="AI102" s="1"/>
  <c r="AH102" s="1"/>
  <c r="N102"/>
  <c r="AL101"/>
  <c r="AK101" s="1"/>
  <c r="W101"/>
  <c r="V101" s="1"/>
  <c r="AI101"/>
  <c r="AH101" s="1"/>
  <c r="AU101"/>
  <c r="AT101" s="1"/>
  <c r="T101"/>
  <c r="S101" s="1"/>
  <c r="Z101"/>
  <c r="Y101" s="1"/>
  <c r="AF101"/>
  <c r="AE101" s="1"/>
  <c r="AR101"/>
  <c r="AQ101" s="1"/>
  <c r="AX101"/>
  <c r="AW101" s="1"/>
  <c r="Q101"/>
  <c r="P101" s="1"/>
  <c r="AC101"/>
  <c r="AB101" s="1"/>
  <c r="AO101"/>
  <c r="AN101" s="1"/>
  <c r="N101"/>
  <c r="T100"/>
  <c r="S100" s="1"/>
  <c r="Z100"/>
  <c r="Y100" s="1"/>
  <c r="AF100"/>
  <c r="AE100" s="1"/>
  <c r="AL100"/>
  <c r="AK100" s="1"/>
  <c r="AR100"/>
  <c r="AQ100" s="1"/>
  <c r="AX100"/>
  <c r="AW100" s="1"/>
  <c r="Q100"/>
  <c r="P100" s="1"/>
  <c r="W100"/>
  <c r="V100" s="1"/>
  <c r="AC100"/>
  <c r="AB100" s="1"/>
  <c r="AI100"/>
  <c r="AH100" s="1"/>
  <c r="AO100"/>
  <c r="AN100" s="1"/>
  <c r="AU100"/>
  <c r="AT100" s="1"/>
  <c r="N100"/>
  <c r="I99"/>
  <c r="N99"/>
  <c r="AU98"/>
  <c r="AT98" s="1"/>
  <c r="T98"/>
  <c r="S98" s="1"/>
  <c r="Z98"/>
  <c r="Y98" s="1"/>
  <c r="AF98"/>
  <c r="AE98" s="1"/>
  <c r="AL98"/>
  <c r="AK98" s="1"/>
  <c r="AR98"/>
  <c r="AQ98" s="1"/>
  <c r="AX98"/>
  <c r="AW98" s="1"/>
  <c r="Q98"/>
  <c r="P98" s="1"/>
  <c r="W98"/>
  <c r="V98" s="1"/>
  <c r="AC98"/>
  <c r="AB98" s="1"/>
  <c r="AI98"/>
  <c r="AH98" s="1"/>
  <c r="AO98"/>
  <c r="AN98" s="1"/>
  <c r="N98"/>
  <c r="N97"/>
  <c r="I97"/>
  <c r="I96"/>
  <c r="N96"/>
  <c r="I95"/>
  <c r="N95"/>
  <c r="AH8" i="16"/>
  <c r="AG7"/>
  <c r="AG6"/>
  <c r="L94" i="14"/>
  <c r="M94" s="1"/>
  <c r="AY94"/>
  <c r="L93"/>
  <c r="M93" s="1"/>
  <c r="AY93"/>
  <c r="L92"/>
  <c r="M92" s="1"/>
  <c r="AY92"/>
  <c r="L91"/>
  <c r="M91" s="1"/>
  <c r="AY91"/>
  <c r="J8" i="10"/>
  <c r="K8"/>
  <c r="L90" i="14"/>
  <c r="M90" s="1"/>
  <c r="I90" s="1"/>
  <c r="AY90"/>
  <c r="L89"/>
  <c r="M89" s="1"/>
  <c r="AY89"/>
  <c r="L88"/>
  <c r="M88" s="1"/>
  <c r="AY88"/>
  <c r="L87"/>
  <c r="M87" s="1"/>
  <c r="AY87"/>
  <c r="L86"/>
  <c r="M86" s="1"/>
  <c r="I86" s="1"/>
  <c r="AY86"/>
  <c r="L85"/>
  <c r="M85" s="1"/>
  <c r="I85" s="1"/>
  <c r="AY85"/>
  <c r="L84"/>
  <c r="M84" s="1"/>
  <c r="I84" s="1"/>
  <c r="AY84"/>
  <c r="L83"/>
  <c r="M83" s="1"/>
  <c r="AY83"/>
  <c r="L82"/>
  <c r="M82" s="1"/>
  <c r="I82" s="1"/>
  <c r="AY82"/>
  <c r="L81"/>
  <c r="M81" s="1"/>
  <c r="AY81"/>
  <c r="L80"/>
  <c r="M80" s="1"/>
  <c r="AY80"/>
  <c r="L79"/>
  <c r="M79" s="1"/>
  <c r="I79" s="1"/>
  <c r="AY79"/>
  <c r="L78"/>
  <c r="M78" s="1"/>
  <c r="AY78"/>
  <c r="J7" i="10"/>
  <c r="K7"/>
  <c r="L77" i="14"/>
  <c r="M77" s="1"/>
  <c r="I77" s="1"/>
  <c r="AY77"/>
  <c r="L76"/>
  <c r="M76" s="1"/>
  <c r="AY76"/>
  <c r="L75"/>
  <c r="M75" s="1"/>
  <c r="AY75"/>
  <c r="L74"/>
  <c r="M74" s="1"/>
  <c r="I74" s="1"/>
  <c r="AY74"/>
  <c r="L73"/>
  <c r="M73" s="1"/>
  <c r="I73" s="1"/>
  <c r="AY73"/>
  <c r="L72"/>
  <c r="M72" s="1"/>
  <c r="I72" s="1"/>
  <c r="AY72"/>
  <c r="AI117" l="1"/>
  <c r="AH117" s="1"/>
  <c r="AC117"/>
  <c r="AB117" s="1"/>
  <c r="W117"/>
  <c r="V117" s="1"/>
  <c r="Q117"/>
  <c r="P117" s="1"/>
  <c r="T117"/>
  <c r="S117" s="1"/>
  <c r="AR117"/>
  <c r="AQ117" s="1"/>
  <c r="AL117"/>
  <c r="AK117" s="1"/>
  <c r="AF117"/>
  <c r="AE117" s="1"/>
  <c r="Z117"/>
  <c r="Y117" s="1"/>
  <c r="AX117"/>
  <c r="AW117" s="1"/>
  <c r="AI115"/>
  <c r="AH115" s="1"/>
  <c r="T116"/>
  <c r="S116" s="1"/>
  <c r="Z116"/>
  <c r="Y116" s="1"/>
  <c r="AF116"/>
  <c r="AE116" s="1"/>
  <c r="AL116"/>
  <c r="AK116" s="1"/>
  <c r="AR116"/>
  <c r="AQ116" s="1"/>
  <c r="AX116"/>
  <c r="AW116" s="1"/>
  <c r="Q116"/>
  <c r="P116" s="1"/>
  <c r="W116"/>
  <c r="V116" s="1"/>
  <c r="AC116"/>
  <c r="AB116" s="1"/>
  <c r="AI116"/>
  <c r="AH116" s="1"/>
  <c r="AO116"/>
  <c r="AN116" s="1"/>
  <c r="AU116"/>
  <c r="AT116" s="1"/>
  <c r="AC115"/>
  <c r="AB115" s="1"/>
  <c r="W115"/>
  <c r="V115" s="1"/>
  <c r="Q115"/>
  <c r="P115" s="1"/>
  <c r="T115"/>
  <c r="S115" s="1"/>
  <c r="AF115"/>
  <c r="AE115" s="1"/>
  <c r="Z115"/>
  <c r="Y115" s="1"/>
  <c r="AX115"/>
  <c r="AW115" s="1"/>
  <c r="AR115"/>
  <c r="AQ115" s="1"/>
  <c r="AL115"/>
  <c r="AK115" s="1"/>
  <c r="T114"/>
  <c r="S114" s="1"/>
  <c r="Z114"/>
  <c r="Y114" s="1"/>
  <c r="AF114"/>
  <c r="AE114" s="1"/>
  <c r="AL114"/>
  <c r="AK114" s="1"/>
  <c r="AR114"/>
  <c r="AQ114" s="1"/>
  <c r="AX114"/>
  <c r="AW114" s="1"/>
  <c r="Q114"/>
  <c r="P114" s="1"/>
  <c r="W114"/>
  <c r="V114" s="1"/>
  <c r="AC114"/>
  <c r="AB114" s="1"/>
  <c r="AI114"/>
  <c r="AH114" s="1"/>
  <c r="AO114"/>
  <c r="AN114" s="1"/>
  <c r="AU114"/>
  <c r="AT114" s="1"/>
  <c r="T113"/>
  <c r="S113" s="1"/>
  <c r="Z113"/>
  <c r="Y113" s="1"/>
  <c r="AF113"/>
  <c r="AE113" s="1"/>
  <c r="AL113"/>
  <c r="AK113" s="1"/>
  <c r="AR113"/>
  <c r="AQ113" s="1"/>
  <c r="AX113"/>
  <c r="AW113" s="1"/>
  <c r="AI113"/>
  <c r="AH113" s="1"/>
  <c r="Q113"/>
  <c r="P113" s="1"/>
  <c r="W113"/>
  <c r="V113" s="1"/>
  <c r="AC113"/>
  <c r="AB113" s="1"/>
  <c r="AO113"/>
  <c r="AN113" s="1"/>
  <c r="AU113"/>
  <c r="AT113" s="1"/>
  <c r="AI112"/>
  <c r="AH112" s="1"/>
  <c r="Q112"/>
  <c r="P112" s="1"/>
  <c r="AF112"/>
  <c r="AE112" s="1"/>
  <c r="Z112"/>
  <c r="Y112" s="1"/>
  <c r="AX112"/>
  <c r="AW112" s="1"/>
  <c r="T112"/>
  <c r="S112" s="1"/>
  <c r="AR112"/>
  <c r="AQ112" s="1"/>
  <c r="AL112"/>
  <c r="AK112" s="1"/>
  <c r="AC112"/>
  <c r="AB112" s="1"/>
  <c r="W112"/>
  <c r="V112" s="1"/>
  <c r="AU112"/>
  <c r="AT112" s="1"/>
  <c r="Z110"/>
  <c r="Y110" s="1"/>
  <c r="AL111"/>
  <c r="AK111" s="1"/>
  <c r="W111"/>
  <c r="V111" s="1"/>
  <c r="AU111"/>
  <c r="AT111" s="1"/>
  <c r="AF111"/>
  <c r="AE111" s="1"/>
  <c r="Q111"/>
  <c r="P111" s="1"/>
  <c r="AO111"/>
  <c r="AN111" s="1"/>
  <c r="Z111"/>
  <c r="Y111" s="1"/>
  <c r="AX111"/>
  <c r="AW111" s="1"/>
  <c r="AI111"/>
  <c r="AH111" s="1"/>
  <c r="AR111"/>
  <c r="AQ111" s="1"/>
  <c r="AC111"/>
  <c r="AB111" s="1"/>
  <c r="Q110"/>
  <c r="P110" s="1"/>
  <c r="AX110"/>
  <c r="AW110" s="1"/>
  <c r="AF110"/>
  <c r="AE110" s="1"/>
  <c r="AO110"/>
  <c r="AN110" s="1"/>
  <c r="AR110"/>
  <c r="AQ110" s="1"/>
  <c r="AC110"/>
  <c r="AB110" s="1"/>
  <c r="AL110"/>
  <c r="AK110" s="1"/>
  <c r="W110"/>
  <c r="V110" s="1"/>
  <c r="AU110"/>
  <c r="AT110" s="1"/>
  <c r="F243" i="10"/>
  <c r="G244"/>
  <c r="F237"/>
  <c r="G238"/>
  <c r="AO109" i="14"/>
  <c r="AN109" s="1"/>
  <c r="AR109"/>
  <c r="AQ109" s="1"/>
  <c r="AL109"/>
  <c r="AK109" s="1"/>
  <c r="AC109"/>
  <c r="AB109" s="1"/>
  <c r="AI109"/>
  <c r="AH109" s="1"/>
  <c r="AF109"/>
  <c r="AE109" s="1"/>
  <c r="Q109"/>
  <c r="P109" s="1"/>
  <c r="W109"/>
  <c r="V109" s="1"/>
  <c r="Z109"/>
  <c r="Y109" s="1"/>
  <c r="AX109"/>
  <c r="AW109" s="1"/>
  <c r="AU109"/>
  <c r="AT109" s="1"/>
  <c r="F233" i="10"/>
  <c r="G234"/>
  <c r="F234" s="1"/>
  <c r="Q108" i="14"/>
  <c r="P108" s="1"/>
  <c r="W108"/>
  <c r="V108" s="1"/>
  <c r="AC108"/>
  <c r="AB108" s="1"/>
  <c r="AO108"/>
  <c r="AN108" s="1"/>
  <c r="T108"/>
  <c r="S108" s="1"/>
  <c r="Z108"/>
  <c r="Y108" s="1"/>
  <c r="AF108"/>
  <c r="AE108" s="1"/>
  <c r="AL108"/>
  <c r="AK108" s="1"/>
  <c r="AR108"/>
  <c r="AQ108" s="1"/>
  <c r="AX108"/>
  <c r="AW108" s="1"/>
  <c r="AI108"/>
  <c r="AH108" s="1"/>
  <c r="AU108"/>
  <c r="AT108" s="1"/>
  <c r="AF107"/>
  <c r="AE107" s="1"/>
  <c r="Q107"/>
  <c r="P107" s="1"/>
  <c r="W107"/>
  <c r="V107" s="1"/>
  <c r="AC107"/>
  <c r="AB107" s="1"/>
  <c r="AO107"/>
  <c r="AN107" s="1"/>
  <c r="T107"/>
  <c r="S107" s="1"/>
  <c r="Z107"/>
  <c r="Y107" s="1"/>
  <c r="AL107"/>
  <c r="AK107" s="1"/>
  <c r="AR107"/>
  <c r="AQ107" s="1"/>
  <c r="AX107"/>
  <c r="AW107" s="1"/>
  <c r="AI107"/>
  <c r="AH107" s="1"/>
  <c r="AU107"/>
  <c r="AT107" s="1"/>
  <c r="W106"/>
  <c r="V106" s="1"/>
  <c r="AI106"/>
  <c r="AH106" s="1"/>
  <c r="AU106"/>
  <c r="AT106" s="1"/>
  <c r="T106"/>
  <c r="S106" s="1"/>
  <c r="Z106"/>
  <c r="Y106" s="1"/>
  <c r="AF106"/>
  <c r="AE106" s="1"/>
  <c r="AL106"/>
  <c r="AK106" s="1"/>
  <c r="AR106"/>
  <c r="AQ106" s="1"/>
  <c r="AX106"/>
  <c r="AW106" s="1"/>
  <c r="Q106"/>
  <c r="P106" s="1"/>
  <c r="AC106"/>
  <c r="AB106" s="1"/>
  <c r="AO106"/>
  <c r="AN106" s="1"/>
  <c r="Z103"/>
  <c r="Y103" s="1"/>
  <c r="AL104"/>
  <c r="AK104" s="1"/>
  <c r="Q103"/>
  <c r="P103" s="1"/>
  <c r="AI103"/>
  <c r="AH103" s="1"/>
  <c r="Q104"/>
  <c r="P104" s="1"/>
  <c r="AC104"/>
  <c r="AB104" s="1"/>
  <c r="Z104"/>
  <c r="Y104" s="1"/>
  <c r="AI104"/>
  <c r="AH104" s="1"/>
  <c r="AR104"/>
  <c r="AQ104" s="1"/>
  <c r="T104"/>
  <c r="S104" s="1"/>
  <c r="AX104"/>
  <c r="AW104" s="1"/>
  <c r="AF104"/>
  <c r="AE104" s="1"/>
  <c r="W104"/>
  <c r="V104" s="1"/>
  <c r="AU104"/>
  <c r="AT104" s="1"/>
  <c r="AX103"/>
  <c r="AW103" s="1"/>
  <c r="AF103"/>
  <c r="AE103" s="1"/>
  <c r="AO103"/>
  <c r="AN103" s="1"/>
  <c r="AR103"/>
  <c r="AQ103" s="1"/>
  <c r="AC103"/>
  <c r="AB103" s="1"/>
  <c r="AL103"/>
  <c r="AK103" s="1"/>
  <c r="W103"/>
  <c r="V103" s="1"/>
  <c r="AU103"/>
  <c r="AT103" s="1"/>
  <c r="Q102"/>
  <c r="P102" s="1"/>
  <c r="AO102"/>
  <c r="AN102" s="1"/>
  <c r="N94"/>
  <c r="T102"/>
  <c r="S102" s="1"/>
  <c r="AL102"/>
  <c r="AK102" s="1"/>
  <c r="AF102"/>
  <c r="AE102" s="1"/>
  <c r="Z102"/>
  <c r="Y102" s="1"/>
  <c r="AX102"/>
  <c r="AW102" s="1"/>
  <c r="AR102"/>
  <c r="AQ102" s="1"/>
  <c r="AC102"/>
  <c r="AB102" s="1"/>
  <c r="W102"/>
  <c r="V102" s="1"/>
  <c r="AU102"/>
  <c r="AT102" s="1"/>
  <c r="Q99"/>
  <c r="P99" s="1"/>
  <c r="W99"/>
  <c r="V99" s="1"/>
  <c r="AC99"/>
  <c r="AB99" s="1"/>
  <c r="AI99"/>
  <c r="AH99" s="1"/>
  <c r="AO99"/>
  <c r="AN99" s="1"/>
  <c r="AU99"/>
  <c r="AT99" s="1"/>
  <c r="T99"/>
  <c r="S99" s="1"/>
  <c r="Z99"/>
  <c r="Y99" s="1"/>
  <c r="AF99"/>
  <c r="AE99" s="1"/>
  <c r="AL99"/>
  <c r="AK99" s="1"/>
  <c r="AR99"/>
  <c r="AQ99" s="1"/>
  <c r="AX99"/>
  <c r="AW99" s="1"/>
  <c r="Z97"/>
  <c r="Y97" s="1"/>
  <c r="Q97"/>
  <c r="P97" s="1"/>
  <c r="W97"/>
  <c r="V97" s="1"/>
  <c r="AC97"/>
  <c r="AB97" s="1"/>
  <c r="AI97"/>
  <c r="AH97" s="1"/>
  <c r="AO97"/>
  <c r="AN97" s="1"/>
  <c r="AU97"/>
  <c r="AT97" s="1"/>
  <c r="T97"/>
  <c r="S97" s="1"/>
  <c r="AF97"/>
  <c r="AE97" s="1"/>
  <c r="AL97"/>
  <c r="AK97" s="1"/>
  <c r="AR97"/>
  <c r="AQ97" s="1"/>
  <c r="AX97"/>
  <c r="AW97" s="1"/>
  <c r="T96"/>
  <c r="S96" s="1"/>
  <c r="Z96"/>
  <c r="Y96" s="1"/>
  <c r="AF96"/>
  <c r="AE96" s="1"/>
  <c r="AL96"/>
  <c r="AK96" s="1"/>
  <c r="AR96"/>
  <c r="AQ96" s="1"/>
  <c r="AX96"/>
  <c r="AW96" s="1"/>
  <c r="Q96"/>
  <c r="P96" s="1"/>
  <c r="W96"/>
  <c r="V96" s="1"/>
  <c r="AC96"/>
  <c r="AB96" s="1"/>
  <c r="AI96"/>
  <c r="AH96" s="1"/>
  <c r="AO96"/>
  <c r="AN96" s="1"/>
  <c r="AU96"/>
  <c r="AT96" s="1"/>
  <c r="Q95"/>
  <c r="P95" s="1"/>
  <c r="T95"/>
  <c r="S95" s="1"/>
  <c r="Z95"/>
  <c r="Y95" s="1"/>
  <c r="AF95"/>
  <c r="AE95" s="1"/>
  <c r="AL95"/>
  <c r="AK95" s="1"/>
  <c r="AR95"/>
  <c r="AQ95" s="1"/>
  <c r="AX95"/>
  <c r="AW95" s="1"/>
  <c r="W95"/>
  <c r="V95" s="1"/>
  <c r="AC95"/>
  <c r="AB95" s="1"/>
  <c r="AI95"/>
  <c r="AH95" s="1"/>
  <c r="AO95"/>
  <c r="AN95" s="1"/>
  <c r="AU95"/>
  <c r="AT95" s="1"/>
  <c r="AH9" i="16"/>
  <c r="AG8"/>
  <c r="I94" i="14"/>
  <c r="N93"/>
  <c r="I93"/>
  <c r="I92"/>
  <c r="AU92" s="1"/>
  <c r="AT92" s="1"/>
  <c r="N92"/>
  <c r="N91"/>
  <c r="I91"/>
  <c r="L8" i="10"/>
  <c r="T90" i="14"/>
  <c r="S90" s="1"/>
  <c r="Z90"/>
  <c r="Y90" s="1"/>
  <c r="AF90"/>
  <c r="AE90" s="1"/>
  <c r="AL90"/>
  <c r="AK90" s="1"/>
  <c r="AR90"/>
  <c r="AQ90" s="1"/>
  <c r="AX90"/>
  <c r="AW90" s="1"/>
  <c r="Q90"/>
  <c r="P90" s="1"/>
  <c r="W90"/>
  <c r="V90" s="1"/>
  <c r="AC90"/>
  <c r="AB90" s="1"/>
  <c r="AI90"/>
  <c r="AH90" s="1"/>
  <c r="AO90"/>
  <c r="AN90" s="1"/>
  <c r="AU90"/>
  <c r="AT90" s="1"/>
  <c r="N90"/>
  <c r="N89"/>
  <c r="I89"/>
  <c r="T89" s="1"/>
  <c r="S89" s="1"/>
  <c r="N88"/>
  <c r="I88"/>
  <c r="T88" s="1"/>
  <c r="S88" s="1"/>
  <c r="I87"/>
  <c r="T87" s="1"/>
  <c r="S87" s="1"/>
  <c r="N87"/>
  <c r="AF86"/>
  <c r="AE86" s="1"/>
  <c r="Q86"/>
  <c r="P86" s="1"/>
  <c r="AI86"/>
  <c r="AH86" s="1"/>
  <c r="AU86"/>
  <c r="AT86" s="1"/>
  <c r="T86"/>
  <c r="S86" s="1"/>
  <c r="Z86"/>
  <c r="Y86" s="1"/>
  <c r="AL86"/>
  <c r="AK86" s="1"/>
  <c r="AR86"/>
  <c r="AQ86" s="1"/>
  <c r="AX86"/>
  <c r="AW86" s="1"/>
  <c r="W86"/>
  <c r="V86" s="1"/>
  <c r="AC86"/>
  <c r="AB86" s="1"/>
  <c r="AO86"/>
  <c r="AN86" s="1"/>
  <c r="N86"/>
  <c r="W85"/>
  <c r="V85" s="1"/>
  <c r="AI85"/>
  <c r="AH85" s="1"/>
  <c r="AU85"/>
  <c r="AT85" s="1"/>
  <c r="T85"/>
  <c r="S85" s="1"/>
  <c r="Z85"/>
  <c r="Y85" s="1"/>
  <c r="AF85"/>
  <c r="AE85" s="1"/>
  <c r="AL85"/>
  <c r="AK85" s="1"/>
  <c r="AR85"/>
  <c r="AQ85" s="1"/>
  <c r="AX85"/>
  <c r="AW85" s="1"/>
  <c r="Q85"/>
  <c r="P85" s="1"/>
  <c r="AC85"/>
  <c r="AB85" s="1"/>
  <c r="AO85"/>
  <c r="AN85" s="1"/>
  <c r="N85"/>
  <c r="AF84"/>
  <c r="AE84" s="1"/>
  <c r="W84"/>
  <c r="V84" s="1"/>
  <c r="AI84"/>
  <c r="AH84" s="1"/>
  <c r="AU84"/>
  <c r="AT84" s="1"/>
  <c r="T84"/>
  <c r="S84" s="1"/>
  <c r="Z84"/>
  <c r="Y84" s="1"/>
  <c r="AL84"/>
  <c r="AK84" s="1"/>
  <c r="AR84"/>
  <c r="AQ84" s="1"/>
  <c r="AX84"/>
  <c r="AW84" s="1"/>
  <c r="Q84"/>
  <c r="P84" s="1"/>
  <c r="AC84"/>
  <c r="AB84" s="1"/>
  <c r="AO84"/>
  <c r="AN84" s="1"/>
  <c r="N84"/>
  <c r="I83"/>
  <c r="T83" s="1"/>
  <c r="S83" s="1"/>
  <c r="N83"/>
  <c r="AI82"/>
  <c r="AH82" s="1"/>
  <c r="T82"/>
  <c r="S82" s="1"/>
  <c r="Z82"/>
  <c r="Y82" s="1"/>
  <c r="AF82"/>
  <c r="AE82" s="1"/>
  <c r="AL82"/>
  <c r="AK82" s="1"/>
  <c r="AR82"/>
  <c r="AQ82" s="1"/>
  <c r="AX82"/>
  <c r="AW82" s="1"/>
  <c r="Q82"/>
  <c r="P82" s="1"/>
  <c r="W82"/>
  <c r="V82" s="1"/>
  <c r="AC82"/>
  <c r="AB82" s="1"/>
  <c r="AO82"/>
  <c r="AN82" s="1"/>
  <c r="AU82"/>
  <c r="AT82" s="1"/>
  <c r="N82"/>
  <c r="I81"/>
  <c r="T81" s="1"/>
  <c r="S81" s="1"/>
  <c r="N81"/>
  <c r="I80"/>
  <c r="AO80" s="1"/>
  <c r="AN80" s="1"/>
  <c r="N80"/>
  <c r="AI79"/>
  <c r="AH79" s="1"/>
  <c r="T79"/>
  <c r="S79" s="1"/>
  <c r="Z79"/>
  <c r="Y79" s="1"/>
  <c r="AF79"/>
  <c r="AE79" s="1"/>
  <c r="AL79"/>
  <c r="AK79" s="1"/>
  <c r="AR79"/>
  <c r="AQ79" s="1"/>
  <c r="AX79"/>
  <c r="AW79" s="1"/>
  <c r="Q79"/>
  <c r="P79" s="1"/>
  <c r="W79"/>
  <c r="V79" s="1"/>
  <c r="AC79"/>
  <c r="AB79" s="1"/>
  <c r="AO79"/>
  <c r="AN79" s="1"/>
  <c r="AU79"/>
  <c r="AT79" s="1"/>
  <c r="N79"/>
  <c r="N78"/>
  <c r="I78"/>
  <c r="L7" i="10"/>
  <c r="AO77" i="14"/>
  <c r="AN77" s="1"/>
  <c r="T77"/>
  <c r="S77" s="1"/>
  <c r="Z77"/>
  <c r="Y77" s="1"/>
  <c r="AF77"/>
  <c r="AE77" s="1"/>
  <c r="AL77"/>
  <c r="AK77" s="1"/>
  <c r="AR77"/>
  <c r="AQ77" s="1"/>
  <c r="AX77"/>
  <c r="AW77" s="1"/>
  <c r="Q77"/>
  <c r="P77" s="1"/>
  <c r="W77"/>
  <c r="V77" s="1"/>
  <c r="AC77"/>
  <c r="AB77" s="1"/>
  <c r="AI77"/>
  <c r="AH77" s="1"/>
  <c r="AU77"/>
  <c r="AT77" s="1"/>
  <c r="N77"/>
  <c r="I76"/>
  <c r="AI76" s="1"/>
  <c r="AH76" s="1"/>
  <c r="N76"/>
  <c r="I75"/>
  <c r="AO75" s="1"/>
  <c r="AN75" s="1"/>
  <c r="N75"/>
  <c r="AO74"/>
  <c r="AN74" s="1"/>
  <c r="T74"/>
  <c r="S74" s="1"/>
  <c r="Z74"/>
  <c r="Y74" s="1"/>
  <c r="AF74"/>
  <c r="AE74" s="1"/>
  <c r="AL74"/>
  <c r="AK74" s="1"/>
  <c r="AR74"/>
  <c r="AQ74" s="1"/>
  <c r="AX74"/>
  <c r="AW74" s="1"/>
  <c r="Q74"/>
  <c r="P74" s="1"/>
  <c r="W74"/>
  <c r="V74" s="1"/>
  <c r="AC74"/>
  <c r="AB74" s="1"/>
  <c r="AI74"/>
  <c r="AH74" s="1"/>
  <c r="AU74"/>
  <c r="AT74" s="1"/>
  <c r="N74"/>
  <c r="Q73"/>
  <c r="P73" s="1"/>
  <c r="AI73"/>
  <c r="AH73" s="1"/>
  <c r="AU73"/>
  <c r="AT73" s="1"/>
  <c r="T73"/>
  <c r="S73" s="1"/>
  <c r="Z73"/>
  <c r="Y73" s="1"/>
  <c r="AF73"/>
  <c r="AE73" s="1"/>
  <c r="AL73"/>
  <c r="AK73" s="1"/>
  <c r="AR73"/>
  <c r="AQ73" s="1"/>
  <c r="AX73"/>
  <c r="AW73" s="1"/>
  <c r="W73"/>
  <c r="V73" s="1"/>
  <c r="AC73"/>
  <c r="AB73" s="1"/>
  <c r="AO73"/>
  <c r="AN73" s="1"/>
  <c r="N73"/>
  <c r="AF72"/>
  <c r="AE72" s="1"/>
  <c r="Q72"/>
  <c r="P72" s="1"/>
  <c r="AC72"/>
  <c r="AB72" s="1"/>
  <c r="AO72"/>
  <c r="AN72" s="1"/>
  <c r="T72"/>
  <c r="S72" s="1"/>
  <c r="Z72"/>
  <c r="Y72" s="1"/>
  <c r="AL72"/>
  <c r="AK72" s="1"/>
  <c r="AR72"/>
  <c r="AQ72" s="1"/>
  <c r="AX72"/>
  <c r="AW72" s="1"/>
  <c r="W72"/>
  <c r="V72" s="1"/>
  <c r="AI72"/>
  <c r="AH72" s="1"/>
  <c r="AU72"/>
  <c r="AT72" s="1"/>
  <c r="N72"/>
  <c r="F244" i="10" l="1"/>
  <c r="G245"/>
  <c r="F245" s="1"/>
  <c r="F238"/>
  <c r="G239"/>
  <c r="F239" s="1"/>
  <c r="Q92" i="14"/>
  <c r="P92" s="1"/>
  <c r="AO92"/>
  <c r="AN92" s="1"/>
  <c r="AI92"/>
  <c r="AH92" s="1"/>
  <c r="Z92"/>
  <c r="Y92" s="1"/>
  <c r="AH10" i="16"/>
  <c r="AG9"/>
  <c r="W94" i="14"/>
  <c r="V94" s="1"/>
  <c r="AI94"/>
  <c r="AH94" s="1"/>
  <c r="AU94"/>
  <c r="AT94" s="1"/>
  <c r="T94"/>
  <c r="S94" s="1"/>
  <c r="Z94"/>
  <c r="Y94" s="1"/>
  <c r="AF94"/>
  <c r="AE94" s="1"/>
  <c r="AL94"/>
  <c r="AK94" s="1"/>
  <c r="AR94"/>
  <c r="AQ94" s="1"/>
  <c r="AX94"/>
  <c r="AW94" s="1"/>
  <c r="Q94"/>
  <c r="P94" s="1"/>
  <c r="AC94"/>
  <c r="AB94" s="1"/>
  <c r="AO94"/>
  <c r="AN94" s="1"/>
  <c r="AR92"/>
  <c r="AQ92" s="1"/>
  <c r="AL93"/>
  <c r="AK93" s="1"/>
  <c r="AI93"/>
  <c r="AH93" s="1"/>
  <c r="T93"/>
  <c r="S93" s="1"/>
  <c r="Z93"/>
  <c r="Y93" s="1"/>
  <c r="AF93"/>
  <c r="AE93" s="1"/>
  <c r="AR93"/>
  <c r="AQ93" s="1"/>
  <c r="AX93"/>
  <c r="AW93" s="1"/>
  <c r="Q93"/>
  <c r="P93" s="1"/>
  <c r="W93"/>
  <c r="V93" s="1"/>
  <c r="AC93"/>
  <c r="AB93" s="1"/>
  <c r="AO93"/>
  <c r="AN93" s="1"/>
  <c r="AU93"/>
  <c r="AT93" s="1"/>
  <c r="AL92"/>
  <c r="AK92" s="1"/>
  <c r="AC92"/>
  <c r="AB92" s="1"/>
  <c r="AF92"/>
  <c r="AE92" s="1"/>
  <c r="W92"/>
  <c r="V92" s="1"/>
  <c r="T92"/>
  <c r="S92" s="1"/>
  <c r="AX92"/>
  <c r="AW92" s="1"/>
  <c r="T91"/>
  <c r="S91" s="1"/>
  <c r="Z91"/>
  <c r="Y91" s="1"/>
  <c r="AF91"/>
  <c r="AE91" s="1"/>
  <c r="AL91"/>
  <c r="AK91" s="1"/>
  <c r="AR91"/>
  <c r="AQ91" s="1"/>
  <c r="AX91"/>
  <c r="AW91" s="1"/>
  <c r="AO91"/>
  <c r="AN91" s="1"/>
  <c r="Q91"/>
  <c r="P91" s="1"/>
  <c r="W91"/>
  <c r="V91" s="1"/>
  <c r="AC91"/>
  <c r="AB91" s="1"/>
  <c r="AI91"/>
  <c r="AH91" s="1"/>
  <c r="AU91"/>
  <c r="AT91" s="1"/>
  <c r="AI89"/>
  <c r="AH89" s="1"/>
  <c r="AR89"/>
  <c r="AQ89" s="1"/>
  <c r="AL89"/>
  <c r="AK89" s="1"/>
  <c r="AC89"/>
  <c r="AB89" s="1"/>
  <c r="AO89"/>
  <c r="AN89" s="1"/>
  <c r="AF89"/>
  <c r="AE89" s="1"/>
  <c r="Q89"/>
  <c r="P89" s="1"/>
  <c r="W89"/>
  <c r="V89" s="1"/>
  <c r="Z89"/>
  <c r="Y89" s="1"/>
  <c r="AX89"/>
  <c r="AW89" s="1"/>
  <c r="AU89"/>
  <c r="AT89" s="1"/>
  <c r="AR88"/>
  <c r="AQ88" s="1"/>
  <c r="AF88"/>
  <c r="AE88" s="1"/>
  <c r="Q88"/>
  <c r="P88" s="1"/>
  <c r="AI88"/>
  <c r="AH88" s="1"/>
  <c r="Z88"/>
  <c r="Y88" s="1"/>
  <c r="AC88"/>
  <c r="AB88" s="1"/>
  <c r="AX88"/>
  <c r="AW88" s="1"/>
  <c r="AO88"/>
  <c r="AN88" s="1"/>
  <c r="AL88"/>
  <c r="AK88" s="1"/>
  <c r="W88"/>
  <c r="V88" s="1"/>
  <c r="AU88"/>
  <c r="AT88" s="1"/>
  <c r="Z87"/>
  <c r="Y87" s="1"/>
  <c r="AI87"/>
  <c r="AH87" s="1"/>
  <c r="Q87"/>
  <c r="P87" s="1"/>
  <c r="AX87"/>
  <c r="AW87" s="1"/>
  <c r="AF87"/>
  <c r="AE87" s="1"/>
  <c r="AO87"/>
  <c r="AN87" s="1"/>
  <c r="AR87"/>
  <c r="AQ87" s="1"/>
  <c r="AC87"/>
  <c r="AB87" s="1"/>
  <c r="AL87"/>
  <c r="AK87" s="1"/>
  <c r="W87"/>
  <c r="V87" s="1"/>
  <c r="AU87"/>
  <c r="AT87" s="1"/>
  <c r="AX83"/>
  <c r="AW83" s="1"/>
  <c r="Z83"/>
  <c r="Y83" s="1"/>
  <c r="AI83"/>
  <c r="AH83" s="1"/>
  <c r="AC83"/>
  <c r="AB83" s="1"/>
  <c r="AF83"/>
  <c r="AE83" s="1"/>
  <c r="Q83"/>
  <c r="P83" s="1"/>
  <c r="AO83"/>
  <c r="AN83" s="1"/>
  <c r="AR83"/>
  <c r="AQ83" s="1"/>
  <c r="AL83"/>
  <c r="AK83" s="1"/>
  <c r="W83"/>
  <c r="V83" s="1"/>
  <c r="AU83"/>
  <c r="AT83" s="1"/>
  <c r="Z81"/>
  <c r="Y81" s="1"/>
  <c r="AI81"/>
  <c r="AH81" s="1"/>
  <c r="Q81"/>
  <c r="P81" s="1"/>
  <c r="AX81"/>
  <c r="AW81" s="1"/>
  <c r="AF81"/>
  <c r="AE81" s="1"/>
  <c r="AO81"/>
  <c r="AN81" s="1"/>
  <c r="AR81"/>
  <c r="AQ81" s="1"/>
  <c r="AC81"/>
  <c r="AB81" s="1"/>
  <c r="AL81"/>
  <c r="AK81" s="1"/>
  <c r="W81"/>
  <c r="V81" s="1"/>
  <c r="AU81"/>
  <c r="AT81" s="1"/>
  <c r="AI80"/>
  <c r="AH80" s="1"/>
  <c r="Q80"/>
  <c r="P80" s="1"/>
  <c r="AF80"/>
  <c r="AE80" s="1"/>
  <c r="Z80"/>
  <c r="Y80" s="1"/>
  <c r="AX80"/>
  <c r="AW80" s="1"/>
  <c r="T80"/>
  <c r="S80" s="1"/>
  <c r="AR80"/>
  <c r="AQ80" s="1"/>
  <c r="AL80"/>
  <c r="AK80" s="1"/>
  <c r="AC80"/>
  <c r="AB80" s="1"/>
  <c r="W80"/>
  <c r="V80" s="1"/>
  <c r="AU80"/>
  <c r="AT80" s="1"/>
  <c r="T78"/>
  <c r="S78" s="1"/>
  <c r="Z78"/>
  <c r="Y78" s="1"/>
  <c r="AF78"/>
  <c r="AE78" s="1"/>
  <c r="AL78"/>
  <c r="AK78" s="1"/>
  <c r="AR78"/>
  <c r="AQ78" s="1"/>
  <c r="AX78"/>
  <c r="AW78" s="1"/>
  <c r="Q78"/>
  <c r="P78" s="1"/>
  <c r="W78"/>
  <c r="V78" s="1"/>
  <c r="AC78"/>
  <c r="AB78" s="1"/>
  <c r="AI78"/>
  <c r="AH78" s="1"/>
  <c r="AO78"/>
  <c r="AN78" s="1"/>
  <c r="AU78"/>
  <c r="AT78" s="1"/>
  <c r="AO76"/>
  <c r="AN76" s="1"/>
  <c r="Q76"/>
  <c r="P76" s="1"/>
  <c r="AF76"/>
  <c r="AE76" s="1"/>
  <c r="Z76"/>
  <c r="Y76" s="1"/>
  <c r="AX76"/>
  <c r="AW76" s="1"/>
  <c r="T76"/>
  <c r="S76" s="1"/>
  <c r="AR76"/>
  <c r="AQ76" s="1"/>
  <c r="AL76"/>
  <c r="AK76" s="1"/>
  <c r="AC76"/>
  <c r="AB76" s="1"/>
  <c r="W76"/>
  <c r="V76" s="1"/>
  <c r="AU76"/>
  <c r="AT76" s="1"/>
  <c r="AI75"/>
  <c r="AH75" s="1"/>
  <c r="AC75"/>
  <c r="AB75" s="1"/>
  <c r="W75"/>
  <c r="V75" s="1"/>
  <c r="AU75"/>
  <c r="AT75" s="1"/>
  <c r="Q75"/>
  <c r="P75" s="1"/>
  <c r="AF75"/>
  <c r="AE75" s="1"/>
  <c r="Z75"/>
  <c r="Y75" s="1"/>
  <c r="AX75"/>
  <c r="AW75" s="1"/>
  <c r="T75"/>
  <c r="S75" s="1"/>
  <c r="AR75"/>
  <c r="AQ75" s="1"/>
  <c r="AL75"/>
  <c r="AK75" s="1"/>
  <c r="L71"/>
  <c r="M71" s="1"/>
  <c r="AY71"/>
  <c r="L70"/>
  <c r="M70" s="1"/>
  <c r="AY70"/>
  <c r="L69"/>
  <c r="M69" s="1"/>
  <c r="AY69"/>
  <c r="L68"/>
  <c r="M68" s="1"/>
  <c r="AY68"/>
  <c r="L67"/>
  <c r="M67" s="1"/>
  <c r="AY67"/>
  <c r="L66"/>
  <c r="M66" s="1"/>
  <c r="I66" s="1"/>
  <c r="AY66"/>
  <c r="L65"/>
  <c r="M65" s="1"/>
  <c r="I65" s="1"/>
  <c r="AY65"/>
  <c r="L64"/>
  <c r="M64" s="1"/>
  <c r="AY64"/>
  <c r="L63"/>
  <c r="M63" s="1"/>
  <c r="AY63"/>
  <c r="L62"/>
  <c r="M62" s="1"/>
  <c r="AY62"/>
  <c r="L61"/>
  <c r="M61" s="1"/>
  <c r="AY61"/>
  <c r="L60"/>
  <c r="M60" s="1"/>
  <c r="I60" s="1"/>
  <c r="AY60"/>
  <c r="L59"/>
  <c r="M59" s="1"/>
  <c r="AY59"/>
  <c r="L58"/>
  <c r="M58" s="1"/>
  <c r="AY58"/>
  <c r="L57"/>
  <c r="M57" s="1"/>
  <c r="I57" s="1"/>
  <c r="AY57"/>
  <c r="L56"/>
  <c r="M56" s="1"/>
  <c r="AY56"/>
  <c r="O33"/>
  <c r="L55"/>
  <c r="M55" s="1"/>
  <c r="AY55"/>
  <c r="O36"/>
  <c r="O35"/>
  <c r="O38"/>
  <c r="O34"/>
  <c r="O31"/>
  <c r="O30"/>
  <c r="O29"/>
  <c r="Y17" i="16"/>
  <c r="X17"/>
  <c r="AA6"/>
  <c r="AA7" s="1"/>
  <c r="R19"/>
  <c r="Q19"/>
  <c r="T6"/>
  <c r="S6" s="1"/>
  <c r="O32" i="14"/>
  <c r="L54"/>
  <c r="M54" s="1"/>
  <c r="AY54"/>
  <c r="L53"/>
  <c r="M53" s="1"/>
  <c r="I53" s="1"/>
  <c r="AY53"/>
  <c r="L52"/>
  <c r="M52" s="1"/>
  <c r="I52" s="1"/>
  <c r="AY52"/>
  <c r="L51"/>
  <c r="M51" s="1"/>
  <c r="I51" s="1"/>
  <c r="T51" s="1"/>
  <c r="S51" s="1"/>
  <c r="AY51"/>
  <c r="L50"/>
  <c r="M50" s="1"/>
  <c r="AY50"/>
  <c r="L49"/>
  <c r="M49" s="1"/>
  <c r="I49" s="1"/>
  <c r="AY49"/>
  <c r="L48"/>
  <c r="M48" s="1"/>
  <c r="AY48"/>
  <c r="L47"/>
  <c r="M47" s="1"/>
  <c r="AY47"/>
  <c r="L46"/>
  <c r="M46" s="1"/>
  <c r="I46" s="1"/>
  <c r="AY46"/>
  <c r="L45"/>
  <c r="M45" s="1"/>
  <c r="AY45"/>
  <c r="L44"/>
  <c r="M44" s="1"/>
  <c r="I44" s="1"/>
  <c r="T44" s="1"/>
  <c r="S44" s="1"/>
  <c r="AY44"/>
  <c r="K4" i="10"/>
  <c r="K5"/>
  <c r="K6"/>
  <c r="K3"/>
  <c r="J5"/>
  <c r="J6"/>
  <c r="J4"/>
  <c r="J3"/>
  <c r="O37" i="14"/>
  <c r="J6"/>
  <c r="J118" s="1"/>
  <c r="V11" i="18"/>
  <c r="U11"/>
  <c r="W6"/>
  <c r="W7" s="1"/>
  <c r="W8" s="1"/>
  <c r="W9" s="1"/>
  <c r="W10" s="1"/>
  <c r="P11"/>
  <c r="O11"/>
  <c r="Q6"/>
  <c r="Q7" s="1"/>
  <c r="Q8" s="1"/>
  <c r="Q9" s="1"/>
  <c r="Q10" s="1"/>
  <c r="J11"/>
  <c r="I11"/>
  <c r="K6"/>
  <c r="K7" s="1"/>
  <c r="K8" s="1"/>
  <c r="K9" s="1"/>
  <c r="K10" s="1"/>
  <c r="E6"/>
  <c r="D11"/>
  <c r="C11"/>
  <c r="O118" i="14" l="1"/>
  <c r="AH11" i="16"/>
  <c r="AG10"/>
  <c r="I71" i="14"/>
  <c r="T71" s="1"/>
  <c r="S71" s="1"/>
  <c r="N71"/>
  <c r="I70"/>
  <c r="T70" s="1"/>
  <c r="S70" s="1"/>
  <c r="N70"/>
  <c r="I69"/>
  <c r="T69" s="1"/>
  <c r="S69" s="1"/>
  <c r="N69"/>
  <c r="N68"/>
  <c r="I68"/>
  <c r="T68" s="1"/>
  <c r="S68" s="1"/>
  <c r="I67"/>
  <c r="Z67" s="1"/>
  <c r="Y67" s="1"/>
  <c r="N67"/>
  <c r="N56"/>
  <c r="N62"/>
  <c r="T66"/>
  <c r="S66" s="1"/>
  <c r="AR66"/>
  <c r="AQ66" s="1"/>
  <c r="Q66"/>
  <c r="P66" s="1"/>
  <c r="W66"/>
  <c r="V66" s="1"/>
  <c r="AC66"/>
  <c r="AB66" s="1"/>
  <c r="AI66"/>
  <c r="AH66" s="1"/>
  <c r="AO66"/>
  <c r="AN66" s="1"/>
  <c r="AU66"/>
  <c r="AT66" s="1"/>
  <c r="Z66"/>
  <c r="Y66" s="1"/>
  <c r="AF66"/>
  <c r="AE66" s="1"/>
  <c r="AL66"/>
  <c r="AK66" s="1"/>
  <c r="AX66"/>
  <c r="AW66" s="1"/>
  <c r="N66"/>
  <c r="Q65"/>
  <c r="P65" s="1"/>
  <c r="T65"/>
  <c r="S65" s="1"/>
  <c r="Z65"/>
  <c r="Y65" s="1"/>
  <c r="AF65"/>
  <c r="AE65" s="1"/>
  <c r="AL65"/>
  <c r="AK65" s="1"/>
  <c r="AR65"/>
  <c r="AQ65" s="1"/>
  <c r="AX65"/>
  <c r="AW65" s="1"/>
  <c r="W65"/>
  <c r="V65" s="1"/>
  <c r="AC65"/>
  <c r="AB65" s="1"/>
  <c r="AI65"/>
  <c r="AH65" s="1"/>
  <c r="AO65"/>
  <c r="AN65" s="1"/>
  <c r="AU65"/>
  <c r="AT65" s="1"/>
  <c r="N65"/>
  <c r="N64"/>
  <c r="I64"/>
  <c r="T64" s="1"/>
  <c r="S64" s="1"/>
  <c r="I63"/>
  <c r="T63" s="1"/>
  <c r="S63" s="1"/>
  <c r="N63"/>
  <c r="I62"/>
  <c r="T62" s="1"/>
  <c r="S62" s="1"/>
  <c r="I61"/>
  <c r="AO61" s="1"/>
  <c r="AN61" s="1"/>
  <c r="N61"/>
  <c r="N45"/>
  <c r="N55"/>
  <c r="I55"/>
  <c r="T55" s="1"/>
  <c r="S55" s="1"/>
  <c r="N59"/>
  <c r="I59"/>
  <c r="Z59" s="1"/>
  <c r="Y59" s="1"/>
  <c r="N58"/>
  <c r="I58"/>
  <c r="T58" s="1"/>
  <c r="S58" s="1"/>
  <c r="Q57"/>
  <c r="P57" s="1"/>
  <c r="Z57"/>
  <c r="Y57" s="1"/>
  <c r="AX57"/>
  <c r="AW57" s="1"/>
  <c r="T57"/>
  <c r="S57" s="1"/>
  <c r="AR57"/>
  <c r="AQ57" s="1"/>
  <c r="AL57"/>
  <c r="AK57" s="1"/>
  <c r="AF57"/>
  <c r="AE57" s="1"/>
  <c r="N57"/>
  <c r="Q60"/>
  <c r="P60" s="1"/>
  <c r="W60"/>
  <c r="V60" s="1"/>
  <c r="AC60"/>
  <c r="AB60" s="1"/>
  <c r="AI60"/>
  <c r="AH60" s="1"/>
  <c r="AO60"/>
  <c r="AN60" s="1"/>
  <c r="AU60"/>
  <c r="AT60" s="1"/>
  <c r="AL60"/>
  <c r="AK60" s="1"/>
  <c r="T60"/>
  <c r="S60" s="1"/>
  <c r="Z60"/>
  <c r="Y60" s="1"/>
  <c r="AF60"/>
  <c r="AE60" s="1"/>
  <c r="AR60"/>
  <c r="AQ60" s="1"/>
  <c r="AX60"/>
  <c r="AW60" s="1"/>
  <c r="N60"/>
  <c r="I56"/>
  <c r="AU57"/>
  <c r="AT57" s="1"/>
  <c r="AO57"/>
  <c r="AN57" s="1"/>
  <c r="AI57"/>
  <c r="AH57" s="1"/>
  <c r="AC57"/>
  <c r="AB57" s="1"/>
  <c r="W57"/>
  <c r="V57" s="1"/>
  <c r="N54"/>
  <c r="I54"/>
  <c r="AU54" s="1"/>
  <c r="AT54" s="1"/>
  <c r="N51"/>
  <c r="Z7" i="16"/>
  <c r="AA8"/>
  <c r="Z6"/>
  <c r="T7"/>
  <c r="I50" i="14"/>
  <c r="AO50" s="1"/>
  <c r="AN50" s="1"/>
  <c r="N50"/>
  <c r="Q49"/>
  <c r="P49" s="1"/>
  <c r="W49"/>
  <c r="V49" s="1"/>
  <c r="AC49"/>
  <c r="AB49" s="1"/>
  <c r="AI49"/>
  <c r="AH49" s="1"/>
  <c r="AO49"/>
  <c r="AN49" s="1"/>
  <c r="AU49"/>
  <c r="AT49" s="1"/>
  <c r="T49"/>
  <c r="S49" s="1"/>
  <c r="Z49"/>
  <c r="Y49" s="1"/>
  <c r="AF49"/>
  <c r="AE49" s="1"/>
  <c r="AL49"/>
  <c r="AK49" s="1"/>
  <c r="AR49"/>
  <c r="AQ49" s="1"/>
  <c r="AX49"/>
  <c r="AW49" s="1"/>
  <c r="T52"/>
  <c r="S52" s="1"/>
  <c r="Z52"/>
  <c r="Y52" s="1"/>
  <c r="AF52"/>
  <c r="AE52" s="1"/>
  <c r="AL52"/>
  <c r="AK52" s="1"/>
  <c r="AR52"/>
  <c r="AQ52" s="1"/>
  <c r="AX52"/>
  <c r="AW52" s="1"/>
  <c r="Q52"/>
  <c r="P52" s="1"/>
  <c r="W52"/>
  <c r="V52" s="1"/>
  <c r="AC52"/>
  <c r="AB52" s="1"/>
  <c r="AI52"/>
  <c r="AH52" s="1"/>
  <c r="AO52"/>
  <c r="AN52" s="1"/>
  <c r="AU52"/>
  <c r="AT52" s="1"/>
  <c r="Q53"/>
  <c r="P53" s="1"/>
  <c r="W53"/>
  <c r="V53" s="1"/>
  <c r="AC53"/>
  <c r="AB53" s="1"/>
  <c r="AI53"/>
  <c r="AH53" s="1"/>
  <c r="AO53"/>
  <c r="AN53" s="1"/>
  <c r="AU53"/>
  <c r="AT53" s="1"/>
  <c r="T53"/>
  <c r="S53" s="1"/>
  <c r="Z53"/>
  <c r="Y53" s="1"/>
  <c r="AF53"/>
  <c r="AE53" s="1"/>
  <c r="AL53"/>
  <c r="AK53" s="1"/>
  <c r="AR53"/>
  <c r="AQ53" s="1"/>
  <c r="AX53"/>
  <c r="AW53" s="1"/>
  <c r="N49"/>
  <c r="AU51"/>
  <c r="AT51" s="1"/>
  <c r="AO51"/>
  <c r="AN51" s="1"/>
  <c r="AI51"/>
  <c r="AH51" s="1"/>
  <c r="AC51"/>
  <c r="AB51" s="1"/>
  <c r="W51"/>
  <c r="V51" s="1"/>
  <c r="Q51"/>
  <c r="P51" s="1"/>
  <c r="N53"/>
  <c r="N52"/>
  <c r="AX51"/>
  <c r="AW51" s="1"/>
  <c r="AR51"/>
  <c r="AQ51" s="1"/>
  <c r="AL51"/>
  <c r="AK51" s="1"/>
  <c r="AF51"/>
  <c r="AE51" s="1"/>
  <c r="Z51"/>
  <c r="Y51" s="1"/>
  <c r="N48"/>
  <c r="I48"/>
  <c r="T48" s="1"/>
  <c r="S48" s="1"/>
  <c r="I47"/>
  <c r="N47"/>
  <c r="Q46"/>
  <c r="P46" s="1"/>
  <c r="W46"/>
  <c r="V46" s="1"/>
  <c r="AC46"/>
  <c r="AB46" s="1"/>
  <c r="AI46"/>
  <c r="AH46" s="1"/>
  <c r="AO46"/>
  <c r="AN46" s="1"/>
  <c r="AU46"/>
  <c r="AT46" s="1"/>
  <c r="T46"/>
  <c r="S46" s="1"/>
  <c r="Z46"/>
  <c r="Y46" s="1"/>
  <c r="AF46"/>
  <c r="AE46" s="1"/>
  <c r="AL46"/>
  <c r="AK46" s="1"/>
  <c r="AR46"/>
  <c r="AQ46" s="1"/>
  <c r="AX46"/>
  <c r="AW46" s="1"/>
  <c r="N46"/>
  <c r="AU48"/>
  <c r="AT48" s="1"/>
  <c r="L6" i="10"/>
  <c r="I45" i="14"/>
  <c r="T45" s="1"/>
  <c r="S45" s="1"/>
  <c r="N44"/>
  <c r="AU44"/>
  <c r="AT44" s="1"/>
  <c r="AO44"/>
  <c r="AN44" s="1"/>
  <c r="AI44"/>
  <c r="AH44" s="1"/>
  <c r="AC44"/>
  <c r="AB44" s="1"/>
  <c r="W44"/>
  <c r="V44" s="1"/>
  <c r="Q44"/>
  <c r="P44" s="1"/>
  <c r="AX44"/>
  <c r="AW44" s="1"/>
  <c r="AR44"/>
  <c r="AQ44" s="1"/>
  <c r="AL44"/>
  <c r="AK44" s="1"/>
  <c r="AF44"/>
  <c r="AE44" s="1"/>
  <c r="Z44"/>
  <c r="Y44" s="1"/>
  <c r="L3" i="10"/>
  <c r="L5"/>
  <c r="L4"/>
  <c r="W11" i="18"/>
  <c r="Q11"/>
  <c r="K11"/>
  <c r="E11"/>
  <c r="E7"/>
  <c r="K34" i="17"/>
  <c r="O34"/>
  <c r="R34"/>
  <c r="U34"/>
  <c r="X34"/>
  <c r="AA34"/>
  <c r="AD34"/>
  <c r="AG34"/>
  <c r="AJ34"/>
  <c r="AM34"/>
  <c r="AP34"/>
  <c r="AS34"/>
  <c r="AV34"/>
  <c r="AH12" i="16" l="1"/>
  <c r="AG11"/>
  <c r="AX70" i="14"/>
  <c r="AW70" s="1"/>
  <c r="Z71"/>
  <c r="Y71" s="1"/>
  <c r="AI70"/>
  <c r="AH70" s="1"/>
  <c r="AL70"/>
  <c r="AK70" s="1"/>
  <c r="AO70"/>
  <c r="AN70" s="1"/>
  <c r="W70"/>
  <c r="V70" s="1"/>
  <c r="Z70"/>
  <c r="Y70" s="1"/>
  <c r="Q70"/>
  <c r="P70" s="1"/>
  <c r="AU70"/>
  <c r="AT70" s="1"/>
  <c r="Q71"/>
  <c r="P71" s="1"/>
  <c r="AF70"/>
  <c r="AE70" s="1"/>
  <c r="Z69"/>
  <c r="Y69" s="1"/>
  <c r="AR70"/>
  <c r="AQ70" s="1"/>
  <c r="AC70"/>
  <c r="AB70" s="1"/>
  <c r="AI71"/>
  <c r="AH71" s="1"/>
  <c r="AX71"/>
  <c r="AW71" s="1"/>
  <c r="AF71"/>
  <c r="AE71" s="1"/>
  <c r="AO71"/>
  <c r="AN71" s="1"/>
  <c r="AR71"/>
  <c r="AQ71" s="1"/>
  <c r="AC71"/>
  <c r="AB71" s="1"/>
  <c r="AL71"/>
  <c r="AK71" s="1"/>
  <c r="W71"/>
  <c r="V71" s="1"/>
  <c r="AU71"/>
  <c r="AT71" s="1"/>
  <c r="AC63"/>
  <c r="AB63" s="1"/>
  <c r="AI69"/>
  <c r="AH69" s="1"/>
  <c r="AX69"/>
  <c r="AW69" s="1"/>
  <c r="AR69"/>
  <c r="AQ69" s="1"/>
  <c r="AC69"/>
  <c r="AB69" s="1"/>
  <c r="AL69"/>
  <c r="AK69" s="1"/>
  <c r="W69"/>
  <c r="V69" s="1"/>
  <c r="AU69"/>
  <c r="AT69" s="1"/>
  <c r="AF69"/>
  <c r="AE69" s="1"/>
  <c r="Q69"/>
  <c r="P69" s="1"/>
  <c r="AO69"/>
  <c r="AN69" s="1"/>
  <c r="AL68"/>
  <c r="AK68" s="1"/>
  <c r="AU68"/>
  <c r="AT68" s="1"/>
  <c r="W68"/>
  <c r="V68" s="1"/>
  <c r="Z68"/>
  <c r="Y68" s="1"/>
  <c r="AX68"/>
  <c r="AW68" s="1"/>
  <c r="AI68"/>
  <c r="AH68" s="1"/>
  <c r="AF68"/>
  <c r="AE68" s="1"/>
  <c r="Q68"/>
  <c r="P68" s="1"/>
  <c r="AO68"/>
  <c r="AN68" s="1"/>
  <c r="AR68"/>
  <c r="AQ68" s="1"/>
  <c r="AC68"/>
  <c r="AB68" s="1"/>
  <c r="AU67"/>
  <c r="AT67" s="1"/>
  <c r="W67"/>
  <c r="V67" s="1"/>
  <c r="AL67"/>
  <c r="AK67" s="1"/>
  <c r="AC67"/>
  <c r="AB67" s="1"/>
  <c r="AR67"/>
  <c r="AQ67" s="1"/>
  <c r="T67"/>
  <c r="S67" s="1"/>
  <c r="AO67"/>
  <c r="AN67" s="1"/>
  <c r="Q67"/>
  <c r="P67" s="1"/>
  <c r="AF67"/>
  <c r="AE67" s="1"/>
  <c r="AI67"/>
  <c r="AH67" s="1"/>
  <c r="AX67"/>
  <c r="AW67" s="1"/>
  <c r="AX59"/>
  <c r="AW59" s="1"/>
  <c r="AR64"/>
  <c r="AQ64" s="1"/>
  <c r="AC64"/>
  <c r="AB64" s="1"/>
  <c r="AL64"/>
  <c r="AK64" s="1"/>
  <c r="W64"/>
  <c r="V64" s="1"/>
  <c r="AU64"/>
  <c r="AT64" s="1"/>
  <c r="AF64"/>
  <c r="AE64" s="1"/>
  <c r="Q64"/>
  <c r="P64" s="1"/>
  <c r="AO64"/>
  <c r="AN64" s="1"/>
  <c r="Z64"/>
  <c r="Y64" s="1"/>
  <c r="AX64"/>
  <c r="AW64" s="1"/>
  <c r="AI64"/>
  <c r="AH64" s="1"/>
  <c r="AX63"/>
  <c r="AW63" s="1"/>
  <c r="AR62"/>
  <c r="AQ62" s="1"/>
  <c r="AI62"/>
  <c r="AH62" s="1"/>
  <c r="AR63"/>
  <c r="AQ63" s="1"/>
  <c r="Z63"/>
  <c r="Y63" s="1"/>
  <c r="AI63"/>
  <c r="AH63" s="1"/>
  <c r="AL63"/>
  <c r="AK63" s="1"/>
  <c r="W63"/>
  <c r="V63" s="1"/>
  <c r="AF63"/>
  <c r="AE63" s="1"/>
  <c r="Q63"/>
  <c r="P63" s="1"/>
  <c r="AU63"/>
  <c r="AT63" s="1"/>
  <c r="AO63"/>
  <c r="AN63" s="1"/>
  <c r="AF62"/>
  <c r="AE62" s="1"/>
  <c r="AC62"/>
  <c r="AB62" s="1"/>
  <c r="Z62"/>
  <c r="Y62" s="1"/>
  <c r="Q62"/>
  <c r="P62" s="1"/>
  <c r="AX62"/>
  <c r="AW62" s="1"/>
  <c r="AO62"/>
  <c r="AN62" s="1"/>
  <c r="AL62"/>
  <c r="AK62" s="1"/>
  <c r="W62"/>
  <c r="V62" s="1"/>
  <c r="AU62"/>
  <c r="AT62" s="1"/>
  <c r="Q61"/>
  <c r="P61" s="1"/>
  <c r="Z61"/>
  <c r="Y61" s="1"/>
  <c r="T61"/>
  <c r="S61" s="1"/>
  <c r="AR61"/>
  <c r="AQ61" s="1"/>
  <c r="AL61"/>
  <c r="AK61" s="1"/>
  <c r="AF61"/>
  <c r="AE61" s="1"/>
  <c r="AX61"/>
  <c r="AW61" s="1"/>
  <c r="AI61"/>
  <c r="AH61" s="1"/>
  <c r="AC61"/>
  <c r="AB61" s="1"/>
  <c r="W61"/>
  <c r="V61" s="1"/>
  <c r="AU61"/>
  <c r="AT61" s="1"/>
  <c r="AO58"/>
  <c r="AN58" s="1"/>
  <c r="AR58"/>
  <c r="AQ58" s="1"/>
  <c r="AL58"/>
  <c r="AK58" s="1"/>
  <c r="AC58"/>
  <c r="AB58" s="1"/>
  <c r="Q55"/>
  <c r="P55" s="1"/>
  <c r="Z55"/>
  <c r="Y55" s="1"/>
  <c r="AX55"/>
  <c r="AW55" s="1"/>
  <c r="AO55"/>
  <c r="AN55" s="1"/>
  <c r="AR55"/>
  <c r="AQ55" s="1"/>
  <c r="AI55"/>
  <c r="AH55" s="1"/>
  <c r="AF55"/>
  <c r="AE55" s="1"/>
  <c r="AC55"/>
  <c r="AB55" s="1"/>
  <c r="AL55"/>
  <c r="AK55" s="1"/>
  <c r="W55"/>
  <c r="V55" s="1"/>
  <c r="AU55"/>
  <c r="AT55" s="1"/>
  <c r="T59"/>
  <c r="S59" s="1"/>
  <c r="AC59"/>
  <c r="AB59" s="1"/>
  <c r="Q59"/>
  <c r="P59" s="1"/>
  <c r="AI59"/>
  <c r="AH59" s="1"/>
  <c r="W59"/>
  <c r="V59" s="1"/>
  <c r="AU59"/>
  <c r="AT59" s="1"/>
  <c r="AO59"/>
  <c r="AN59" s="1"/>
  <c r="AR59"/>
  <c r="AQ59" s="1"/>
  <c r="AL59"/>
  <c r="AK59" s="1"/>
  <c r="AF59"/>
  <c r="AE59" s="1"/>
  <c r="AF58"/>
  <c r="AE58" s="1"/>
  <c r="Q58"/>
  <c r="P58" s="1"/>
  <c r="AI58"/>
  <c r="AH58" s="1"/>
  <c r="Z58"/>
  <c r="Y58" s="1"/>
  <c r="AX58"/>
  <c r="AW58" s="1"/>
  <c r="AU58"/>
  <c r="AT58" s="1"/>
  <c r="W58"/>
  <c r="V58" s="1"/>
  <c r="Q56"/>
  <c r="P56" s="1"/>
  <c r="W56"/>
  <c r="V56" s="1"/>
  <c r="AC56"/>
  <c r="AB56" s="1"/>
  <c r="AI56"/>
  <c r="AH56" s="1"/>
  <c r="AO56"/>
  <c r="AN56" s="1"/>
  <c r="AU56"/>
  <c r="AT56" s="1"/>
  <c r="Z56"/>
  <c r="Y56" s="1"/>
  <c r="AF56"/>
  <c r="AE56" s="1"/>
  <c r="AR56"/>
  <c r="AQ56" s="1"/>
  <c r="AX56"/>
  <c r="AW56" s="1"/>
  <c r="T56"/>
  <c r="S56" s="1"/>
  <c r="AL56"/>
  <c r="AK56" s="1"/>
  <c r="AI54"/>
  <c r="AH54" s="1"/>
  <c r="AO54"/>
  <c r="AN54" s="1"/>
  <c r="W54"/>
  <c r="V54" s="1"/>
  <c r="Q54"/>
  <c r="P54" s="1"/>
  <c r="AL54"/>
  <c r="AK54" s="1"/>
  <c r="AF54"/>
  <c r="AE54" s="1"/>
  <c r="Z54"/>
  <c r="Y54" s="1"/>
  <c r="AX54"/>
  <c r="AW54" s="1"/>
  <c r="T54"/>
  <c r="S54" s="1"/>
  <c r="AR54"/>
  <c r="AQ54" s="1"/>
  <c r="AC54"/>
  <c r="AB54" s="1"/>
  <c r="AA9" i="16"/>
  <c r="Z8"/>
  <c r="S7"/>
  <c r="T8"/>
  <c r="AC50" i="14"/>
  <c r="AB50" s="1"/>
  <c r="W50"/>
  <c r="V50" s="1"/>
  <c r="AU50"/>
  <c r="AT50" s="1"/>
  <c r="AI50"/>
  <c r="AH50" s="1"/>
  <c r="Q50"/>
  <c r="P50" s="1"/>
  <c r="AF50"/>
  <c r="AE50" s="1"/>
  <c r="Z50"/>
  <c r="Y50" s="1"/>
  <c r="AX50"/>
  <c r="AW50" s="1"/>
  <c r="T50"/>
  <c r="S50" s="1"/>
  <c r="AR50"/>
  <c r="AQ50" s="1"/>
  <c r="AL50"/>
  <c r="AK50" s="1"/>
  <c r="W48"/>
  <c r="V48" s="1"/>
  <c r="AL48"/>
  <c r="AK48" s="1"/>
  <c r="AF48"/>
  <c r="AE48" s="1"/>
  <c r="Q48"/>
  <c r="P48" s="1"/>
  <c r="AO48"/>
  <c r="AN48" s="1"/>
  <c r="Z48"/>
  <c r="Y48" s="1"/>
  <c r="AX48"/>
  <c r="AW48" s="1"/>
  <c r="AI48"/>
  <c r="AH48" s="1"/>
  <c r="AR48"/>
  <c r="AQ48" s="1"/>
  <c r="AC48"/>
  <c r="AB48" s="1"/>
  <c r="Q47"/>
  <c r="P47" s="1"/>
  <c r="AF47"/>
  <c r="AE47" s="1"/>
  <c r="Z47"/>
  <c r="Y47" s="1"/>
  <c r="AX47"/>
  <c r="AW47" s="1"/>
  <c r="T47"/>
  <c r="S47" s="1"/>
  <c r="AR47"/>
  <c r="AQ47" s="1"/>
  <c r="AL47"/>
  <c r="AK47" s="1"/>
  <c r="AC47"/>
  <c r="AB47" s="1"/>
  <c r="W47"/>
  <c r="V47" s="1"/>
  <c r="AU47"/>
  <c r="AT47" s="1"/>
  <c r="AO47"/>
  <c r="AN47" s="1"/>
  <c r="AI47"/>
  <c r="AH47" s="1"/>
  <c r="AU45"/>
  <c r="AT45" s="1"/>
  <c r="AL45"/>
  <c r="AK45" s="1"/>
  <c r="W45"/>
  <c r="V45" s="1"/>
  <c r="AF45"/>
  <c r="AE45" s="1"/>
  <c r="Q45"/>
  <c r="P45" s="1"/>
  <c r="AO45"/>
  <c r="AN45" s="1"/>
  <c r="AR45"/>
  <c r="AQ45" s="1"/>
  <c r="AC45"/>
  <c r="AB45" s="1"/>
  <c r="Z45"/>
  <c r="Y45" s="1"/>
  <c r="AX45"/>
  <c r="AW45" s="1"/>
  <c r="AI45"/>
  <c r="AH45" s="1"/>
  <c r="E8" i="18"/>
  <c r="L43" i="14"/>
  <c r="M43" s="1"/>
  <c r="I43" s="1"/>
  <c r="AY43"/>
  <c r="L42"/>
  <c r="M42" s="1"/>
  <c r="AY42"/>
  <c r="L41"/>
  <c r="M41" s="1"/>
  <c r="AY41"/>
  <c r="L40"/>
  <c r="M40" s="1"/>
  <c r="I40" s="1"/>
  <c r="T40" s="1"/>
  <c r="S40" s="1"/>
  <c r="AY40"/>
  <c r="L39"/>
  <c r="M39" s="1"/>
  <c r="AY39"/>
  <c r="L38"/>
  <c r="M38" s="1"/>
  <c r="AY38"/>
  <c r="L37"/>
  <c r="M37" s="1"/>
  <c r="AY37"/>
  <c r="L36"/>
  <c r="M36" s="1"/>
  <c r="I36" s="1"/>
  <c r="T36" s="1"/>
  <c r="S36" s="1"/>
  <c r="AY36"/>
  <c r="L35"/>
  <c r="M35" s="1"/>
  <c r="AY35"/>
  <c r="AH13" i="16" l="1"/>
  <c r="AG12"/>
  <c r="Z9"/>
  <c r="AA10"/>
  <c r="T9"/>
  <c r="S8"/>
  <c r="E9" i="18"/>
  <c r="E10" s="1"/>
  <c r="N40" i="14"/>
  <c r="I41"/>
  <c r="AC41" s="1"/>
  <c r="AB41" s="1"/>
  <c r="N41"/>
  <c r="I42"/>
  <c r="Q42" s="1"/>
  <c r="P42" s="1"/>
  <c r="N42"/>
  <c r="N43"/>
  <c r="I39"/>
  <c r="AF39" s="1"/>
  <c r="AE39" s="1"/>
  <c r="N39"/>
  <c r="N38"/>
  <c r="I38"/>
  <c r="Q38" s="1"/>
  <c r="P38" s="1"/>
  <c r="I37"/>
  <c r="AO37" s="1"/>
  <c r="AN37" s="1"/>
  <c r="N37"/>
  <c r="N36"/>
  <c r="I35"/>
  <c r="AL35" s="1"/>
  <c r="AK35" s="1"/>
  <c r="N35"/>
  <c r="T43"/>
  <c r="S43" s="1"/>
  <c r="Z43"/>
  <c r="Y43" s="1"/>
  <c r="AF43"/>
  <c r="AE43" s="1"/>
  <c r="AL43"/>
  <c r="AK43" s="1"/>
  <c r="AR43"/>
  <c r="AQ43" s="1"/>
  <c r="AX43"/>
  <c r="AW43" s="1"/>
  <c r="Q43"/>
  <c r="P43" s="1"/>
  <c r="W43"/>
  <c r="V43" s="1"/>
  <c r="AC43"/>
  <c r="AB43" s="1"/>
  <c r="AI43"/>
  <c r="AH43" s="1"/>
  <c r="AO43"/>
  <c r="AN43" s="1"/>
  <c r="AU43"/>
  <c r="AT43" s="1"/>
  <c r="AU36"/>
  <c r="AT36" s="1"/>
  <c r="AO36"/>
  <c r="AN36" s="1"/>
  <c r="AI36"/>
  <c r="AH36" s="1"/>
  <c r="AC36"/>
  <c r="AB36" s="1"/>
  <c r="W36"/>
  <c r="V36" s="1"/>
  <c r="Q36"/>
  <c r="P36" s="1"/>
  <c r="AF38"/>
  <c r="AE38" s="1"/>
  <c r="AU40"/>
  <c r="AT40" s="1"/>
  <c r="AO40"/>
  <c r="AN40" s="1"/>
  <c r="AI40"/>
  <c r="AH40" s="1"/>
  <c r="AC40"/>
  <c r="AB40" s="1"/>
  <c r="W40"/>
  <c r="V40" s="1"/>
  <c r="Q40"/>
  <c r="P40" s="1"/>
  <c r="AX36"/>
  <c r="AW36" s="1"/>
  <c r="AR36"/>
  <c r="AQ36" s="1"/>
  <c r="AL36"/>
  <c r="AK36" s="1"/>
  <c r="AF36"/>
  <c r="AE36" s="1"/>
  <c r="Z36"/>
  <c r="Y36" s="1"/>
  <c r="AU38"/>
  <c r="AT38" s="1"/>
  <c r="AX40"/>
  <c r="AW40" s="1"/>
  <c r="AR40"/>
  <c r="AQ40" s="1"/>
  <c r="AL40"/>
  <c r="AK40" s="1"/>
  <c r="AF40"/>
  <c r="AE40" s="1"/>
  <c r="Z40"/>
  <c r="Y40" s="1"/>
  <c r="AH14" i="16" l="1"/>
  <c r="AG13"/>
  <c r="AA11"/>
  <c r="Z10"/>
  <c r="S9"/>
  <c r="T10"/>
  <c r="AC38" i="14"/>
  <c r="AB38" s="1"/>
  <c r="AR42"/>
  <c r="AQ42" s="1"/>
  <c r="AO42"/>
  <c r="AN42" s="1"/>
  <c r="AC42"/>
  <c r="AB42" s="1"/>
  <c r="AF42"/>
  <c r="AE42" s="1"/>
  <c r="T42"/>
  <c r="S42" s="1"/>
  <c r="AF41"/>
  <c r="AE41" s="1"/>
  <c r="W42"/>
  <c r="V42" s="1"/>
  <c r="AU42"/>
  <c r="AT42" s="1"/>
  <c r="AL42"/>
  <c r="AK42" s="1"/>
  <c r="AU41"/>
  <c r="AT41" s="1"/>
  <c r="AI42"/>
  <c r="AH42" s="1"/>
  <c r="Z42"/>
  <c r="Y42" s="1"/>
  <c r="AX42"/>
  <c r="AW42" s="1"/>
  <c r="AI41"/>
  <c r="AH41" s="1"/>
  <c r="AR41"/>
  <c r="AQ41" s="1"/>
  <c r="AO41"/>
  <c r="AN41" s="1"/>
  <c r="Q41"/>
  <c r="P41" s="1"/>
  <c r="AX41"/>
  <c r="AW41" s="1"/>
  <c r="T41"/>
  <c r="S41" s="1"/>
  <c r="W41"/>
  <c r="V41" s="1"/>
  <c r="AL41"/>
  <c r="AK41" s="1"/>
  <c r="Z41"/>
  <c r="Y41" s="1"/>
  <c r="AO38"/>
  <c r="AN38" s="1"/>
  <c r="AL38"/>
  <c r="AK38" s="1"/>
  <c r="W38"/>
  <c r="V38" s="1"/>
  <c r="Q39"/>
  <c r="P39" s="1"/>
  <c r="AR39"/>
  <c r="AQ39" s="1"/>
  <c r="AC39"/>
  <c r="AB39" s="1"/>
  <c r="W39"/>
  <c r="V39" s="1"/>
  <c r="AO39"/>
  <c r="AN39" s="1"/>
  <c r="AI39"/>
  <c r="AH39" s="1"/>
  <c r="T39"/>
  <c r="S39" s="1"/>
  <c r="AL39"/>
  <c r="AK39" s="1"/>
  <c r="AX39"/>
  <c r="AW39" s="1"/>
  <c r="Z39"/>
  <c r="Y39" s="1"/>
  <c r="AU39"/>
  <c r="AT39" s="1"/>
  <c r="Z38"/>
  <c r="Y38" s="1"/>
  <c r="AX38"/>
  <c r="AW38" s="1"/>
  <c r="AI38"/>
  <c r="AH38" s="1"/>
  <c r="T38"/>
  <c r="S38" s="1"/>
  <c r="AR38"/>
  <c r="AQ38" s="1"/>
  <c r="AU37"/>
  <c r="AT37" s="1"/>
  <c r="AX37"/>
  <c r="AW37" s="1"/>
  <c r="T37"/>
  <c r="S37" s="1"/>
  <c r="AL37"/>
  <c r="AK37" s="1"/>
  <c r="AR37"/>
  <c r="AQ37" s="1"/>
  <c r="Q37"/>
  <c r="P37" s="1"/>
  <c r="Z37"/>
  <c r="Y37" s="1"/>
  <c r="W37"/>
  <c r="V37" s="1"/>
  <c r="AI37"/>
  <c r="AH37" s="1"/>
  <c r="AC37"/>
  <c r="AB37" s="1"/>
  <c r="AF37"/>
  <c r="AE37" s="1"/>
  <c r="AF35"/>
  <c r="AE35" s="1"/>
  <c r="AC35"/>
  <c r="AB35" s="1"/>
  <c r="W35"/>
  <c r="V35" s="1"/>
  <c r="AR35"/>
  <c r="AQ35" s="1"/>
  <c r="AO35"/>
  <c r="AN35" s="1"/>
  <c r="AI35"/>
  <c r="AH35" s="1"/>
  <c r="Z35"/>
  <c r="Y35" s="1"/>
  <c r="Q35"/>
  <c r="P35" s="1"/>
  <c r="AX35"/>
  <c r="AW35" s="1"/>
  <c r="T35"/>
  <c r="S35" s="1"/>
  <c r="AU35"/>
  <c r="AT35" s="1"/>
  <c r="AH15" i="16" l="1"/>
  <c r="AG14"/>
  <c r="Z11"/>
  <c r="AA12"/>
  <c r="S10"/>
  <c r="T11"/>
  <c r="L34" i="14"/>
  <c r="M34" s="1"/>
  <c r="AY34"/>
  <c r="L33"/>
  <c r="M33" s="1"/>
  <c r="I33" s="1"/>
  <c r="AY33"/>
  <c r="L32"/>
  <c r="M32" s="1"/>
  <c r="AY32"/>
  <c r="L31"/>
  <c r="M31" s="1"/>
  <c r="AY31"/>
  <c r="L30"/>
  <c r="M30" s="1"/>
  <c r="AY30"/>
  <c r="L29"/>
  <c r="M29" s="1"/>
  <c r="AY29"/>
  <c r="L28"/>
  <c r="M28" s="1"/>
  <c r="I28" s="1"/>
  <c r="T28" s="1"/>
  <c r="S28" s="1"/>
  <c r="AY28"/>
  <c r="L27"/>
  <c r="M27" s="1"/>
  <c r="AY27"/>
  <c r="L26"/>
  <c r="M26" s="1"/>
  <c r="AY26"/>
  <c r="L25"/>
  <c r="M25" s="1"/>
  <c r="I25" s="1"/>
  <c r="AY25"/>
  <c r="L24"/>
  <c r="M24" s="1"/>
  <c r="AY24"/>
  <c r="L23"/>
  <c r="M23" s="1"/>
  <c r="AY23"/>
  <c r="L22"/>
  <c r="M22" s="1"/>
  <c r="AY22"/>
  <c r="L21"/>
  <c r="M21" s="1"/>
  <c r="I21" s="1"/>
  <c r="AY21"/>
  <c r="L20"/>
  <c r="M20" s="1"/>
  <c r="AY20"/>
  <c r="L19"/>
  <c r="M19" s="1"/>
  <c r="AY19"/>
  <c r="L18"/>
  <c r="M18" s="1"/>
  <c r="AY18"/>
  <c r="L17"/>
  <c r="M17" s="1"/>
  <c r="I17" s="1"/>
  <c r="AY17"/>
  <c r="L16"/>
  <c r="M16" s="1"/>
  <c r="AY16"/>
  <c r="L15"/>
  <c r="M15" s="1"/>
  <c r="AY15"/>
  <c r="L14"/>
  <c r="M14" s="1"/>
  <c r="AY14"/>
  <c r="L13"/>
  <c r="M13" s="1"/>
  <c r="I13" s="1"/>
  <c r="AY13"/>
  <c r="L12"/>
  <c r="M12" s="1"/>
  <c r="AY12"/>
  <c r="L11"/>
  <c r="M11" s="1"/>
  <c r="AY11"/>
  <c r="L10"/>
  <c r="M10" s="1"/>
  <c r="AY10"/>
  <c r="L9"/>
  <c r="M9" s="1"/>
  <c r="I9" s="1"/>
  <c r="AY9"/>
  <c r="L8"/>
  <c r="M8" s="1"/>
  <c r="AY8"/>
  <c r="AY33" i="17"/>
  <c r="L33"/>
  <c r="M33" s="1"/>
  <c r="J6"/>
  <c r="J34" s="1"/>
  <c r="L32"/>
  <c r="M32" s="1"/>
  <c r="I32" s="1"/>
  <c r="AR32" s="1"/>
  <c r="AY32"/>
  <c r="L31"/>
  <c r="M31" s="1"/>
  <c r="AY31"/>
  <c r="L30"/>
  <c r="M30" s="1"/>
  <c r="I30" s="1"/>
  <c r="AU30" s="1"/>
  <c r="AY30"/>
  <c r="L29"/>
  <c r="M29" s="1"/>
  <c r="AY29"/>
  <c r="L28"/>
  <c r="M28" s="1"/>
  <c r="AY28"/>
  <c r="L27"/>
  <c r="M27" s="1"/>
  <c r="I27" s="1"/>
  <c r="AY27"/>
  <c r="L26"/>
  <c r="M26" s="1"/>
  <c r="AY26"/>
  <c r="L25"/>
  <c r="M25" s="1"/>
  <c r="I25" s="1"/>
  <c r="T25" s="1"/>
  <c r="S25" s="1"/>
  <c r="AY25"/>
  <c r="L24"/>
  <c r="M24" s="1"/>
  <c r="I24" s="1"/>
  <c r="AR24" s="1"/>
  <c r="AQ24" s="1"/>
  <c r="AY24"/>
  <c r="L23"/>
  <c r="M23" s="1"/>
  <c r="AY23"/>
  <c r="L22"/>
  <c r="M22" s="1"/>
  <c r="AY22"/>
  <c r="L21"/>
  <c r="M21" s="1"/>
  <c r="AY21"/>
  <c r="L20"/>
  <c r="M20" s="1"/>
  <c r="AY20"/>
  <c r="L19"/>
  <c r="M19" s="1"/>
  <c r="AY19"/>
  <c r="L18"/>
  <c r="M18" s="1"/>
  <c r="AY18"/>
  <c r="L17"/>
  <c r="M17" s="1"/>
  <c r="I17" s="1"/>
  <c r="T17" s="1"/>
  <c r="S17" s="1"/>
  <c r="AY17"/>
  <c r="L16"/>
  <c r="M16" s="1"/>
  <c r="I16" s="1"/>
  <c r="AY16"/>
  <c r="L15"/>
  <c r="M15" s="1"/>
  <c r="AY15"/>
  <c r="L14"/>
  <c r="M14" s="1"/>
  <c r="AY14"/>
  <c r="L13"/>
  <c r="M13" s="1"/>
  <c r="AY13"/>
  <c r="L12"/>
  <c r="M12" s="1"/>
  <c r="AY12"/>
  <c r="L11"/>
  <c r="M11" s="1"/>
  <c r="AY11"/>
  <c r="L10"/>
  <c r="M10" s="1"/>
  <c r="AY10"/>
  <c r="L9"/>
  <c r="M9" s="1"/>
  <c r="I9" s="1"/>
  <c r="T9" s="1"/>
  <c r="S9" s="1"/>
  <c r="AY9"/>
  <c r="L8"/>
  <c r="M8" s="1"/>
  <c r="I8" s="1"/>
  <c r="AU8" s="1"/>
  <c r="AT8" s="1"/>
  <c r="AY8"/>
  <c r="N41"/>
  <c r="N40"/>
  <c r="AV37"/>
  <c r="AS37"/>
  <c r="AP37"/>
  <c r="AM37"/>
  <c r="AJ37"/>
  <c r="AG37"/>
  <c r="AD37"/>
  <c r="AA37"/>
  <c r="X37"/>
  <c r="U37"/>
  <c r="R37"/>
  <c r="O37"/>
  <c r="AY7"/>
  <c r="L7"/>
  <c r="M7" s="1"/>
  <c r="AY6"/>
  <c r="L6"/>
  <c r="M6" s="1"/>
  <c r="AY5"/>
  <c r="L5"/>
  <c r="M5" s="1"/>
  <c r="AY4"/>
  <c r="L4"/>
  <c r="AY3"/>
  <c r="L3"/>
  <c r="L7" i="14"/>
  <c r="M7" s="1"/>
  <c r="AY7"/>
  <c r="AY6"/>
  <c r="L5"/>
  <c r="M5" s="1"/>
  <c r="AY5"/>
  <c r="L4"/>
  <c r="M4" s="1"/>
  <c r="I4" s="1"/>
  <c r="Q4" s="1"/>
  <c r="AY4"/>
  <c r="N125"/>
  <c r="AV121"/>
  <c r="AS121"/>
  <c r="AP121"/>
  <c r="AM121"/>
  <c r="AJ121"/>
  <c r="AG121"/>
  <c r="AD121"/>
  <c r="AA121"/>
  <c r="L3"/>
  <c r="AY3"/>
  <c r="X121"/>
  <c r="U121"/>
  <c r="R121"/>
  <c r="O121"/>
  <c r="L118" l="1"/>
  <c r="AH16" i="16"/>
  <c r="AG16" s="1"/>
  <c r="AG15"/>
  <c r="AA13"/>
  <c r="Z12"/>
  <c r="S11"/>
  <c r="T12"/>
  <c r="N5" i="14"/>
  <c r="N124"/>
  <c r="L6"/>
  <c r="M6" s="1"/>
  <c r="I6" s="1"/>
  <c r="AC6" s="1"/>
  <c r="AB6" s="1"/>
  <c r="L34" i="17"/>
  <c r="M3"/>
  <c r="N8" i="14"/>
  <c r="N12"/>
  <c r="N24"/>
  <c r="N34"/>
  <c r="I34"/>
  <c r="Q34" s="1"/>
  <c r="P34" s="1"/>
  <c r="M3"/>
  <c r="M118" s="1"/>
  <c r="N16"/>
  <c r="I12"/>
  <c r="T12" s="1"/>
  <c r="S12" s="1"/>
  <c r="N33"/>
  <c r="N32"/>
  <c r="I32"/>
  <c r="T32" s="1"/>
  <c r="S32" s="1"/>
  <c r="I31"/>
  <c r="AF31" s="1"/>
  <c r="AE31" s="1"/>
  <c r="N31"/>
  <c r="N30"/>
  <c r="I30"/>
  <c r="Q30" s="1"/>
  <c r="P30" s="1"/>
  <c r="I29"/>
  <c r="W29" s="1"/>
  <c r="V29" s="1"/>
  <c r="N29"/>
  <c r="N20"/>
  <c r="I20"/>
  <c r="T20" s="1"/>
  <c r="S20" s="1"/>
  <c r="I15"/>
  <c r="AL15" s="1"/>
  <c r="AK15" s="1"/>
  <c r="N15"/>
  <c r="N18"/>
  <c r="I18"/>
  <c r="Q18" s="1"/>
  <c r="P18" s="1"/>
  <c r="N10"/>
  <c r="I10"/>
  <c r="Q10" s="1"/>
  <c r="P10" s="1"/>
  <c r="N22"/>
  <c r="I22"/>
  <c r="Q22" s="1"/>
  <c r="P22" s="1"/>
  <c r="I27"/>
  <c r="T27" s="1"/>
  <c r="S27" s="1"/>
  <c r="N27"/>
  <c r="N14"/>
  <c r="I14"/>
  <c r="Q14" s="1"/>
  <c r="P14" s="1"/>
  <c r="I19"/>
  <c r="T19" s="1"/>
  <c r="S19" s="1"/>
  <c r="N19"/>
  <c r="I7"/>
  <c r="AI7" s="1"/>
  <c r="AH7" s="1"/>
  <c r="N7"/>
  <c r="I11"/>
  <c r="T11" s="1"/>
  <c r="S11" s="1"/>
  <c r="N11"/>
  <c r="I23"/>
  <c r="AL23" s="1"/>
  <c r="AK23" s="1"/>
  <c r="N23"/>
  <c r="N26"/>
  <c r="I26"/>
  <c r="Q26" s="1"/>
  <c r="P26" s="1"/>
  <c r="N126"/>
  <c r="I5"/>
  <c r="T5" s="1"/>
  <c r="S5" s="1"/>
  <c r="I8"/>
  <c r="T8" s="1"/>
  <c r="S8" s="1"/>
  <c r="I16"/>
  <c r="T16" s="1"/>
  <c r="S16" s="1"/>
  <c r="I24"/>
  <c r="T24" s="1"/>
  <c r="S24" s="1"/>
  <c r="N28"/>
  <c r="N4"/>
  <c r="N25"/>
  <c r="N21"/>
  <c r="N17"/>
  <c r="N13"/>
  <c r="N9"/>
  <c r="N127"/>
  <c r="Q9"/>
  <c r="P9" s="1"/>
  <c r="W9"/>
  <c r="V9" s="1"/>
  <c r="AC9"/>
  <c r="AB9" s="1"/>
  <c r="AI9"/>
  <c r="AH9" s="1"/>
  <c r="AO9"/>
  <c r="AN9" s="1"/>
  <c r="AU9"/>
  <c r="AT9" s="1"/>
  <c r="AL9"/>
  <c r="AK9" s="1"/>
  <c r="T9"/>
  <c r="S9" s="1"/>
  <c r="Z9"/>
  <c r="Y9" s="1"/>
  <c r="AF9"/>
  <c r="AE9" s="1"/>
  <c r="AR9"/>
  <c r="AQ9" s="1"/>
  <c r="AX9"/>
  <c r="AW9" s="1"/>
  <c r="Q13"/>
  <c r="P13" s="1"/>
  <c r="W13"/>
  <c r="V13" s="1"/>
  <c r="AC13"/>
  <c r="AB13" s="1"/>
  <c r="AI13"/>
  <c r="AH13" s="1"/>
  <c r="AO13"/>
  <c r="AN13" s="1"/>
  <c r="AU13"/>
  <c r="AT13" s="1"/>
  <c r="T13"/>
  <c r="S13" s="1"/>
  <c r="Z13"/>
  <c r="Y13" s="1"/>
  <c r="AF13"/>
  <c r="AE13" s="1"/>
  <c r="AL13"/>
  <c r="AK13" s="1"/>
  <c r="AR13"/>
  <c r="AQ13" s="1"/>
  <c r="AX13"/>
  <c r="AW13" s="1"/>
  <c r="Q21"/>
  <c r="P21" s="1"/>
  <c r="W21"/>
  <c r="V21" s="1"/>
  <c r="AC21"/>
  <c r="AB21" s="1"/>
  <c r="AI21"/>
  <c r="AH21" s="1"/>
  <c r="AO21"/>
  <c r="AN21" s="1"/>
  <c r="AU21"/>
  <c r="AT21" s="1"/>
  <c r="T21"/>
  <c r="S21" s="1"/>
  <c r="Z21"/>
  <c r="Y21" s="1"/>
  <c r="AF21"/>
  <c r="AE21" s="1"/>
  <c r="AL21"/>
  <c r="AK21" s="1"/>
  <c r="AR21"/>
  <c r="AQ21" s="1"/>
  <c r="AX21"/>
  <c r="AW21" s="1"/>
  <c r="Q25"/>
  <c r="P25" s="1"/>
  <c r="W25"/>
  <c r="V25" s="1"/>
  <c r="AC25"/>
  <c r="AB25" s="1"/>
  <c r="AI25"/>
  <c r="AH25" s="1"/>
  <c r="AO25"/>
  <c r="AN25" s="1"/>
  <c r="AU25"/>
  <c r="AT25" s="1"/>
  <c r="T25"/>
  <c r="S25" s="1"/>
  <c r="Z25"/>
  <c r="Y25" s="1"/>
  <c r="AF25"/>
  <c r="AE25" s="1"/>
  <c r="AL25"/>
  <c r="AK25" s="1"/>
  <c r="AR25"/>
  <c r="AQ25" s="1"/>
  <c r="AX25"/>
  <c r="AW25" s="1"/>
  <c r="Q17"/>
  <c r="P17" s="1"/>
  <c r="W17"/>
  <c r="V17" s="1"/>
  <c r="AC17"/>
  <c r="AB17" s="1"/>
  <c r="AI17"/>
  <c r="AH17" s="1"/>
  <c r="AO17"/>
  <c r="AN17" s="1"/>
  <c r="AU17"/>
  <c r="AT17" s="1"/>
  <c r="T17"/>
  <c r="S17" s="1"/>
  <c r="Z17"/>
  <c r="Y17" s="1"/>
  <c r="AF17"/>
  <c r="AE17" s="1"/>
  <c r="AL17"/>
  <c r="AK17" s="1"/>
  <c r="AR17"/>
  <c r="AQ17" s="1"/>
  <c r="AX17"/>
  <c r="AW17" s="1"/>
  <c r="Q33"/>
  <c r="P33" s="1"/>
  <c r="W33"/>
  <c r="V33" s="1"/>
  <c r="AC33"/>
  <c r="AB33" s="1"/>
  <c r="AI33"/>
  <c r="AH33" s="1"/>
  <c r="AO33"/>
  <c r="AN33" s="1"/>
  <c r="AU33"/>
  <c r="AT33" s="1"/>
  <c r="T33"/>
  <c r="S33" s="1"/>
  <c r="Z33"/>
  <c r="Y33" s="1"/>
  <c r="AF33"/>
  <c r="AE33" s="1"/>
  <c r="AL33"/>
  <c r="AK33" s="1"/>
  <c r="AR33"/>
  <c r="AQ33" s="1"/>
  <c r="AX33"/>
  <c r="AW33" s="1"/>
  <c r="AU28"/>
  <c r="AT28" s="1"/>
  <c r="AO28"/>
  <c r="AN28" s="1"/>
  <c r="AI28"/>
  <c r="AH28" s="1"/>
  <c r="AC28"/>
  <c r="AB28" s="1"/>
  <c r="W28"/>
  <c r="V28" s="1"/>
  <c r="Q28"/>
  <c r="P28" s="1"/>
  <c r="AX28"/>
  <c r="AW28" s="1"/>
  <c r="AR28"/>
  <c r="AQ28" s="1"/>
  <c r="AL28"/>
  <c r="AK28" s="1"/>
  <c r="AF28"/>
  <c r="AE28" s="1"/>
  <c r="Z28"/>
  <c r="Y28" s="1"/>
  <c r="N33" i="17"/>
  <c r="I33"/>
  <c r="N42"/>
  <c r="AR9"/>
  <c r="AQ9" s="1"/>
  <c r="AU25"/>
  <c r="AT25" s="1"/>
  <c r="AR16"/>
  <c r="AQ16" s="1"/>
  <c r="AU16"/>
  <c r="AT16" s="1"/>
  <c r="I29"/>
  <c r="T29" s="1"/>
  <c r="S29" s="1"/>
  <c r="N29"/>
  <c r="Q27"/>
  <c r="P27" s="1"/>
  <c r="AU27"/>
  <c r="I28"/>
  <c r="AF28" s="1"/>
  <c r="AE28" s="1"/>
  <c r="N28"/>
  <c r="N30"/>
  <c r="AR25"/>
  <c r="AQ25" s="1"/>
  <c r="AR17"/>
  <c r="AQ17" s="1"/>
  <c r="N27"/>
  <c r="N32"/>
  <c r="AU32"/>
  <c r="AU17"/>
  <c r="AT17" s="1"/>
  <c r="AU9"/>
  <c r="AT9" s="1"/>
  <c r="AR30"/>
  <c r="AQ30" s="1"/>
  <c r="AU24"/>
  <c r="AT24" s="1"/>
  <c r="AR8"/>
  <c r="AQ8" s="1"/>
  <c r="AR27"/>
  <c r="AQ27" s="1"/>
  <c r="N31"/>
  <c r="I31"/>
  <c r="Q31" s="1"/>
  <c r="P31" s="1"/>
  <c r="I26"/>
  <c r="AX26" s="1"/>
  <c r="AW26" s="1"/>
  <c r="N26"/>
  <c r="N25"/>
  <c r="N24"/>
  <c r="I23"/>
  <c r="N23"/>
  <c r="I22"/>
  <c r="N22"/>
  <c r="N21"/>
  <c r="I21"/>
  <c r="AC21" s="1"/>
  <c r="AB21" s="1"/>
  <c r="I20"/>
  <c r="N20"/>
  <c r="N19"/>
  <c r="I19"/>
  <c r="Z19" s="1"/>
  <c r="Y19" s="1"/>
  <c r="I18"/>
  <c r="N18"/>
  <c r="N17"/>
  <c r="N16"/>
  <c r="I15"/>
  <c r="Z15" s="1"/>
  <c r="Y15" s="1"/>
  <c r="N15"/>
  <c r="I14"/>
  <c r="N14"/>
  <c r="N13"/>
  <c r="I13"/>
  <c r="W13" s="1"/>
  <c r="V13" s="1"/>
  <c r="I12"/>
  <c r="N12"/>
  <c r="I11"/>
  <c r="N11"/>
  <c r="I10"/>
  <c r="N10"/>
  <c r="N9"/>
  <c r="N8"/>
  <c r="Q30"/>
  <c r="P30" s="1"/>
  <c r="W30"/>
  <c r="V30" s="1"/>
  <c r="AC30"/>
  <c r="AB30" s="1"/>
  <c r="AI30"/>
  <c r="AH30" s="1"/>
  <c r="AO30"/>
  <c r="AN30" s="1"/>
  <c r="AT30"/>
  <c r="T30"/>
  <c r="S30" s="1"/>
  <c r="Z30"/>
  <c r="Y30" s="1"/>
  <c r="AF30"/>
  <c r="AE30" s="1"/>
  <c r="AL30"/>
  <c r="AK30" s="1"/>
  <c r="AX30"/>
  <c r="AW30" s="1"/>
  <c r="Z28"/>
  <c r="Y28" s="1"/>
  <c r="AL28"/>
  <c r="AK28" s="1"/>
  <c r="Q28"/>
  <c r="P28" s="1"/>
  <c r="AO28"/>
  <c r="AN28" s="1"/>
  <c r="T8"/>
  <c r="S8" s="1"/>
  <c r="AF8"/>
  <c r="AE8" s="1"/>
  <c r="Q8"/>
  <c r="P8" s="1"/>
  <c r="AC8"/>
  <c r="AB8" s="1"/>
  <c r="AO8"/>
  <c r="AN8" s="1"/>
  <c r="W8"/>
  <c r="V8" s="1"/>
  <c r="AI8"/>
  <c r="AH8" s="1"/>
  <c r="Z8"/>
  <c r="Y8" s="1"/>
  <c r="AL8"/>
  <c r="AK8" s="1"/>
  <c r="AX8"/>
  <c r="AW8" s="1"/>
  <c r="T16"/>
  <c r="S16" s="1"/>
  <c r="Z16"/>
  <c r="Y16" s="1"/>
  <c r="AF16"/>
  <c r="AE16" s="1"/>
  <c r="AL16"/>
  <c r="AK16" s="1"/>
  <c r="AX16"/>
  <c r="AW16" s="1"/>
  <c r="Q16"/>
  <c r="P16" s="1"/>
  <c r="W16"/>
  <c r="V16" s="1"/>
  <c r="AC16"/>
  <c r="AB16" s="1"/>
  <c r="AI16"/>
  <c r="AH16" s="1"/>
  <c r="AO16"/>
  <c r="AN16" s="1"/>
  <c r="T24"/>
  <c r="S24" s="1"/>
  <c r="Z24"/>
  <c r="Y24" s="1"/>
  <c r="AF24"/>
  <c r="AE24" s="1"/>
  <c r="AL24"/>
  <c r="AK24" s="1"/>
  <c r="AX24"/>
  <c r="AW24" s="1"/>
  <c r="Q24"/>
  <c r="P24" s="1"/>
  <c r="W24"/>
  <c r="V24" s="1"/>
  <c r="AC24"/>
  <c r="AB24" s="1"/>
  <c r="AI24"/>
  <c r="AH24" s="1"/>
  <c r="AO24"/>
  <c r="AN24" s="1"/>
  <c r="T32"/>
  <c r="S32" s="1"/>
  <c r="Z32"/>
  <c r="Y32" s="1"/>
  <c r="AF32"/>
  <c r="AE32" s="1"/>
  <c r="AL32"/>
  <c r="AK32" s="1"/>
  <c r="AQ32"/>
  <c r="AX32"/>
  <c r="AW32" s="1"/>
  <c r="Q32"/>
  <c r="P32" s="1"/>
  <c r="W32"/>
  <c r="V32" s="1"/>
  <c r="AC32"/>
  <c r="AB32" s="1"/>
  <c r="AI32"/>
  <c r="AH32" s="1"/>
  <c r="AO32"/>
  <c r="AN32" s="1"/>
  <c r="AT32"/>
  <c r="AO9"/>
  <c r="AN9" s="1"/>
  <c r="AI9"/>
  <c r="AH9" s="1"/>
  <c r="AC9"/>
  <c r="AB9" s="1"/>
  <c r="W9"/>
  <c r="V9" s="1"/>
  <c r="Q9"/>
  <c r="P9" s="1"/>
  <c r="AO13"/>
  <c r="AN13" s="1"/>
  <c r="Q13"/>
  <c r="P13" s="1"/>
  <c r="AF15"/>
  <c r="AE15" s="1"/>
  <c r="AO17"/>
  <c r="AN17" s="1"/>
  <c r="AI17"/>
  <c r="AH17" s="1"/>
  <c r="AC17"/>
  <c r="AB17" s="1"/>
  <c r="W17"/>
  <c r="V17" s="1"/>
  <c r="Q17"/>
  <c r="P17" s="1"/>
  <c r="AO25"/>
  <c r="AN25" s="1"/>
  <c r="AI25"/>
  <c r="AH25" s="1"/>
  <c r="AC25"/>
  <c r="AB25" s="1"/>
  <c r="W25"/>
  <c r="V25" s="1"/>
  <c r="Q25"/>
  <c r="P25" s="1"/>
  <c r="AX27"/>
  <c r="AW27" s="1"/>
  <c r="AL27"/>
  <c r="AK27" s="1"/>
  <c r="AF27"/>
  <c r="AE27" s="1"/>
  <c r="Z27"/>
  <c r="Y27" s="1"/>
  <c r="T27"/>
  <c r="S27" s="1"/>
  <c r="AO29"/>
  <c r="AN29" s="1"/>
  <c r="AI29"/>
  <c r="AH29" s="1"/>
  <c r="AC29"/>
  <c r="AB29" s="1"/>
  <c r="W29"/>
  <c r="V29" s="1"/>
  <c r="Q29"/>
  <c r="P29" s="1"/>
  <c r="AX9"/>
  <c r="AW9" s="1"/>
  <c r="AL9"/>
  <c r="AK9" s="1"/>
  <c r="AF9"/>
  <c r="AE9" s="1"/>
  <c r="Z9"/>
  <c r="Y9" s="1"/>
  <c r="AX13"/>
  <c r="AW13" s="1"/>
  <c r="Z13"/>
  <c r="Y13" s="1"/>
  <c r="AO15"/>
  <c r="AN15" s="1"/>
  <c r="AX17"/>
  <c r="AW17" s="1"/>
  <c r="AL17"/>
  <c r="AK17" s="1"/>
  <c r="AF17"/>
  <c r="AE17" s="1"/>
  <c r="Z17"/>
  <c r="Y17" s="1"/>
  <c r="W23"/>
  <c r="V23" s="1"/>
  <c r="AX25"/>
  <c r="AW25" s="1"/>
  <c r="AL25"/>
  <c r="AK25" s="1"/>
  <c r="AF25"/>
  <c r="AE25" s="1"/>
  <c r="Z25"/>
  <c r="Y25" s="1"/>
  <c r="AT27"/>
  <c r="AO27"/>
  <c r="AN27" s="1"/>
  <c r="AI27"/>
  <c r="AH27" s="1"/>
  <c r="AC27"/>
  <c r="AB27" s="1"/>
  <c r="W27"/>
  <c r="V27" s="1"/>
  <c r="AX29"/>
  <c r="AW29" s="1"/>
  <c r="AL29"/>
  <c r="AK29" s="1"/>
  <c r="AF29"/>
  <c r="AE29" s="1"/>
  <c r="Z29"/>
  <c r="Y29" s="1"/>
  <c r="W31"/>
  <c r="V31" s="1"/>
  <c r="N6"/>
  <c r="I6"/>
  <c r="N3"/>
  <c r="I3"/>
  <c r="N5"/>
  <c r="I5"/>
  <c r="N7"/>
  <c r="I7"/>
  <c r="M4"/>
  <c r="P4" i="14"/>
  <c r="AX4"/>
  <c r="AW4" s="1"/>
  <c r="AF4"/>
  <c r="AE4" s="1"/>
  <c r="T4"/>
  <c r="S4" s="1"/>
  <c r="AI4"/>
  <c r="AH4" s="1"/>
  <c r="AR4"/>
  <c r="AL4"/>
  <c r="AK4" s="1"/>
  <c r="Z4"/>
  <c r="Y4" s="1"/>
  <c r="AU4"/>
  <c r="AO4"/>
  <c r="AN4" s="1"/>
  <c r="AC4"/>
  <c r="AB4" s="1"/>
  <c r="W4"/>
  <c r="V4" s="1"/>
  <c r="K37" i="16"/>
  <c r="J37"/>
  <c r="M6"/>
  <c r="M7" s="1"/>
  <c r="C24"/>
  <c r="D24"/>
  <c r="F6"/>
  <c r="E6" s="1"/>
  <c r="W6" i="14" l="1"/>
  <c r="V6" s="1"/>
  <c r="Q6"/>
  <c r="P6" s="1"/>
  <c r="AR6"/>
  <c r="AQ6" s="1"/>
  <c r="AU6"/>
  <c r="AT6" s="1"/>
  <c r="AF6"/>
  <c r="AE6" s="1"/>
  <c r="AL6"/>
  <c r="AK6" s="1"/>
  <c r="AI6"/>
  <c r="AH6" s="1"/>
  <c r="AX6"/>
  <c r="AW6" s="1"/>
  <c r="AO6"/>
  <c r="AN6" s="1"/>
  <c r="Z5"/>
  <c r="Y5" s="1"/>
  <c r="W7"/>
  <c r="V7" s="1"/>
  <c r="AO10"/>
  <c r="AN10" s="1"/>
  <c r="T26"/>
  <c r="S26" s="1"/>
  <c r="AR32"/>
  <c r="AQ32" s="1"/>
  <c r="AC32"/>
  <c r="AB32" s="1"/>
  <c r="AR10"/>
  <c r="AQ10" s="1"/>
  <c r="AI26"/>
  <c r="AH26" s="1"/>
  <c r="AX10"/>
  <c r="AW10" s="1"/>
  <c r="W10"/>
  <c r="V10" s="1"/>
  <c r="AL16"/>
  <c r="AK16" s="1"/>
  <c r="AO26"/>
  <c r="AN26" s="1"/>
  <c r="Z26"/>
  <c r="Y26" s="1"/>
  <c r="Q23"/>
  <c r="P23" s="1"/>
  <c r="AR26"/>
  <c r="AQ26" s="1"/>
  <c r="T7"/>
  <c r="S7" s="1"/>
  <c r="T6"/>
  <c r="S6" s="1"/>
  <c r="Z6"/>
  <c r="Y6" s="1"/>
  <c r="W16"/>
  <c r="V16" s="1"/>
  <c r="Z23"/>
  <c r="Y23" s="1"/>
  <c r="Z24"/>
  <c r="Y24" s="1"/>
  <c r="AC18"/>
  <c r="AB18" s="1"/>
  <c r="W32"/>
  <c r="V32" s="1"/>
  <c r="AI20"/>
  <c r="AH20" s="1"/>
  <c r="W18"/>
  <c r="V18" s="1"/>
  <c r="AC20"/>
  <c r="AB20" s="1"/>
  <c r="AF5"/>
  <c r="AE5" s="1"/>
  <c r="AO5"/>
  <c r="AN5" s="1"/>
  <c r="AC22"/>
  <c r="AB22" s="1"/>
  <c r="Z27"/>
  <c r="Y27" s="1"/>
  <c r="AR15"/>
  <c r="AQ15" s="1"/>
  <c r="AU5"/>
  <c r="AT5" s="1"/>
  <c r="AI30"/>
  <c r="AH30" s="1"/>
  <c r="AF16"/>
  <c r="AE16" s="1"/>
  <c r="AU10"/>
  <c r="AT10" s="1"/>
  <c r="AX26"/>
  <c r="AW26" s="1"/>
  <c r="T10"/>
  <c r="S10" s="1"/>
  <c r="AX11"/>
  <c r="AW11" s="1"/>
  <c r="AR12"/>
  <c r="AQ12" s="1"/>
  <c r="AI27"/>
  <c r="AH27" s="1"/>
  <c r="AC26"/>
  <c r="AB26" s="1"/>
  <c r="Z16"/>
  <c r="Y16" s="1"/>
  <c r="AI10"/>
  <c r="AH10" s="1"/>
  <c r="AF10"/>
  <c r="AE10" s="1"/>
  <c r="W26"/>
  <c r="V26" s="1"/>
  <c r="AU26"/>
  <c r="AT26" s="1"/>
  <c r="AR16"/>
  <c r="AQ16" s="1"/>
  <c r="AC10"/>
  <c r="AB10" s="1"/>
  <c r="AF8"/>
  <c r="AE8" s="1"/>
  <c r="AF26"/>
  <c r="AE26" s="1"/>
  <c r="AC24"/>
  <c r="AB24" s="1"/>
  <c r="AC16"/>
  <c r="AB16" s="1"/>
  <c r="Z10"/>
  <c r="Y10" s="1"/>
  <c r="AI8"/>
  <c r="AH8" s="1"/>
  <c r="AI19"/>
  <c r="AH19" s="1"/>
  <c r="Z11"/>
  <c r="Y11" s="1"/>
  <c r="T15"/>
  <c r="S15" s="1"/>
  <c r="AI12"/>
  <c r="AH12" s="1"/>
  <c r="AI11"/>
  <c r="AH11" s="1"/>
  <c r="AX16"/>
  <c r="AW16" s="1"/>
  <c r="Z34"/>
  <c r="Y34" s="1"/>
  <c r="AL26"/>
  <c r="AK26" s="1"/>
  <c r="AI16"/>
  <c r="AH16" s="1"/>
  <c r="W31"/>
  <c r="V31" s="1"/>
  <c r="AX19"/>
  <c r="AW19" s="1"/>
  <c r="Z13" i="16"/>
  <c r="AA14"/>
  <c r="S12"/>
  <c r="T13"/>
  <c r="AX24" i="14"/>
  <c r="AW24" s="1"/>
  <c r="W24"/>
  <c r="V24" s="1"/>
  <c r="W5"/>
  <c r="V5" s="1"/>
  <c r="AL7"/>
  <c r="AK7" s="1"/>
  <c r="AO7"/>
  <c r="AN7" s="1"/>
  <c r="AL32"/>
  <c r="AK32" s="1"/>
  <c r="AR24"/>
  <c r="AQ24" s="1"/>
  <c r="AF20"/>
  <c r="AE20" s="1"/>
  <c r="AI14"/>
  <c r="AH14" s="1"/>
  <c r="AL30"/>
  <c r="AK30" s="1"/>
  <c r="Z22"/>
  <c r="Y22" s="1"/>
  <c r="AI23"/>
  <c r="AH23" s="1"/>
  <c r="AR23"/>
  <c r="AQ23" s="1"/>
  <c r="AF7"/>
  <c r="AE7" s="1"/>
  <c r="AC7"/>
  <c r="AB7" s="1"/>
  <c r="AC23"/>
  <c r="AB23" s="1"/>
  <c r="AF23"/>
  <c r="AE23" s="1"/>
  <c r="AX5"/>
  <c r="AW5" s="1"/>
  <c r="Q5"/>
  <c r="P5" s="1"/>
  <c r="AR7"/>
  <c r="AQ7" s="1"/>
  <c r="AU7"/>
  <c r="AT7" s="1"/>
  <c r="Q7"/>
  <c r="P7" s="1"/>
  <c r="AO30"/>
  <c r="AN30" s="1"/>
  <c r="AF24"/>
  <c r="AE24" s="1"/>
  <c r="Z20"/>
  <c r="Y20" s="1"/>
  <c r="AF30"/>
  <c r="AE30" s="1"/>
  <c r="AU24"/>
  <c r="AT24" s="1"/>
  <c r="AL18"/>
  <c r="AK18" s="1"/>
  <c r="Z14"/>
  <c r="Y14" s="1"/>
  <c r="AO23"/>
  <c r="AN23" s="1"/>
  <c r="AX23"/>
  <c r="AW23" s="1"/>
  <c r="T23"/>
  <c r="S23" s="1"/>
  <c r="AR5"/>
  <c r="AQ5" s="1"/>
  <c r="AI5"/>
  <c r="AH5" s="1"/>
  <c r="AF32"/>
  <c r="AE32" s="1"/>
  <c r="AC30"/>
  <c r="AB30" s="1"/>
  <c r="AO22"/>
  <c r="AN22" s="1"/>
  <c r="AX20"/>
  <c r="AW20" s="1"/>
  <c r="AU18"/>
  <c r="AT18" s="1"/>
  <c r="Q32"/>
  <c r="P32" s="1"/>
  <c r="AU32"/>
  <c r="AT32" s="1"/>
  <c r="Q24"/>
  <c r="P24" s="1"/>
  <c r="AO24"/>
  <c r="AN24" s="1"/>
  <c r="Q20"/>
  <c r="P20" s="1"/>
  <c r="AF18"/>
  <c r="AE18" s="1"/>
  <c r="AL5"/>
  <c r="AK5" s="1"/>
  <c r="AC5"/>
  <c r="AB5" s="1"/>
  <c r="AX7"/>
  <c r="AW7" s="1"/>
  <c r="Z7"/>
  <c r="Y7" s="1"/>
  <c r="Z32"/>
  <c r="Y32" s="1"/>
  <c r="AX32"/>
  <c r="AW32" s="1"/>
  <c r="AL24"/>
  <c r="AK24" s="1"/>
  <c r="AI22"/>
  <c r="AH22" s="1"/>
  <c r="AL20"/>
  <c r="AK20" s="1"/>
  <c r="AO18"/>
  <c r="AN18" s="1"/>
  <c r="AO14"/>
  <c r="AN14" s="1"/>
  <c r="AO32"/>
  <c r="AN32" s="1"/>
  <c r="AR30"/>
  <c r="AQ30" s="1"/>
  <c r="AI24"/>
  <c r="AH24" s="1"/>
  <c r="AL22"/>
  <c r="AK22" s="1"/>
  <c r="Z18"/>
  <c r="Y18" s="1"/>
  <c r="AX27"/>
  <c r="AW27" s="1"/>
  <c r="Z19"/>
  <c r="Y19" s="1"/>
  <c r="AU23"/>
  <c r="AT23" s="1"/>
  <c r="W23"/>
  <c r="V23" s="1"/>
  <c r="AC29"/>
  <c r="AB29" s="1"/>
  <c r="N3"/>
  <c r="AC15"/>
  <c r="AB15" s="1"/>
  <c r="AC14"/>
  <c r="AB14" s="1"/>
  <c r="T30"/>
  <c r="S30" s="1"/>
  <c r="AX22"/>
  <c r="AW22" s="1"/>
  <c r="AO20"/>
  <c r="AN20" s="1"/>
  <c r="AX14"/>
  <c r="AW14" s="1"/>
  <c r="AL14"/>
  <c r="AK14" s="1"/>
  <c r="W30"/>
  <c r="V30" s="1"/>
  <c r="AU30"/>
  <c r="AT30" s="1"/>
  <c r="W22"/>
  <c r="V22" s="1"/>
  <c r="AU22"/>
  <c r="AT22" s="1"/>
  <c r="AR20"/>
  <c r="AQ20" s="1"/>
  <c r="AI18"/>
  <c r="AH18" s="1"/>
  <c r="W14"/>
  <c r="V14" s="1"/>
  <c r="AU14"/>
  <c r="AT14" s="1"/>
  <c r="AI32"/>
  <c r="AH32" s="1"/>
  <c r="Z30"/>
  <c r="Y30" s="1"/>
  <c r="AX30"/>
  <c r="AW30" s="1"/>
  <c r="AF22"/>
  <c r="AE22" s="1"/>
  <c r="W20"/>
  <c r="V20" s="1"/>
  <c r="AU20"/>
  <c r="AT20" s="1"/>
  <c r="AX18"/>
  <c r="AW18" s="1"/>
  <c r="AU16"/>
  <c r="AT16" s="1"/>
  <c r="AL10"/>
  <c r="AK10" s="1"/>
  <c r="T14"/>
  <c r="S14" s="1"/>
  <c r="AR14"/>
  <c r="AQ14" s="1"/>
  <c r="T22"/>
  <c r="S22" s="1"/>
  <c r="AR22"/>
  <c r="AQ22" s="1"/>
  <c r="T18"/>
  <c r="S18" s="1"/>
  <c r="AR18"/>
  <c r="AQ18" s="1"/>
  <c r="AF14"/>
  <c r="AE14" s="1"/>
  <c r="N6"/>
  <c r="N128" s="1"/>
  <c r="AC28" i="17"/>
  <c r="AB28" s="1"/>
  <c r="AC19"/>
  <c r="AB19" s="1"/>
  <c r="T19"/>
  <c r="S19" s="1"/>
  <c r="W19"/>
  <c r="V19" s="1"/>
  <c r="AO21"/>
  <c r="AN21" s="1"/>
  <c r="AL12" i="14"/>
  <c r="AK12" s="1"/>
  <c r="Z8"/>
  <c r="Y8" s="1"/>
  <c r="AX8"/>
  <c r="AW8" s="1"/>
  <c r="AC12"/>
  <c r="AB12" s="1"/>
  <c r="AC8"/>
  <c r="AB8" s="1"/>
  <c r="AU31"/>
  <c r="AT31" s="1"/>
  <c r="AO27"/>
  <c r="AN27" s="1"/>
  <c r="Q27"/>
  <c r="P27" s="1"/>
  <c r="AF27"/>
  <c r="AE27" s="1"/>
  <c r="AO19"/>
  <c r="AN19" s="1"/>
  <c r="Q19"/>
  <c r="P19" s="1"/>
  <c r="AF19"/>
  <c r="AE19" s="1"/>
  <c r="AO11"/>
  <c r="AN11" s="1"/>
  <c r="Q11"/>
  <c r="P11" s="1"/>
  <c r="AF11"/>
  <c r="AE11" s="1"/>
  <c r="T29"/>
  <c r="S29" s="1"/>
  <c r="AI15"/>
  <c r="AH15" s="1"/>
  <c r="AX15"/>
  <c r="AW15" s="1"/>
  <c r="Z15"/>
  <c r="Y15" s="1"/>
  <c r="AO34"/>
  <c r="AN34" s="1"/>
  <c r="AF12"/>
  <c r="AE12" s="1"/>
  <c r="AR8"/>
  <c r="AQ8" s="1"/>
  <c r="AX34"/>
  <c r="AW34" s="1"/>
  <c r="W12"/>
  <c r="V12" s="1"/>
  <c r="AU12"/>
  <c r="AT12" s="1"/>
  <c r="W8"/>
  <c r="V8" s="1"/>
  <c r="AU8"/>
  <c r="AT8" s="1"/>
  <c r="AU27"/>
  <c r="AT27" s="1"/>
  <c r="W27"/>
  <c r="V27" s="1"/>
  <c r="AL27"/>
  <c r="AK27" s="1"/>
  <c r="AU19"/>
  <c r="AT19" s="1"/>
  <c r="W19"/>
  <c r="V19" s="1"/>
  <c r="AL19"/>
  <c r="AK19" s="1"/>
  <c r="AU11"/>
  <c r="AT11" s="1"/>
  <c r="W11"/>
  <c r="V11" s="1"/>
  <c r="AL11"/>
  <c r="AK11" s="1"/>
  <c r="AR29"/>
  <c r="AQ29" s="1"/>
  <c r="AO15"/>
  <c r="AN15" s="1"/>
  <c r="Q15"/>
  <c r="P15" s="1"/>
  <c r="AF15"/>
  <c r="AE15" s="1"/>
  <c r="AC34"/>
  <c r="AB34" s="1"/>
  <c r="Z12"/>
  <c r="Y12" s="1"/>
  <c r="AX12"/>
  <c r="AW12" s="1"/>
  <c r="AL8"/>
  <c r="AK8" s="1"/>
  <c r="AL34"/>
  <c r="AK34" s="1"/>
  <c r="Q12"/>
  <c r="P12" s="1"/>
  <c r="AO12"/>
  <c r="AN12" s="1"/>
  <c r="Q8"/>
  <c r="P8" s="1"/>
  <c r="AO8"/>
  <c r="AN8" s="1"/>
  <c r="AL31"/>
  <c r="AK31" s="1"/>
  <c r="AC27"/>
  <c r="AB27" s="1"/>
  <c r="AR27"/>
  <c r="AQ27" s="1"/>
  <c r="AC19"/>
  <c r="AB19" s="1"/>
  <c r="AR19"/>
  <c r="AQ19" s="1"/>
  <c r="AC11"/>
  <c r="AB11" s="1"/>
  <c r="AR11"/>
  <c r="AQ11" s="1"/>
  <c r="AU15"/>
  <c r="AT15" s="1"/>
  <c r="W15"/>
  <c r="V15" s="1"/>
  <c r="AI28" i="17"/>
  <c r="AH28" s="1"/>
  <c r="AX28"/>
  <c r="AW28" s="1"/>
  <c r="T28"/>
  <c r="S28" s="1"/>
  <c r="M34"/>
  <c r="AI26"/>
  <c r="AH26" s="1"/>
  <c r="W28"/>
  <c r="V28" s="1"/>
  <c r="AU29"/>
  <c r="AT29" s="1"/>
  <c r="AF21"/>
  <c r="AE21" s="1"/>
  <c r="W21"/>
  <c r="V21" s="1"/>
  <c r="AX19"/>
  <c r="AW19" s="1"/>
  <c r="Z21"/>
  <c r="Y21" s="1"/>
  <c r="Q21"/>
  <c r="P21" s="1"/>
  <c r="AL19"/>
  <c r="AK19" s="1"/>
  <c r="AI34" i="14"/>
  <c r="AH34" s="1"/>
  <c r="T34"/>
  <c r="S34" s="1"/>
  <c r="AR34"/>
  <c r="AQ34" s="1"/>
  <c r="W34"/>
  <c r="V34" s="1"/>
  <c r="AU34"/>
  <c r="AT34" s="1"/>
  <c r="AF34"/>
  <c r="AE34" s="1"/>
  <c r="Q16"/>
  <c r="P16" s="1"/>
  <c r="AO16"/>
  <c r="AN16" s="1"/>
  <c r="I3"/>
  <c r="AC31"/>
  <c r="AB31" s="1"/>
  <c r="AR31"/>
  <c r="AQ31" s="1"/>
  <c r="T31"/>
  <c r="S31" s="1"/>
  <c r="AI31"/>
  <c r="AH31" s="1"/>
  <c r="AX31"/>
  <c r="AW31" s="1"/>
  <c r="Z31"/>
  <c r="Y31" s="1"/>
  <c r="AO31"/>
  <c r="AN31" s="1"/>
  <c r="Q31"/>
  <c r="P31" s="1"/>
  <c r="AX29"/>
  <c r="AW29" s="1"/>
  <c r="Z29"/>
  <c r="Y29" s="1"/>
  <c r="AI29"/>
  <c r="AH29" s="1"/>
  <c r="AF29"/>
  <c r="AE29" s="1"/>
  <c r="AO29"/>
  <c r="AN29" s="1"/>
  <c r="Q29"/>
  <c r="P29" s="1"/>
  <c r="AL29"/>
  <c r="AK29" s="1"/>
  <c r="AU29"/>
  <c r="AT29" s="1"/>
  <c r="AT4"/>
  <c r="AQ4"/>
  <c r="AX21" i="17"/>
  <c r="AW21" s="1"/>
  <c r="AO19"/>
  <c r="AN19" s="1"/>
  <c r="AI21"/>
  <c r="AH21" s="1"/>
  <c r="AF19"/>
  <c r="AE19" s="1"/>
  <c r="Z26"/>
  <c r="Y26" s="1"/>
  <c r="AU33"/>
  <c r="AT33" s="1"/>
  <c r="AO33"/>
  <c r="AN33" s="1"/>
  <c r="AI33"/>
  <c r="AH33" s="1"/>
  <c r="AC33"/>
  <c r="AB33" s="1"/>
  <c r="W33"/>
  <c r="V33" s="1"/>
  <c r="Q33"/>
  <c r="P33" s="1"/>
  <c r="AX33"/>
  <c r="AW33" s="1"/>
  <c r="AR33"/>
  <c r="AQ33" s="1"/>
  <c r="AL33"/>
  <c r="AK33" s="1"/>
  <c r="AF33"/>
  <c r="AE33" s="1"/>
  <c r="Z33"/>
  <c r="Y33" s="1"/>
  <c r="T33"/>
  <c r="S33" s="1"/>
  <c r="AL21"/>
  <c r="AK21" s="1"/>
  <c r="AI19"/>
  <c r="AH19" s="1"/>
  <c r="AR29"/>
  <c r="AQ29" s="1"/>
  <c r="AR28"/>
  <c r="AQ28" s="1"/>
  <c r="AU28"/>
  <c r="AT28" s="1"/>
  <c r="AU7"/>
  <c r="AT7" s="1"/>
  <c r="AR7"/>
  <c r="AQ7" s="1"/>
  <c r="T13"/>
  <c r="S13" s="1"/>
  <c r="AU13"/>
  <c r="AT13" s="1"/>
  <c r="AR13"/>
  <c r="AQ13" s="1"/>
  <c r="AU3"/>
  <c r="AR3"/>
  <c r="AU5"/>
  <c r="AT5" s="1"/>
  <c r="AR5"/>
  <c r="AQ5" s="1"/>
  <c r="AU6"/>
  <c r="AT6" s="1"/>
  <c r="AR6"/>
  <c r="AQ6" s="1"/>
  <c r="AO10"/>
  <c r="AN10" s="1"/>
  <c r="AU10"/>
  <c r="AT10" s="1"/>
  <c r="AR10"/>
  <c r="AQ10" s="1"/>
  <c r="AF12"/>
  <c r="AE12" s="1"/>
  <c r="AU12"/>
  <c r="AT12" s="1"/>
  <c r="AR12"/>
  <c r="AQ12" s="1"/>
  <c r="AI14"/>
  <c r="AH14" s="1"/>
  <c r="AU14"/>
  <c r="AT14" s="1"/>
  <c r="AR14"/>
  <c r="AQ14" s="1"/>
  <c r="Q23"/>
  <c r="P23" s="1"/>
  <c r="AU23"/>
  <c r="AT23" s="1"/>
  <c r="AR23"/>
  <c r="AQ23" s="1"/>
  <c r="AC26"/>
  <c r="AB26" s="1"/>
  <c r="AU26"/>
  <c r="AT26" s="1"/>
  <c r="AR26"/>
  <c r="AQ26" s="1"/>
  <c r="Q19"/>
  <c r="P19" s="1"/>
  <c r="AU19"/>
  <c r="AT19" s="1"/>
  <c r="AR19"/>
  <c r="AQ19" s="1"/>
  <c r="T21"/>
  <c r="S21" s="1"/>
  <c r="AU21"/>
  <c r="AT21" s="1"/>
  <c r="AR21"/>
  <c r="AQ21" s="1"/>
  <c r="Q11"/>
  <c r="P11" s="1"/>
  <c r="AU11"/>
  <c r="AT11" s="1"/>
  <c r="AR11"/>
  <c r="AQ11" s="1"/>
  <c r="Q15"/>
  <c r="P15" s="1"/>
  <c r="AU15"/>
  <c r="AT15" s="1"/>
  <c r="AR15"/>
  <c r="AQ15" s="1"/>
  <c r="Q18"/>
  <c r="P18" s="1"/>
  <c r="AU18"/>
  <c r="AT18" s="1"/>
  <c r="AR18"/>
  <c r="AQ18" s="1"/>
  <c r="T20"/>
  <c r="S20" s="1"/>
  <c r="AU20"/>
  <c r="AT20" s="1"/>
  <c r="AR20"/>
  <c r="AQ20" s="1"/>
  <c r="Q22"/>
  <c r="P22" s="1"/>
  <c r="AU22"/>
  <c r="AT22" s="1"/>
  <c r="AR22"/>
  <c r="AQ22" s="1"/>
  <c r="AO31"/>
  <c r="AN31" s="1"/>
  <c r="T31"/>
  <c r="S31" s="1"/>
  <c r="AR31"/>
  <c r="AQ31" s="1"/>
  <c r="AX31"/>
  <c r="AW31" s="1"/>
  <c r="AI31"/>
  <c r="AH31" s="1"/>
  <c r="AL31"/>
  <c r="AK31" s="1"/>
  <c r="AU31"/>
  <c r="AT31" s="1"/>
  <c r="Z31"/>
  <c r="Y31" s="1"/>
  <c r="AC31"/>
  <c r="AB31" s="1"/>
  <c r="AF31"/>
  <c r="AE31" s="1"/>
  <c r="AI15"/>
  <c r="AH15" s="1"/>
  <c r="AL13"/>
  <c r="AK13" s="1"/>
  <c r="T15"/>
  <c r="S15" s="1"/>
  <c r="AX15"/>
  <c r="AW15" s="1"/>
  <c r="AI13"/>
  <c r="AH13" s="1"/>
  <c r="AC15"/>
  <c r="AB15" s="1"/>
  <c r="AF13"/>
  <c r="AE13" s="1"/>
  <c r="W11"/>
  <c r="V11" s="1"/>
  <c r="AC13"/>
  <c r="AB13" s="1"/>
  <c r="AF26"/>
  <c r="AE26" s="1"/>
  <c r="AO26"/>
  <c r="AN26" s="1"/>
  <c r="Q26"/>
  <c r="P26" s="1"/>
  <c r="AL26"/>
  <c r="AK26" s="1"/>
  <c r="W26"/>
  <c r="V26" s="1"/>
  <c r="T26"/>
  <c r="S26" s="1"/>
  <c r="AO23"/>
  <c r="AN23" s="1"/>
  <c r="T23"/>
  <c r="S23" s="1"/>
  <c r="Z23"/>
  <c r="Y23" s="1"/>
  <c r="AI23"/>
  <c r="AH23" s="1"/>
  <c r="AL23"/>
  <c r="AK23" s="1"/>
  <c r="AX23"/>
  <c r="AW23" s="1"/>
  <c r="AC23"/>
  <c r="AB23" s="1"/>
  <c r="AF23"/>
  <c r="AE23" s="1"/>
  <c r="T22"/>
  <c r="S22" s="1"/>
  <c r="AC22"/>
  <c r="AB22" s="1"/>
  <c r="AL22"/>
  <c r="AK22" s="1"/>
  <c r="W22"/>
  <c r="V22" s="1"/>
  <c r="AX22"/>
  <c r="AW22" s="1"/>
  <c r="Z22"/>
  <c r="Y22" s="1"/>
  <c r="AI22"/>
  <c r="AH22" s="1"/>
  <c r="AF22"/>
  <c r="AE22" s="1"/>
  <c r="AO22"/>
  <c r="AN22" s="1"/>
  <c r="AI20"/>
  <c r="AH20" s="1"/>
  <c r="Z20"/>
  <c r="Y20" s="1"/>
  <c r="AO20"/>
  <c r="AN20" s="1"/>
  <c r="Q20"/>
  <c r="P20" s="1"/>
  <c r="AF20"/>
  <c r="AE20" s="1"/>
  <c r="W20"/>
  <c r="V20" s="1"/>
  <c r="AL20"/>
  <c r="AK20" s="1"/>
  <c r="AX20"/>
  <c r="AW20" s="1"/>
  <c r="AC20"/>
  <c r="AB20" s="1"/>
  <c r="T18"/>
  <c r="S18" s="1"/>
  <c r="AC18"/>
  <c r="AB18" s="1"/>
  <c r="AL18"/>
  <c r="AK18" s="1"/>
  <c r="W18"/>
  <c r="V18" s="1"/>
  <c r="AX18"/>
  <c r="AW18" s="1"/>
  <c r="Z18"/>
  <c r="Y18" s="1"/>
  <c r="AI18"/>
  <c r="AH18" s="1"/>
  <c r="AF18"/>
  <c r="AE18" s="1"/>
  <c r="AO18"/>
  <c r="AN18" s="1"/>
  <c r="W15"/>
  <c r="V15" s="1"/>
  <c r="AL15"/>
  <c r="AK15" s="1"/>
  <c r="AL14"/>
  <c r="AK14" s="1"/>
  <c r="T14"/>
  <c r="S14" s="1"/>
  <c r="Q14"/>
  <c r="P14" s="1"/>
  <c r="Z14"/>
  <c r="Y14" s="1"/>
  <c r="AX14"/>
  <c r="AW14" s="1"/>
  <c r="AF14"/>
  <c r="AE14" s="1"/>
  <c r="AC14"/>
  <c r="AB14" s="1"/>
  <c r="AO14"/>
  <c r="AN14" s="1"/>
  <c r="W14"/>
  <c r="V14" s="1"/>
  <c r="AO12"/>
  <c r="AN12" s="1"/>
  <c r="AX12"/>
  <c r="AW12" s="1"/>
  <c r="T12"/>
  <c r="S12" s="1"/>
  <c r="Q12"/>
  <c r="P12" s="1"/>
  <c r="Z12"/>
  <c r="Y12" s="1"/>
  <c r="AI12"/>
  <c r="AH12" s="1"/>
  <c r="AL12"/>
  <c r="AK12" s="1"/>
  <c r="AC12"/>
  <c r="AB12" s="1"/>
  <c r="W12"/>
  <c r="V12" s="1"/>
  <c r="AO11"/>
  <c r="AN11" s="1"/>
  <c r="Z11"/>
  <c r="Y11" s="1"/>
  <c r="AX11"/>
  <c r="AW11" s="1"/>
  <c r="AI11"/>
  <c r="AH11" s="1"/>
  <c r="T11"/>
  <c r="S11" s="1"/>
  <c r="AF11"/>
  <c r="AE11" s="1"/>
  <c r="AC11"/>
  <c r="AB11" s="1"/>
  <c r="AL11"/>
  <c r="AK11" s="1"/>
  <c r="AL10"/>
  <c r="AK10" s="1"/>
  <c r="AF10"/>
  <c r="AE10" s="1"/>
  <c r="Q10"/>
  <c r="P10" s="1"/>
  <c r="Z10"/>
  <c r="Y10" s="1"/>
  <c r="W10"/>
  <c r="V10" s="1"/>
  <c r="AC10"/>
  <c r="AB10" s="1"/>
  <c r="T10"/>
  <c r="S10" s="1"/>
  <c r="AI10"/>
  <c r="AH10" s="1"/>
  <c r="AX10"/>
  <c r="AW10" s="1"/>
  <c r="AO7"/>
  <c r="AN7" s="1"/>
  <c r="AI7"/>
  <c r="AH7" s="1"/>
  <c r="AC7"/>
  <c r="AB7" s="1"/>
  <c r="W7"/>
  <c r="V7" s="1"/>
  <c r="Q7"/>
  <c r="P7" s="1"/>
  <c r="AX7"/>
  <c r="AW7" s="1"/>
  <c r="AL7"/>
  <c r="AK7" s="1"/>
  <c r="AF7"/>
  <c r="AE7" s="1"/>
  <c r="Z7"/>
  <c r="Y7" s="1"/>
  <c r="T7"/>
  <c r="S7" s="1"/>
  <c r="AO3"/>
  <c r="AI3"/>
  <c r="AC3"/>
  <c r="W3"/>
  <c r="Q3"/>
  <c r="AX3"/>
  <c r="AL3"/>
  <c r="AF3"/>
  <c r="Z3"/>
  <c r="T3"/>
  <c r="I4"/>
  <c r="N43"/>
  <c r="N4"/>
  <c r="N44" s="1"/>
  <c r="AX6"/>
  <c r="AW6" s="1"/>
  <c r="AL6"/>
  <c r="AK6" s="1"/>
  <c r="AF6"/>
  <c r="AE6" s="1"/>
  <c r="Z6"/>
  <c r="Y6" s="1"/>
  <c r="T6"/>
  <c r="S6" s="1"/>
  <c r="AO6"/>
  <c r="AN6" s="1"/>
  <c r="AI6"/>
  <c r="AH6" s="1"/>
  <c r="AC6"/>
  <c r="AB6" s="1"/>
  <c r="W6"/>
  <c r="V6" s="1"/>
  <c r="Q6"/>
  <c r="P6" s="1"/>
  <c r="AX5"/>
  <c r="AW5" s="1"/>
  <c r="AL5"/>
  <c r="AK5" s="1"/>
  <c r="AF5"/>
  <c r="AE5" s="1"/>
  <c r="Z5"/>
  <c r="Y5" s="1"/>
  <c r="T5"/>
  <c r="S5" s="1"/>
  <c r="AO5"/>
  <c r="AN5" s="1"/>
  <c r="AI5"/>
  <c r="AH5" s="1"/>
  <c r="AC5"/>
  <c r="AB5" s="1"/>
  <c r="W5"/>
  <c r="V5" s="1"/>
  <c r="Q5"/>
  <c r="P5" s="1"/>
  <c r="M8" i="16"/>
  <c r="M9" s="1"/>
  <c r="L7"/>
  <c r="L6"/>
  <c r="F7"/>
  <c r="E7" s="1"/>
  <c r="G5" i="10"/>
  <c r="G6" s="1"/>
  <c r="F6" s="1"/>
  <c r="N118" i="14" l="1"/>
  <c r="Z14" i="16"/>
  <c r="AA15"/>
  <c r="S13"/>
  <c r="T14"/>
  <c r="Q3" i="14"/>
  <c r="O120" s="1"/>
  <c r="AX3"/>
  <c r="AV120" s="1"/>
  <c r="AL3"/>
  <c r="AJ120" s="1"/>
  <c r="AU3"/>
  <c r="AS120" s="1"/>
  <c r="W3"/>
  <c r="U120" s="1"/>
  <c r="AI3"/>
  <c r="AG120" s="1"/>
  <c r="AR3"/>
  <c r="AP120" s="1"/>
  <c r="T3"/>
  <c r="R120" s="1"/>
  <c r="AC3"/>
  <c r="AA120" s="1"/>
  <c r="Z3"/>
  <c r="X120" s="1"/>
  <c r="AF3"/>
  <c r="AD120" s="1"/>
  <c r="AO3"/>
  <c r="AM120" s="1"/>
  <c r="AU4" i="17"/>
  <c r="AT4" s="1"/>
  <c r="AR4"/>
  <c r="AQ4" s="1"/>
  <c r="AT3"/>
  <c r="AQ3"/>
  <c r="N34"/>
  <c r="AO4"/>
  <c r="AM36" s="1"/>
  <c r="AI4"/>
  <c r="AG36" s="1"/>
  <c r="AC4"/>
  <c r="AA36" s="1"/>
  <c r="W4"/>
  <c r="U36" s="1"/>
  <c r="Q4"/>
  <c r="O36" s="1"/>
  <c r="AX4"/>
  <c r="AV36" s="1"/>
  <c r="AL4"/>
  <c r="AJ36" s="1"/>
  <c r="AF4"/>
  <c r="AD36" s="1"/>
  <c r="Z4"/>
  <c r="X36" s="1"/>
  <c r="T4"/>
  <c r="R36" s="1"/>
  <c r="AK3"/>
  <c r="V3"/>
  <c r="AE3"/>
  <c r="P3"/>
  <c r="AN3"/>
  <c r="Y3"/>
  <c r="AW3"/>
  <c r="AH3"/>
  <c r="S3"/>
  <c r="AB3"/>
  <c r="L8" i="16"/>
  <c r="M10"/>
  <c r="L9"/>
  <c r="F8"/>
  <c r="F9" s="1"/>
  <c r="F5" i="10"/>
  <c r="G7"/>
  <c r="G8" s="1"/>
  <c r="Z15" i="16" l="1"/>
  <c r="AA16"/>
  <c r="Z16" s="1"/>
  <c r="T15"/>
  <c r="S14"/>
  <c r="AM123" i="14"/>
  <c r="AS123"/>
  <c r="AV123"/>
  <c r="AP123"/>
  <c r="F8" i="10"/>
  <c r="G9"/>
  <c r="AP36" i="17"/>
  <c r="AS35"/>
  <c r="AP35"/>
  <c r="AS36"/>
  <c r="AB3" i="14"/>
  <c r="AA119" s="1"/>
  <c r="V3"/>
  <c r="U119" s="1"/>
  <c r="P3"/>
  <c r="O119" s="1"/>
  <c r="Y3"/>
  <c r="X119" s="1"/>
  <c r="AH3"/>
  <c r="AG119" s="1"/>
  <c r="AW3"/>
  <c r="AV119" s="1"/>
  <c r="AE3"/>
  <c r="AD119" s="1"/>
  <c r="AQ3"/>
  <c r="AP119" s="1"/>
  <c r="AK3"/>
  <c r="AJ119" s="1"/>
  <c r="AN3"/>
  <c r="AM119" s="1"/>
  <c r="S3"/>
  <c r="R119" s="1"/>
  <c r="AT3"/>
  <c r="AS119" s="1"/>
  <c r="AV39" i="17"/>
  <c r="AW4"/>
  <c r="AV38" s="1"/>
  <c r="S4"/>
  <c r="R38" s="1"/>
  <c r="R39"/>
  <c r="AB4"/>
  <c r="AA38" s="1"/>
  <c r="AA39"/>
  <c r="AJ39"/>
  <c r="AK4"/>
  <c r="AJ38" s="1"/>
  <c r="U39"/>
  <c r="V4"/>
  <c r="U38" s="1"/>
  <c r="AS39"/>
  <c r="AS38"/>
  <c r="X39"/>
  <c r="Y4"/>
  <c r="X38" s="1"/>
  <c r="AG39"/>
  <c r="AH4"/>
  <c r="AG38" s="1"/>
  <c r="AP38"/>
  <c r="AP39"/>
  <c r="AE4"/>
  <c r="AD38" s="1"/>
  <c r="AD39"/>
  <c r="P4"/>
  <c r="O38" s="1"/>
  <c r="O39"/>
  <c r="AN4"/>
  <c r="AM38" s="1"/>
  <c r="AM39"/>
  <c r="AJ123" i="14"/>
  <c r="AG123"/>
  <c r="AD123"/>
  <c r="U123"/>
  <c r="X123"/>
  <c r="L10" i="16"/>
  <c r="M11"/>
  <c r="E8"/>
  <c r="F10"/>
  <c r="E9"/>
  <c r="F7" i="10"/>
  <c r="F9" l="1"/>
  <c r="G10"/>
  <c r="S15" i="16"/>
  <c r="T16"/>
  <c r="AG122" i="14"/>
  <c r="AS122"/>
  <c r="AM122"/>
  <c r="AP122"/>
  <c r="AV122"/>
  <c r="AD122"/>
  <c r="AJ122"/>
  <c r="AV35" i="17"/>
  <c r="R35"/>
  <c r="AA35"/>
  <c r="AM35"/>
  <c r="U35"/>
  <c r="AG35"/>
  <c r="AD35"/>
  <c r="O35"/>
  <c r="AJ35"/>
  <c r="X35"/>
  <c r="AA122" i="14"/>
  <c r="AA123"/>
  <c r="X122"/>
  <c r="U122"/>
  <c r="R123"/>
  <c r="O123"/>
  <c r="M12" i="16"/>
  <c r="L11"/>
  <c r="E10"/>
  <c r="F11"/>
  <c r="S16" l="1"/>
  <c r="T17"/>
  <c r="F10" i="10"/>
  <c r="G11"/>
  <c r="R122" i="14"/>
  <c r="O122"/>
  <c r="M13" i="16"/>
  <c r="L12"/>
  <c r="E11"/>
  <c r="F12"/>
  <c r="S17" l="1"/>
  <c r="T18"/>
  <c r="S18" s="1"/>
  <c r="F11" i="10"/>
  <c r="G12"/>
  <c r="M14" i="16"/>
  <c r="L13"/>
  <c r="E12"/>
  <c r="F13"/>
  <c r="G13" i="10" l="1"/>
  <c r="F12"/>
  <c r="M15" i="16"/>
  <c r="L14"/>
  <c r="E13"/>
  <c r="F14"/>
  <c r="F13" i="10" l="1"/>
  <c r="G14"/>
  <c r="M16" i="16"/>
  <c r="L15"/>
  <c r="E14"/>
  <c r="F15"/>
  <c r="G15" i="10" l="1"/>
  <c r="F14"/>
  <c r="L16" i="16"/>
  <c r="M17"/>
  <c r="E15"/>
  <c r="F16"/>
  <c r="F15" i="10" l="1"/>
  <c r="G16"/>
  <c r="E16" i="16"/>
  <c r="F17"/>
  <c r="L17"/>
  <c r="M18"/>
  <c r="F16" i="10" l="1"/>
  <c r="G17"/>
  <c r="E17" i="16"/>
  <c r="F18"/>
  <c r="L18"/>
  <c r="M19"/>
  <c r="F17" i="10" l="1"/>
  <c r="G18"/>
  <c r="E18" i="16"/>
  <c r="F19"/>
  <c r="L19"/>
  <c r="M20"/>
  <c r="F18" i="10" l="1"/>
  <c r="G19"/>
  <c r="E19" i="16"/>
  <c r="F20"/>
  <c r="L20"/>
  <c r="M21"/>
  <c r="E20" l="1"/>
  <c r="F21"/>
  <c r="F19" i="10"/>
  <c r="G20"/>
  <c r="L21" i="16"/>
  <c r="M22"/>
  <c r="E21" l="1"/>
  <c r="F22"/>
  <c r="F20" i="10"/>
  <c r="G21"/>
  <c r="L22" i="16"/>
  <c r="M23"/>
  <c r="E22" l="1"/>
  <c r="F23"/>
  <c r="E23" s="1"/>
  <c r="F21" i="10"/>
  <c r="G22"/>
  <c r="L23" i="16"/>
  <c r="M24"/>
  <c r="F22" i="10" l="1"/>
  <c r="G23"/>
  <c r="L24" i="16"/>
  <c r="M25"/>
  <c r="F23" i="10" l="1"/>
  <c r="G24"/>
  <c r="L25" i="16"/>
  <c r="M26"/>
  <c r="L26" l="1"/>
  <c r="M27"/>
  <c r="F24" i="10"/>
  <c r="G25"/>
  <c r="L27" i="16" l="1"/>
  <c r="M28"/>
  <c r="F25" i="10"/>
  <c r="G26"/>
  <c r="L28" i="16" l="1"/>
  <c r="M29"/>
  <c r="G27" i="10"/>
  <c r="F26"/>
  <c r="L29" i="16" l="1"/>
  <c r="M30"/>
  <c r="F27" i="10"/>
  <c r="G28"/>
  <c r="L30" i="16" l="1"/>
  <c r="M31"/>
  <c r="F28" i="10"/>
  <c r="G29"/>
  <c r="L31" i="16" l="1"/>
  <c r="M32"/>
  <c r="G30" i="10"/>
  <c r="F29"/>
  <c r="L32" i="16" l="1"/>
  <c r="M33"/>
  <c r="F30" i="10"/>
  <c r="G31"/>
  <c r="L33" i="16" l="1"/>
  <c r="M34"/>
  <c r="F31" i="10"/>
  <c r="G32"/>
  <c r="L34" i="16" l="1"/>
  <c r="M35"/>
  <c r="F32" i="10"/>
  <c r="G33"/>
  <c r="L35" i="16" l="1"/>
  <c r="M36"/>
  <c r="L36" s="1"/>
  <c r="F33" i="10"/>
  <c r="G34"/>
  <c r="F34" l="1"/>
  <c r="G35"/>
  <c r="F35" l="1"/>
  <c r="G36"/>
  <c r="F36" l="1"/>
  <c r="G37"/>
  <c r="F37" l="1"/>
  <c r="G38"/>
  <c r="F38" l="1"/>
  <c r="G39"/>
  <c r="G40" l="1"/>
  <c r="F39"/>
  <c r="F40" l="1"/>
  <c r="G41"/>
  <c r="F41" l="1"/>
  <c r="G42"/>
  <c r="F42" l="1"/>
  <c r="G43"/>
  <c r="F43" l="1"/>
  <c r="G44"/>
  <c r="F44" l="1"/>
  <c r="G45"/>
  <c r="G46" l="1"/>
  <c r="F45"/>
  <c r="F46" l="1"/>
  <c r="G47"/>
  <c r="F47" l="1"/>
  <c r="G48"/>
  <c r="F48" l="1"/>
  <c r="G49"/>
  <c r="F49" l="1"/>
  <c r="G50"/>
  <c r="F50" l="1"/>
  <c r="G51"/>
  <c r="F51" l="1"/>
  <c r="G52"/>
  <c r="F52" l="1"/>
  <c r="G53"/>
  <c r="F53" l="1"/>
  <c r="G54"/>
  <c r="F54" l="1"/>
  <c r="G55"/>
  <c r="F55" l="1"/>
  <c r="G56"/>
  <c r="F56" l="1"/>
  <c r="G57"/>
  <c r="G58" l="1"/>
  <c r="F57"/>
  <c r="F58" l="1"/>
  <c r="G59"/>
  <c r="F59" l="1"/>
  <c r="G60"/>
  <c r="F60" l="1"/>
  <c r="G61"/>
  <c r="F61" l="1"/>
  <c r="G62"/>
  <c r="F62" l="1"/>
  <c r="G63"/>
  <c r="F63" l="1"/>
  <c r="G64"/>
  <c r="F64" l="1"/>
  <c r="G65"/>
  <c r="F65" l="1"/>
  <c r="G66"/>
  <c r="F66" l="1"/>
  <c r="G67"/>
  <c r="F67" l="1"/>
  <c r="G68"/>
  <c r="F68" l="1"/>
  <c r="G69"/>
  <c r="F69" l="1"/>
  <c r="G70"/>
  <c r="F70" l="1"/>
  <c r="G71"/>
  <c r="G72" l="1"/>
  <c r="F71"/>
  <c r="F72" l="1"/>
  <c r="G73"/>
  <c r="F73" l="1"/>
  <c r="G74"/>
  <c r="F74" l="1"/>
  <c r="G75"/>
  <c r="F75" l="1"/>
  <c r="G76"/>
  <c r="F76" l="1"/>
  <c r="G77"/>
  <c r="F77" l="1"/>
  <c r="G78"/>
  <c r="F78" l="1"/>
  <c r="G79"/>
  <c r="F79" l="1"/>
  <c r="G80"/>
  <c r="F80" l="1"/>
  <c r="G81"/>
  <c r="F81" l="1"/>
  <c r="G82"/>
  <c r="F82" l="1"/>
  <c r="G83"/>
  <c r="F83" l="1"/>
  <c r="G84"/>
  <c r="F84" l="1"/>
  <c r="G85"/>
  <c r="F85" l="1"/>
  <c r="G86"/>
  <c r="F86" l="1"/>
  <c r="G87"/>
  <c r="F87" l="1"/>
  <c r="G88"/>
  <c r="F88" l="1"/>
  <c r="G89"/>
  <c r="F89" l="1"/>
  <c r="G90"/>
  <c r="F90" l="1"/>
  <c r="G91"/>
  <c r="F91" l="1"/>
  <c r="G92"/>
  <c r="F92" l="1"/>
  <c r="G93"/>
  <c r="F93" l="1"/>
  <c r="G94"/>
  <c r="F94" l="1"/>
  <c r="G95"/>
  <c r="F95" l="1"/>
  <c r="G96"/>
  <c r="F96" l="1"/>
  <c r="G97"/>
  <c r="F97" l="1"/>
  <c r="G98"/>
  <c r="G99" l="1"/>
  <c r="F98"/>
  <c r="F99" l="1"/>
  <c r="G100"/>
  <c r="F100" l="1"/>
  <c r="G101"/>
  <c r="F101" l="1"/>
  <c r="G102"/>
  <c r="F102" l="1"/>
  <c r="G103"/>
  <c r="F103" l="1"/>
  <c r="G104"/>
  <c r="F104" l="1"/>
  <c r="G105"/>
  <c r="F105" l="1"/>
  <c r="G106"/>
  <c r="G107" l="1"/>
  <c r="F106"/>
  <c r="F107" l="1"/>
  <c r="G108"/>
  <c r="F108" l="1"/>
  <c r="G109"/>
  <c r="F109" l="1"/>
  <c r="G110"/>
  <c r="F110" l="1"/>
  <c r="G111"/>
  <c r="F111" l="1"/>
  <c r="G112"/>
  <c r="F112" l="1"/>
  <c r="G113"/>
  <c r="F113" l="1"/>
  <c r="G114"/>
  <c r="G115" l="1"/>
  <c r="F114"/>
  <c r="F115" l="1"/>
  <c r="G116"/>
  <c r="F116" l="1"/>
  <c r="G117"/>
  <c r="G118" l="1"/>
  <c r="F117"/>
  <c r="G119" l="1"/>
  <c r="F118"/>
  <c r="G120" l="1"/>
  <c r="F119"/>
  <c r="G121" l="1"/>
  <c r="F120"/>
  <c r="F121" l="1"/>
  <c r="G122"/>
  <c r="G123" l="1"/>
  <c r="F122"/>
  <c r="G124" l="1"/>
  <c r="F123"/>
  <c r="G125" l="1"/>
  <c r="F124"/>
  <c r="F125" l="1"/>
  <c r="G126"/>
  <c r="F126" l="1"/>
  <c r="G127"/>
  <c r="F127" l="1"/>
  <c r="G128"/>
  <c r="F128" l="1"/>
  <c r="G129"/>
  <c r="F129" l="1"/>
  <c r="G130"/>
  <c r="G131" l="1"/>
  <c r="F130"/>
  <c r="G132" l="1"/>
  <c r="F131"/>
  <c r="F132" l="1"/>
  <c r="G133"/>
  <c r="F133" l="1"/>
  <c r="G134"/>
  <c r="F134" l="1"/>
  <c r="G135"/>
  <c r="F135" l="1"/>
  <c r="G136"/>
  <c r="F136" l="1"/>
  <c r="G137"/>
  <c r="F137" l="1"/>
  <c r="G138"/>
  <c r="F138" l="1"/>
  <c r="G139"/>
  <c r="F139" l="1"/>
  <c r="G140"/>
  <c r="F140" l="1"/>
  <c r="G141"/>
  <c r="G142" l="1"/>
  <c r="F141"/>
  <c r="G143" l="1"/>
  <c r="F142"/>
  <c r="F143" l="1"/>
  <c r="G144"/>
  <c r="F144" l="1"/>
  <c r="G145"/>
  <c r="F145" l="1"/>
  <c r="G146"/>
  <c r="F146" l="1"/>
  <c r="G147"/>
  <c r="F147" l="1"/>
  <c r="G148"/>
  <c r="F148" l="1"/>
  <c r="G149"/>
  <c r="F149" l="1"/>
  <c r="G150"/>
  <c r="G151" l="1"/>
  <c r="F150"/>
  <c r="F151" l="1"/>
  <c r="G152"/>
  <c r="F152" l="1"/>
  <c r="G153"/>
  <c r="G154" l="1"/>
  <c r="F153"/>
  <c r="F154" l="1"/>
  <c r="G155"/>
  <c r="G156" l="1"/>
  <c r="F155"/>
  <c r="F156" l="1"/>
  <c r="G157"/>
  <c r="F157" l="1"/>
  <c r="G158"/>
  <c r="F158" l="1"/>
  <c r="G159"/>
  <c r="F159" l="1"/>
  <c r="G160"/>
  <c r="F160" l="1"/>
  <c r="G161"/>
  <c r="F161" l="1"/>
  <c r="G162"/>
  <c r="F162" l="1"/>
  <c r="G163"/>
  <c r="F163" l="1"/>
  <c r="G164"/>
  <c r="F164" l="1"/>
  <c r="G165"/>
  <c r="F165" l="1"/>
  <c r="G166"/>
  <c r="F166" l="1"/>
  <c r="G167"/>
  <c r="F167" l="1"/>
  <c r="G168"/>
  <c r="F168" l="1"/>
  <c r="G169"/>
  <c r="F169" l="1"/>
  <c r="G170"/>
  <c r="F170" l="1"/>
  <c r="G171"/>
  <c r="F171" l="1"/>
  <c r="G172"/>
  <c r="F172" l="1"/>
  <c r="G173"/>
  <c r="F173" l="1"/>
  <c r="G174"/>
  <c r="F174" l="1"/>
  <c r="G175"/>
  <c r="F175" l="1"/>
  <c r="G176"/>
  <c r="F176" l="1"/>
  <c r="G177"/>
  <c r="F177" l="1"/>
  <c r="G178"/>
  <c r="F178" l="1"/>
  <c r="G179"/>
  <c r="F179" l="1"/>
  <c r="G180"/>
  <c r="F180" l="1"/>
  <c r="G181"/>
  <c r="F181" l="1"/>
  <c r="G182"/>
  <c r="F182" l="1"/>
  <c r="G183"/>
  <c r="F183" l="1"/>
  <c r="G184"/>
  <c r="F184" l="1"/>
  <c r="G185"/>
  <c r="F185" l="1"/>
  <c r="G186"/>
  <c r="F186" l="1"/>
  <c r="G187"/>
  <c r="F187" l="1"/>
  <c r="G188"/>
  <c r="F188" l="1"/>
  <c r="G189"/>
  <c r="F189" l="1"/>
  <c r="G190"/>
  <c r="F190" l="1"/>
  <c r="G191"/>
  <c r="F191" l="1"/>
  <c r="G192"/>
  <c r="F192" l="1"/>
  <c r="G193"/>
  <c r="F193" l="1"/>
  <c r="G194"/>
  <c r="F194" l="1"/>
  <c r="G195"/>
  <c r="F195" l="1"/>
  <c r="G196"/>
  <c r="F196" l="1"/>
  <c r="G197"/>
  <c r="F197" l="1"/>
  <c r="G198"/>
  <c r="F198" l="1"/>
  <c r="G199"/>
  <c r="F199" l="1"/>
  <c r="G200"/>
  <c r="F200" l="1"/>
  <c r="G201"/>
  <c r="F201" l="1"/>
  <c r="G202"/>
  <c r="F202" l="1"/>
  <c r="G203"/>
  <c r="F203" l="1"/>
  <c r="G204"/>
  <c r="F204" l="1"/>
  <c r="G205"/>
  <c r="F205" l="1"/>
  <c r="G206"/>
  <c r="F206" l="1"/>
  <c r="G207"/>
  <c r="F207" l="1"/>
  <c r="G208"/>
  <c r="F208" s="1"/>
</calcChain>
</file>

<file path=xl/sharedStrings.xml><?xml version="1.0" encoding="utf-8"?>
<sst xmlns="http://schemas.openxmlformats.org/spreadsheetml/2006/main" count="1687" uniqueCount="415">
  <si>
    <t>DATE</t>
  </si>
  <si>
    <t xml:space="preserve">DESCRIPTION </t>
  </si>
  <si>
    <t>DEBIT</t>
  </si>
  <si>
    <t>CREDIT</t>
  </si>
  <si>
    <t>Dr/Cr</t>
  </si>
  <si>
    <t>BALANCE</t>
  </si>
  <si>
    <t>Date</t>
  </si>
  <si>
    <t>Name</t>
  </si>
  <si>
    <t>Discription</t>
  </si>
  <si>
    <t>Address</t>
  </si>
  <si>
    <t>C Price</t>
  </si>
  <si>
    <t>S Price</t>
  </si>
  <si>
    <t>Total</t>
  </si>
  <si>
    <t>Remaing Price</t>
  </si>
  <si>
    <t>Actule value</t>
  </si>
  <si>
    <t>Mobile number</t>
  </si>
  <si>
    <t>proft</t>
  </si>
  <si>
    <t>net proft</t>
  </si>
  <si>
    <t>percntge</t>
  </si>
  <si>
    <t>raff work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</si>
  <si>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</si>
  <si>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</si>
  <si>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</si>
  <si>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</si>
  <si>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</si>
  <si>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</si>
  <si>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</si>
  <si>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</si>
  <si>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Column10</t>
  </si>
  <si>
    <t>Column11</t>
  </si>
  <si>
    <t>Column12</t>
  </si>
  <si>
    <t>Column13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</si>
  <si>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</si>
  <si>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</si>
  <si>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</si>
  <si>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</si>
  <si>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</si>
  <si>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</si>
  <si>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</si>
  <si>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</si>
  <si>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Cast</t>
  </si>
  <si>
    <t>Other amount</t>
  </si>
  <si>
    <t>Anwar Ali sab</t>
  </si>
  <si>
    <t>Adeel C/O mama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</si>
  <si>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</si>
  <si>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</si>
  <si>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</si>
  <si>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</si>
  <si>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</si>
  <si>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</si>
  <si>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</si>
  <si>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</si>
  <si>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</si>
  <si>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</si>
  <si>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</si>
  <si>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</si>
  <si>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</si>
  <si>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</si>
  <si>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</si>
  <si>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</si>
  <si>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</si>
  <si>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</si>
  <si>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</si>
  <si>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</si>
  <si>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</si>
  <si>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</si>
  <si>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</si>
  <si>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</si>
  <si>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</si>
  <si>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</si>
  <si>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</si>
  <si>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</si>
  <si>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</si>
  <si>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Monthly Qist</t>
  </si>
  <si>
    <t>wali ullah sab</t>
  </si>
  <si>
    <t>Al-khair</t>
  </si>
  <si>
    <t>Totall</t>
  </si>
  <si>
    <t>Wali ullah sab</t>
  </si>
  <si>
    <t>cash to babar</t>
  </si>
  <si>
    <t>Oct proft</t>
  </si>
  <si>
    <t>Nov proft</t>
  </si>
  <si>
    <t>oct proft</t>
  </si>
  <si>
    <t>cash given to sab</t>
  </si>
  <si>
    <t>Column310</t>
  </si>
  <si>
    <t>Column52</t>
  </si>
  <si>
    <t>Investor</t>
  </si>
  <si>
    <t>No</t>
  </si>
  <si>
    <t>Invstor name</t>
  </si>
  <si>
    <t>Self</t>
  </si>
  <si>
    <t>Muhammad noor</t>
  </si>
  <si>
    <t>Totall cash</t>
  </si>
  <si>
    <t>Alkhair</t>
  </si>
  <si>
    <t>Total sale Amount</t>
  </si>
  <si>
    <t>Total cast Amount</t>
  </si>
  <si>
    <t>Total Other Amount</t>
  </si>
  <si>
    <t>Total Remaing Amount</t>
  </si>
  <si>
    <t>Total net proft</t>
  </si>
  <si>
    <t>0340-9426373</t>
  </si>
  <si>
    <t>zulfiqar sab</t>
  </si>
  <si>
    <t>Adcok Pharma</t>
  </si>
  <si>
    <t>Y9 prime huwai</t>
  </si>
  <si>
    <t>Yasir C/O Babar</t>
  </si>
  <si>
    <t>0312-9107991</t>
  </si>
  <si>
    <t>faqeer abad</t>
  </si>
  <si>
    <t>Khani C/O babar</t>
  </si>
  <si>
    <t>0333-9310842</t>
  </si>
  <si>
    <t>charsadda</t>
  </si>
  <si>
    <t>Batry</t>
  </si>
  <si>
    <t>Molve Jawad sab</t>
  </si>
  <si>
    <t>peshawar</t>
  </si>
  <si>
    <t>Tablets,kapree</t>
  </si>
  <si>
    <t>Salman C/O jawad chd</t>
  </si>
  <si>
    <t>0334-9123369</t>
  </si>
  <si>
    <t>Election commetion office</t>
  </si>
  <si>
    <t>Samsung A30s</t>
  </si>
  <si>
    <t>Imran C/O jawadd chd</t>
  </si>
  <si>
    <t>0333-9974743</t>
  </si>
  <si>
    <t>Oppo A5s</t>
  </si>
  <si>
    <t>Salman hunoir phrm</t>
  </si>
  <si>
    <t>0345-9096127</t>
  </si>
  <si>
    <t>sardheri</t>
  </si>
  <si>
    <t>0313-9027177</t>
  </si>
  <si>
    <t>Biosafe pharma</t>
  </si>
  <si>
    <t>2samsung A30s</t>
  </si>
  <si>
    <t>Bakhtyar</t>
  </si>
  <si>
    <t>0343-9121368</t>
  </si>
  <si>
    <t>ittehad colony</t>
  </si>
  <si>
    <t>Sofa set</t>
  </si>
  <si>
    <t>Mama</t>
  </si>
  <si>
    <t>0345-9070946</t>
  </si>
  <si>
    <t>Breeks and gees heater</t>
  </si>
  <si>
    <t>Zafar C/O Shabeer</t>
  </si>
  <si>
    <t>0333-9246272</t>
  </si>
  <si>
    <t>UET peshawar</t>
  </si>
  <si>
    <t>oppo A9 2020</t>
  </si>
  <si>
    <t>Noman sir je</t>
  </si>
  <si>
    <t>0300-9166169</t>
  </si>
  <si>
    <t>vivo y90</t>
  </si>
  <si>
    <t>Tariq C/O hakeem sb</t>
  </si>
  <si>
    <t>0314-9092949</t>
  </si>
  <si>
    <t>Furqan C/O ruhullah</t>
  </si>
  <si>
    <t>0316-9575511</t>
  </si>
  <si>
    <t>Samsung A30</t>
  </si>
  <si>
    <t>Mukhtyar C/O wali ullah sab</t>
  </si>
  <si>
    <t>0313-5276490</t>
  </si>
  <si>
    <t>Mukhtyar altrasound DHQ Charsadda</t>
  </si>
  <si>
    <t>2 Daewoo batry</t>
  </si>
  <si>
    <t>Kamal ahmad C/O hakeem sab</t>
  </si>
  <si>
    <t>0313-9615401</t>
  </si>
  <si>
    <t>oppo f11 pro</t>
  </si>
  <si>
    <t>Kamran C/O mama</t>
  </si>
  <si>
    <t>0345-9144069</t>
  </si>
  <si>
    <t>huwai Y9s</t>
  </si>
  <si>
    <t>Bahri karam</t>
  </si>
  <si>
    <t>0315-9932543</t>
  </si>
  <si>
    <t>frig</t>
  </si>
  <si>
    <t>Liaqat C/O hakeem sab</t>
  </si>
  <si>
    <t>0314-1000118</t>
  </si>
  <si>
    <t>Umair khan C/O hakeem sab</t>
  </si>
  <si>
    <t>0313-0046788</t>
  </si>
  <si>
    <t>Y9s huwai</t>
  </si>
  <si>
    <t>Asfandyar C/O mama</t>
  </si>
  <si>
    <t>0334-9060217</t>
  </si>
  <si>
    <t>muneer C/O subhan sab</t>
  </si>
  <si>
    <t>0345-9082976</t>
  </si>
  <si>
    <t>Furqan C/O roohullah</t>
  </si>
  <si>
    <t>Toti gul C/O mama</t>
  </si>
  <si>
    <t>Gate</t>
  </si>
  <si>
    <t>sariya</t>
  </si>
  <si>
    <t>Sheraz C/O khani</t>
  </si>
  <si>
    <t>0346-9717901</t>
  </si>
  <si>
    <t>V7 mobile</t>
  </si>
  <si>
    <t>sheraz 2 C/O khani</t>
  </si>
  <si>
    <t>0312-8451124</t>
  </si>
  <si>
    <t>x7 mobile</t>
  </si>
  <si>
    <t>Wahid C/O khani</t>
  </si>
  <si>
    <t>0317-6996172</t>
  </si>
  <si>
    <t>TP pro mobile</t>
  </si>
  <si>
    <t>Shahzaad C/O babar</t>
  </si>
  <si>
    <t>0314-9600946</t>
  </si>
  <si>
    <t>Shah fahad C/O mama</t>
  </si>
  <si>
    <t>UPS</t>
  </si>
  <si>
    <t>self</t>
  </si>
  <si>
    <t>Qadar Sher C/O khani</t>
  </si>
  <si>
    <t>0342-9135891</t>
  </si>
  <si>
    <t xml:space="preserve">Kamal C/O hakeem </t>
  </si>
  <si>
    <t>Sajjad C/O molve sab</t>
  </si>
  <si>
    <t>0333-3979255</t>
  </si>
  <si>
    <t>Idress C/O Amadd</t>
  </si>
  <si>
    <t>Waqas C/O hakeem sab</t>
  </si>
  <si>
    <t>Charsadda</t>
  </si>
  <si>
    <t>Vivo S1</t>
  </si>
  <si>
    <t>Sikandar pura</t>
  </si>
  <si>
    <t>A30s Samsung</t>
  </si>
  <si>
    <t>madina colony peshawar</t>
  </si>
  <si>
    <t>infinix s5</t>
  </si>
  <si>
    <t>mobile</t>
  </si>
  <si>
    <t>Vivo Y15</t>
  </si>
  <si>
    <t>Anwar khayalC/O Rohullah</t>
  </si>
  <si>
    <t>0302-8824202</t>
  </si>
  <si>
    <t>cash in hand</t>
  </si>
  <si>
    <t>cash recevid</t>
  </si>
  <si>
    <t>Monthly Recovry</t>
  </si>
  <si>
    <t>Actul Amount in recovry</t>
  </si>
  <si>
    <t>proft in recovry</t>
  </si>
  <si>
    <t>Actul  Amount in recovry</t>
  </si>
  <si>
    <t>Asad C/O jawad chd</t>
  </si>
  <si>
    <t>0335-5594029</t>
  </si>
  <si>
    <t>qarzi hasana</t>
  </si>
  <si>
    <t>Athar C/O Zulfiqar</t>
  </si>
  <si>
    <t>0342-9009001</t>
  </si>
  <si>
    <t>A7 Samsung</t>
  </si>
  <si>
    <t>Musafar C/O yasir</t>
  </si>
  <si>
    <t>0310-4646272</t>
  </si>
  <si>
    <t>Invostor</t>
  </si>
  <si>
    <t>Al-khair cash ledger</t>
  </si>
  <si>
    <t>Investor name</t>
  </si>
  <si>
    <t>Debit</t>
  </si>
  <si>
    <t>Credit</t>
  </si>
  <si>
    <t>Balance</t>
  </si>
  <si>
    <t>Munaaf c/o hakeem</t>
  </si>
  <si>
    <t>0314-9746911</t>
  </si>
  <si>
    <t>Wisal c/O shahzad chd</t>
  </si>
  <si>
    <t>0346-6757467</t>
  </si>
  <si>
    <t>mardan</t>
  </si>
  <si>
    <t>kapree</t>
  </si>
  <si>
    <t>mama</t>
  </si>
  <si>
    <t>%</t>
  </si>
  <si>
    <t>Tablets, kapree</t>
  </si>
  <si>
    <t>up to date</t>
  </si>
  <si>
    <t>numan cash</t>
  </si>
  <si>
    <t>Mujahd C/O Amad (idres)</t>
  </si>
  <si>
    <t>0311-900195</t>
  </si>
  <si>
    <t>A30s mb</t>
  </si>
  <si>
    <t>Hasan khan C/O hakem sab</t>
  </si>
  <si>
    <t>0310-9944720</t>
  </si>
  <si>
    <t>2 vivo y90</t>
  </si>
  <si>
    <t>Hasan 2 khan C/O hakem sab</t>
  </si>
  <si>
    <t>A10s samsung</t>
  </si>
  <si>
    <t>hasan mobilee</t>
  </si>
  <si>
    <t>cash</t>
  </si>
  <si>
    <t>Hasan khan 3 c/o hakeem sab</t>
  </si>
  <si>
    <t>shahzad C/O babar</t>
  </si>
  <si>
    <t>A5s oppo</t>
  </si>
  <si>
    <t>shahzad mobl</t>
  </si>
  <si>
    <t>shahzad qist</t>
  </si>
  <si>
    <t>dec proft</t>
  </si>
  <si>
    <t>oct nov dec other cash</t>
  </si>
  <si>
    <t>wali ullah sab dec prf &amp; other</t>
  </si>
  <si>
    <t>muhammad noor</t>
  </si>
  <si>
    <t>transfr to alkhair</t>
  </si>
  <si>
    <t>Said rahman c/o jawad</t>
  </si>
  <si>
    <t>0314-9472373</t>
  </si>
  <si>
    <t>Nfinix s5</t>
  </si>
  <si>
    <t>said rahman</t>
  </si>
  <si>
    <t>qist re</t>
  </si>
  <si>
    <t>Sardar alam C/O hakeem sab</t>
  </si>
  <si>
    <t>0314-9156208</t>
  </si>
  <si>
    <t>sardar alam</t>
  </si>
  <si>
    <t>alkhair</t>
  </si>
  <si>
    <t>babar cash</t>
  </si>
  <si>
    <t>walli ullah sab</t>
  </si>
  <si>
    <t>furqan</t>
  </si>
  <si>
    <t>investment</t>
  </si>
  <si>
    <t>amad</t>
  </si>
  <si>
    <t>furniture</t>
  </si>
  <si>
    <t>Furqan 2 C/O rohullah</t>
  </si>
  <si>
    <t>A51 mobile</t>
  </si>
  <si>
    <t>self shares purch</t>
  </si>
  <si>
    <t>self shares sales</t>
  </si>
  <si>
    <t>Trnsf to self</t>
  </si>
  <si>
    <t>paid</t>
  </si>
  <si>
    <t>bill</t>
  </si>
  <si>
    <t>Numan C/O mama</t>
  </si>
  <si>
    <t>0333-9182087</t>
  </si>
  <si>
    <t>Amjed madrasa</t>
  </si>
  <si>
    <t>Jawad CHD</t>
  </si>
  <si>
    <t>0313-9274009</t>
  </si>
  <si>
    <t>oppo A52020</t>
  </si>
  <si>
    <t>jan 2020 prt</t>
  </si>
  <si>
    <t>other</t>
  </si>
  <si>
    <t>jan 2020 wali ullah sab</t>
  </si>
  <si>
    <t>jan 2020 proft</t>
  </si>
  <si>
    <t>jan 2020 Muhammad noor prot</t>
  </si>
  <si>
    <t>babar</t>
  </si>
  <si>
    <t>cash given t noor</t>
  </si>
  <si>
    <t>cash given to noor</t>
  </si>
  <si>
    <t>Bilal C/O Hasnian</t>
  </si>
  <si>
    <t>aziaz alam</t>
  </si>
  <si>
    <t>Jawad CHD 2</t>
  </si>
  <si>
    <t>dff</t>
  </si>
  <si>
    <t>Azazalam</t>
  </si>
  <si>
    <t>Wajed c/o hakeem</t>
  </si>
  <si>
    <t>oven</t>
  </si>
  <si>
    <t>salman</t>
  </si>
  <si>
    <t>Mama laptp</t>
  </si>
  <si>
    <t>laptop</t>
  </si>
  <si>
    <t>Jawad 3 chd</t>
  </si>
  <si>
    <t>Hasan 4 c/o hakeem</t>
  </si>
  <si>
    <t>shahzad 3 C/O babar</t>
  </si>
  <si>
    <t>Shahzad</t>
  </si>
  <si>
    <t>Muzakir C/O babar</t>
  </si>
  <si>
    <t>muzakr</t>
  </si>
  <si>
    <t>Mubarak Ali C/O babar</t>
  </si>
  <si>
    <t>feb 2020 prft</t>
  </si>
  <si>
    <t>feb 2020 wali ulllah sab</t>
  </si>
  <si>
    <t>feb 2020 proft</t>
  </si>
  <si>
    <t>feb 2020 muhammad noor</t>
  </si>
  <si>
    <t>feb 2020 alkhair</t>
  </si>
  <si>
    <t>feb all proft alkhair</t>
  </si>
  <si>
    <t>rohullah</t>
  </si>
  <si>
    <t>rohullan</t>
  </si>
  <si>
    <t>fakhr</t>
  </si>
  <si>
    <t>fakhrialam</t>
  </si>
  <si>
    <t>Wisal 2</t>
  </si>
  <si>
    <t>0344-45012235</t>
  </si>
  <si>
    <t>Sajjad 2 C/O molve sab</t>
  </si>
  <si>
    <t>Coxn C/O molve sab</t>
  </si>
  <si>
    <t>Imran 2 C/O jawadd chd</t>
  </si>
  <si>
    <t>Tyre</t>
  </si>
  <si>
    <t>cash &amp; mobile</t>
  </si>
  <si>
    <t>rohulah</t>
  </si>
  <si>
    <t>extra</t>
  </si>
  <si>
    <t>other amount</t>
  </si>
  <si>
    <t>march 2020 prft</t>
  </si>
  <si>
    <t>april 2020 proft</t>
  </si>
  <si>
    <t>march april wali ullah sab</t>
  </si>
  <si>
    <t>march 2020 proft</t>
  </si>
  <si>
    <t>march april muhammad noor</t>
  </si>
  <si>
    <t>Shahzad C/O babar</t>
  </si>
  <si>
    <t>salman C/O shahzad</t>
  </si>
  <si>
    <t>Bilal</t>
  </si>
  <si>
    <t>bilal</t>
  </si>
  <si>
    <t>Sajjad subhan sab</t>
  </si>
  <si>
    <t>Arif C/O Shahzad</t>
  </si>
  <si>
    <t>Yasir 2 C/O Babar</t>
  </si>
  <si>
    <t>Ac</t>
  </si>
  <si>
    <t>mix soda</t>
  </si>
  <si>
    <t>saydon</t>
  </si>
  <si>
    <t>Zeshan wajed C/O hakeem</t>
  </si>
  <si>
    <t>mobile qist</t>
  </si>
  <si>
    <t>Muhsin Pabbi</t>
  </si>
  <si>
    <t>fige</t>
  </si>
  <si>
    <t>yasir 3 C/O babar</t>
  </si>
  <si>
    <t>Hazrat Shah sab mubarak</t>
  </si>
  <si>
    <t>sajjad 3 c/o molve sab</t>
  </si>
  <si>
    <t>said rahman 2 c/o jawad</t>
  </si>
  <si>
    <t>CASH</t>
  </si>
  <si>
    <t>Loqman C/O shahzad</t>
  </si>
  <si>
    <t>Saydon phamra</t>
  </si>
  <si>
    <t>pharma</t>
  </si>
  <si>
    <t>khusnood c/o hunoir</t>
  </si>
  <si>
    <t>Rohullah</t>
  </si>
  <si>
    <t>Abdullah molve sab</t>
  </si>
  <si>
    <t>ac</t>
  </si>
  <si>
    <t>Noshad C/O Sajad subhan sab</t>
  </si>
  <si>
    <t>Shehriyar C/O molve jawad sab</t>
  </si>
  <si>
    <t>Basit C/O muzakir</t>
  </si>
  <si>
    <t>may 2020 proft</t>
  </si>
  <si>
    <t>wali ullah sab May 2020</t>
  </si>
  <si>
    <t>proft to wali ullah sab</t>
  </si>
  <si>
    <t>proft to noor</t>
  </si>
  <si>
    <t>May 2020 proft cash</t>
  </si>
  <si>
    <t>May 2020 other amnt</t>
  </si>
  <si>
    <t>cash given to bilal</t>
  </si>
  <si>
    <t>proft to bilal</t>
  </si>
  <si>
    <t>Roohullah</t>
  </si>
  <si>
    <t xml:space="preserve">muhammad noor may 2020 </t>
  </si>
  <si>
    <t>Bilal may 2020</t>
  </si>
  <si>
    <t xml:space="preserve">Luqman </t>
  </si>
  <si>
    <t>0314-9185468</t>
  </si>
  <si>
    <t>zulfiqar sab M</t>
  </si>
  <si>
    <t>Jalal C/O jawad chd</t>
  </si>
  <si>
    <t>0347-5600381</t>
  </si>
  <si>
    <t>cash to roohulah</t>
  </si>
  <si>
    <t>fakhr mobile</t>
  </si>
  <si>
    <t>Mian Azaz ali</t>
  </si>
  <si>
    <t>medicen</t>
  </si>
  <si>
    <t xml:space="preserve">Shabeer </t>
  </si>
  <si>
    <t>colar</t>
  </si>
  <si>
    <t>Amjed madrasa 2</t>
  </si>
  <si>
    <t>coloar</t>
  </si>
  <si>
    <t>zulfiqar</t>
  </si>
  <si>
    <t>Abdullah c/o Munsef</t>
  </si>
  <si>
    <t>zulfiqar sab cycal</t>
  </si>
  <si>
    <t>cycal</t>
  </si>
  <si>
    <t>Zahid C/O Azaz alam</t>
  </si>
  <si>
    <t>frezaar</t>
  </si>
  <si>
    <t>julery</t>
  </si>
  <si>
    <t>Shahzad Bike</t>
  </si>
  <si>
    <t>bike</t>
  </si>
  <si>
    <t>Bike</t>
  </si>
  <si>
    <t>Waleed C/O jawad</t>
  </si>
  <si>
    <t>nauman C/O hakeem</t>
  </si>
  <si>
    <t>Sayeed Asim shah sab</t>
  </si>
  <si>
    <t>m</t>
  </si>
  <si>
    <t>Molve Jawad sab frig</t>
  </si>
  <si>
    <t>casg</t>
  </si>
  <si>
    <t>Mihran qari sab</t>
  </si>
  <si>
    <t>Zeshan C/O Shabeer</t>
  </si>
  <si>
    <t>0302-9876869</t>
  </si>
  <si>
    <t>Shoukat C/O mama</t>
  </si>
  <si>
    <t>Rovaid C/O khani</t>
  </si>
  <si>
    <t>Afham C/O bahrikaram</t>
  </si>
  <si>
    <t>0335-9749825</t>
  </si>
  <si>
    <t>0313-9862898</t>
  </si>
  <si>
    <t>kashif Madrasaa</t>
  </si>
  <si>
    <t>0307-5745112</t>
  </si>
  <si>
    <t>Farman C/O Zulfiqar</t>
  </si>
  <si>
    <t>Abdul basit madrasa</t>
  </si>
  <si>
    <t>casn</t>
  </si>
  <si>
    <t>JULRY</t>
  </si>
  <si>
    <t>JUNAID  C/O SHAHZAD</t>
  </si>
  <si>
    <t>Ismail c/o shahzad</t>
  </si>
  <si>
    <t>Inam c/o jalal (jawad)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</si>
</sst>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</font>
    <font>
      <sz val="10"/>
      <name val="Arial"/>
    </font>
    <font>
      <b/>
      <sz val="10"/>
      <name val="Arial"/>
    </font>
    <font>
      <b/>
      <sz val="11"/>
      <color theme="1"/>
      <name val="Arial"/>
      <family val="2"/>
    </font>
    <font>
      <b/>
      <sz val="11"/>
      <color theme="1" tint="0.14999847407452621"/>
      <name val="Arial"/>
      <family val="2"/>
    </font>
    <font>
      <b/>
      <sz val="11"/>
      <color theme="1" tint="4.9989318521683403E-2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</font>
    <font>
      <b/>
      <sz val="9"/>
      <color rgb="FFFF0000"/>
      <name val="Arial"/>
    </font>
    <font>
      <b/>
      <sz val="14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1" tint="0.34998626667073579"/>
        <bgColor theme="6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left"/>
    </xf>
    <xf numFmtId="14" fontId="0" fillId="0" borderId="5" xfId="0" applyNumberFormat="1" applyBorder="1" applyAlignment="1">
      <alignment horizontal="left"/>
    </xf>
    <xf numFmtId="0" fontId="3" fillId="0" borderId="5" xfId="0" applyFont="1" applyBorder="1"/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4" fillId="3" borderId="5" xfId="0" applyFont="1" applyFill="1" applyBorder="1" applyAlignment="1">
      <alignment horizontal="left" vertical="center" wrapText="1"/>
    </xf>
    <xf numFmtId="1" fontId="4" fillId="3" borderId="5" xfId="0" applyNumberFormat="1" applyFont="1" applyFill="1" applyBorder="1" applyAlignment="1">
      <alignment horizontal="left" vertical="center" wrapText="1"/>
    </xf>
    <xf numFmtId="17" fontId="4" fillId="3" borderId="5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6" fontId="0" fillId="0" borderId="5" xfId="0" applyNumberFormat="1" applyBorder="1" applyAlignment="1">
      <alignment horizontal="left"/>
    </xf>
    <xf numFmtId="0" fontId="6" fillId="3" borderId="5" xfId="0" applyFont="1" applyFill="1" applyBorder="1" applyAlignment="1">
      <alignment horizontal="left" vertical="center" wrapText="1"/>
    </xf>
    <xf numFmtId="1" fontId="6" fillId="3" borderId="5" xfId="0" applyNumberFormat="1" applyFont="1" applyFill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left" vertical="center" wrapText="1"/>
    </xf>
    <xf numFmtId="1" fontId="0" fillId="0" borderId="5" xfId="0" applyNumberForma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1" fontId="5" fillId="0" borderId="11" xfId="0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1" fontId="0" fillId="0" borderId="11" xfId="0" applyNumberForma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7" fillId="0" borderId="5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1" fontId="10" fillId="0" borderId="5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/>
    <xf numFmtId="0" fontId="2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0" fillId="0" borderId="5" xfId="0" applyNumberFormat="1" applyBorder="1"/>
    <xf numFmtId="0" fontId="4" fillId="3" borderId="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" fontId="9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3" fillId="3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14" fillId="4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1" fontId="13" fillId="5" borderId="5" xfId="0" applyNumberFormat="1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0" fontId="18" fillId="0" borderId="5" xfId="0" applyNumberFormat="1" applyFont="1" applyBorder="1" applyAlignment="1">
      <alignment horizontal="left" vertical="center" wrapText="1"/>
    </xf>
    <xf numFmtId="16" fontId="9" fillId="0" borderId="9" xfId="0" applyNumberFormat="1" applyFont="1" applyBorder="1" applyAlignment="1">
      <alignment horizontal="left"/>
    </xf>
    <xf numFmtId="0" fontId="9" fillId="0" borderId="5" xfId="0" applyFont="1" applyBorder="1" applyAlignment="1">
      <alignment horizontal="left" vertical="center"/>
    </xf>
    <xf numFmtId="1" fontId="18" fillId="0" borderId="5" xfId="0" applyNumberFormat="1" applyFont="1" applyBorder="1" applyAlignment="1">
      <alignment horizontal="left" vertical="center" wrapText="1"/>
    </xf>
    <xf numFmtId="1" fontId="16" fillId="6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/>
    <xf numFmtId="0" fontId="0" fillId="8" borderId="16" xfId="0" applyFont="1" applyFill="1" applyBorder="1" applyAlignment="1">
      <alignment horizontal="left"/>
    </xf>
    <xf numFmtId="0" fontId="0" fillId="8" borderId="0" xfId="0" applyFont="1" applyFill="1"/>
    <xf numFmtId="0" fontId="2" fillId="8" borderId="0" xfId="0" applyFont="1" applyFill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left"/>
    </xf>
    <xf numFmtId="0" fontId="3" fillId="7" borderId="5" xfId="0" applyFont="1" applyFill="1" applyBorder="1"/>
    <xf numFmtId="0" fontId="2" fillId="7" borderId="5" xfId="0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left"/>
    </xf>
    <xf numFmtId="0" fontId="3" fillId="8" borderId="5" xfId="0" applyFont="1" applyFill="1" applyBorder="1"/>
    <xf numFmtId="0" fontId="2" fillId="8" borderId="5" xfId="0" applyFont="1" applyFill="1" applyBorder="1" applyAlignment="1">
      <alignment horizontal="center" vertical="center"/>
    </xf>
    <xf numFmtId="0" fontId="0" fillId="8" borderId="5" xfId="0" applyFont="1" applyFill="1" applyBorder="1"/>
    <xf numFmtId="0" fontId="19" fillId="2" borderId="0" xfId="0" applyFont="1" applyFill="1" applyAlignment="1">
      <alignment wrapText="1"/>
    </xf>
    <xf numFmtId="0" fontId="0" fillId="0" borderId="0" xfId="0" applyBorder="1"/>
    <xf numFmtId="0" fontId="0" fillId="10" borderId="15" xfId="0" applyFont="1" applyFill="1" applyBorder="1" applyAlignment="1">
      <alignment horizontal="left" vertical="center" wrapText="1"/>
    </xf>
    <xf numFmtId="0" fontId="0" fillId="9" borderId="15" xfId="0" applyFont="1" applyFill="1" applyBorder="1"/>
    <xf numFmtId="0" fontId="0" fillId="10" borderId="19" xfId="0" applyFont="1" applyFill="1" applyBorder="1"/>
    <xf numFmtId="0" fontId="3" fillId="7" borderId="5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8" borderId="0" xfId="0" applyFont="1" applyFill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2" borderId="0" xfId="0" applyFill="1"/>
    <xf numFmtId="0" fontId="19" fillId="2" borderId="5" xfId="0" applyFont="1" applyFill="1" applyBorder="1" applyAlignment="1">
      <alignment wrapText="1"/>
    </xf>
    <xf numFmtId="0" fontId="4" fillId="2" borderId="5" xfId="0" applyFont="1" applyFill="1" applyBorder="1"/>
    <xf numFmtId="0" fontId="2" fillId="11" borderId="4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center" vertical="center"/>
    </xf>
    <xf numFmtId="14" fontId="3" fillId="7" borderId="5" xfId="0" applyNumberFormat="1" applyFont="1" applyFill="1" applyBorder="1" applyAlignment="1">
      <alignment horizontal="left"/>
    </xf>
    <xf numFmtId="0" fontId="0" fillId="8" borderId="5" xfId="0" applyFill="1" applyBorder="1"/>
    <xf numFmtId="0" fontId="4" fillId="0" borderId="5" xfId="0" applyFont="1" applyBorder="1" applyAlignment="1">
      <alignment horizontal="center"/>
    </xf>
    <xf numFmtId="0" fontId="20" fillId="8" borderId="12" xfId="0" applyFont="1" applyFill="1" applyBorder="1"/>
    <xf numFmtId="0" fontId="4" fillId="0" borderId="0" xfId="0" applyFont="1" applyBorder="1" applyAlignment="1">
      <alignment horizontal="center" vertical="top"/>
    </xf>
    <xf numFmtId="14" fontId="0" fillId="0" borderId="0" xfId="0" applyNumberFormat="1" applyBorder="1"/>
    <xf numFmtId="16" fontId="0" fillId="0" borderId="0" xfId="0" applyNumberFormat="1" applyBorder="1"/>
    <xf numFmtId="14" fontId="0" fillId="0" borderId="12" xfId="0" applyNumberFormat="1" applyBorder="1"/>
    <xf numFmtId="0" fontId="4" fillId="12" borderId="18" xfId="0" applyFont="1" applyFill="1" applyBorder="1" applyAlignment="1">
      <alignment horizontal="left" vertical="center" wrapText="1"/>
    </xf>
    <xf numFmtId="16" fontId="9" fillId="4" borderId="9" xfId="0" applyNumberFormat="1" applyFont="1" applyFill="1" applyBorder="1" applyAlignment="1">
      <alignment horizontal="left"/>
    </xf>
    <xf numFmtId="0" fontId="8" fillId="4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1" fontId="10" fillId="4" borderId="5" xfId="0" applyNumberFormat="1" applyFont="1" applyFill="1" applyBorder="1" applyAlignment="1">
      <alignment horizontal="left" vertical="center" wrapText="1"/>
    </xf>
    <xf numFmtId="0" fontId="18" fillId="4" borderId="5" xfId="0" applyNumberFormat="1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0" fillId="8" borderId="12" xfId="0" applyFill="1" applyBorder="1"/>
    <xf numFmtId="0" fontId="0" fillId="4" borderId="0" xfId="0" applyFill="1"/>
    <xf numFmtId="0" fontId="4" fillId="2" borderId="0" xfId="0" applyFont="1" applyFill="1" applyBorder="1"/>
    <xf numFmtId="14" fontId="0" fillId="0" borderId="0" xfId="0" applyNumberFormat="1"/>
    <xf numFmtId="0" fontId="21" fillId="0" borderId="5" xfId="0" applyFont="1" applyBorder="1" applyAlignment="1">
      <alignment horizontal="left" vertical="center" wrapText="1"/>
    </xf>
    <xf numFmtId="17" fontId="4" fillId="3" borderId="5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1" fontId="13" fillId="5" borderId="5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/>
    </xf>
    <xf numFmtId="0" fontId="23" fillId="4" borderId="12" xfId="0" applyFont="1" applyFill="1" applyBorder="1" applyAlignment="1">
      <alignment horizontal="left" vertical="center"/>
    </xf>
    <xf numFmtId="1" fontId="0" fillId="0" borderId="8" xfId="0" applyNumberFormat="1" applyBorder="1" applyAlignment="1">
      <alignment horizontal="left" vertical="center"/>
    </xf>
    <xf numFmtId="0" fontId="22" fillId="0" borderId="8" xfId="0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1" fontId="10" fillId="0" borderId="9" xfId="0" applyNumberFormat="1" applyFont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top"/>
    </xf>
    <xf numFmtId="0" fontId="8" fillId="13" borderId="5" xfId="0" applyFont="1" applyFill="1" applyBorder="1" applyAlignment="1">
      <alignment horizontal="left" vertical="center" wrapText="1"/>
    </xf>
    <xf numFmtId="0" fontId="8" fillId="14" borderId="5" xfId="0" applyFont="1" applyFill="1" applyBorder="1" applyAlignment="1">
      <alignment horizontal="left" vertical="center" wrapText="1"/>
    </xf>
    <xf numFmtId="0" fontId="10" fillId="14" borderId="5" xfId="0" applyFont="1" applyFill="1" applyBorder="1" applyAlignment="1">
      <alignment horizontal="left" vertical="center" wrapText="1"/>
    </xf>
    <xf numFmtId="0" fontId="10" fillId="13" borderId="5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left" vertical="center" wrapText="1"/>
    </xf>
    <xf numFmtId="0" fontId="15" fillId="5" borderId="15" xfId="0" applyFont="1" applyFill="1" applyBorder="1" applyAlignment="1">
      <alignment horizontal="left" vertical="center" wrapText="1"/>
    </xf>
    <xf numFmtId="0" fontId="15" fillId="5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2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</font>
      <fill>
        <patternFill>
          <fgColor indexed="64"/>
          <bgColor rgb="FFFFFF00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rgb="FFFFFF0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</font>
      <fill>
        <patternFill>
          <fgColor indexed="64"/>
          <bgColor rgb="FFFFFF00"/>
        </patternFill>
      </fill>
      <alignment horizontal="left" vertical="top" textRotation="0" wrapText="0" indent="0" relativeIndent="255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1" tint="0.34998626667073579"/>
        </patternFill>
      </fill>
      <alignment horizontal="left" vertical="center" textRotation="0" wrapText="1" indent="0" relativeIndent="0" justifyLastLine="0" shrinkToFit="0" mergeCell="0" readingOrder="0"/>
    </dxf>
    <dxf>
      <font>
        <b/>
      </font>
      <alignment horizontal="center" vertical="top" textRotation="0" wrapText="0" indent="0" relativeIndent="255" justifyLastLine="0" shrinkToFit="0" mergeCell="0" readingOrder="0"/>
    </dxf>
    <dxf>
      <alignment horizontal="left" textRotation="0" wrapText="0" indent="0" relativeIndent="255" justifyLastLine="0" shrinkToFit="0" readingOrder="0"/>
    </dxf>
    <dxf>
      <alignment horizontal="left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rgb="FFFFFF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5" name="Table25" displayName="Table25" ref="A3:G264" totalsRowShown="0" headerRowDxfId="214" headerRowBorderDxfId="213" tableBorderDxfId="212">
  <autoFilter ref="A3:G264"/>
  <tableColumns count="7">
    <tableColumn id="1" name="DATE"/>
    <tableColumn id="2" name="DESCRIPTION "/>
    <tableColumn id="3" name="Invostor" dataDxfId="211"/>
    <tableColumn id="4" name="DEBIT" dataDxfId="210"/>
    <tableColumn id="5" name="CREDIT" dataDxfId="209"/>
    <tableColumn id="6" name="Dr/Cr">
      <calculatedColumnFormula>IF(G4&gt;0,"Dr","Cr")</calculatedColumnFormula>
    </tableColumn>
    <tableColumn id="7" name="BALANCE" dataDxfId="208">
      <calculatedColumnFormula>(G3+D4)-E4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9" name="Table689710" displayName="Table689710" ref="V3:AA16" totalsRowShown="0" headerRowDxfId="57" headerRowBorderDxfId="56" tableBorderDxfId="55">
  <autoFilter ref="V3:AA16"/>
  <tableColumns count="6">
    <tableColumn id="1" name="Column1" dataDxfId="54"/>
    <tableColumn id="2" name="Column2" dataDxfId="53"/>
    <tableColumn id="3" name="Column3" dataDxfId="52"/>
    <tableColumn id="4" name="Column4" dataDxfId="51"/>
    <tableColumn id="5" name="Column5" dataDxfId="50">
      <calculatedColumnFormula>IF(AA4&gt;0,"Dr","Cr")</calculatedColumnFormula>
    </tableColumn>
    <tableColumn id="6" name="Column6" dataDxfId="49">
      <calculatedColumnFormula>(AA3+X4)-Y4</calculatedColumnFormula>
    </tableColumn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2" name="Table6897103" displayName="Table6897103" ref="AC3:AH16" totalsRowShown="0" headerRowDxfId="48" headerRowBorderDxfId="47" tableBorderDxfId="46">
  <autoFilter ref="AC3:AH16"/>
  <tableColumns count="6">
    <tableColumn id="1" name="Column1" dataDxfId="45"/>
    <tableColumn id="2" name="Column2" dataDxfId="44"/>
    <tableColumn id="3" name="Column3" dataDxfId="43"/>
    <tableColumn id="4" name="Column4" dataDxfId="42"/>
    <tableColumn id="5" name="Column5" dataDxfId="41">
      <calculatedColumnFormula>IF(AH4&gt;0,"Dr","Cr")</calculatedColumnFormula>
    </tableColumn>
    <tableColumn id="6" name="Column6" dataDxfId="40">
      <calculatedColumnFormula>(AH3+AE4)-AF4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2" name="Table6813" displayName="Table6813" ref="A3:E10" totalsRowShown="0" headerRowDxfId="39" headerRowBorderDxfId="38" tableBorderDxfId="37">
  <autoFilter ref="A3:E10"/>
  <tableColumns count="5">
    <tableColumn id="1" name="Column1" dataDxfId="36"/>
    <tableColumn id="2" name="Column2" dataDxfId="35"/>
    <tableColumn id="3" name="Column3" dataDxfId="34"/>
    <tableColumn id="4" name="Column4" dataDxfId="33"/>
    <tableColumn id="6" name="Column6" dataDxfId="32">
      <calculatedColumnFormula>(E3+C4)-D4</calculatedColumnFormula>
    </tableColumn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14" name="Table681315" displayName="Table681315" ref="G3:K10" totalsRowShown="0" headerRowDxfId="31" headerRowBorderDxfId="30" tableBorderDxfId="29">
  <autoFilter ref="G3:K10"/>
  <tableColumns count="5">
    <tableColumn id="1" name="Column1" dataDxfId="28"/>
    <tableColumn id="2" name="Column2" dataDxfId="27"/>
    <tableColumn id="3" name="Column3" dataDxfId="26"/>
    <tableColumn id="4" name="Column4" dataDxfId="25"/>
    <tableColumn id="6" name="Column6" dataDxfId="24">
      <calculatedColumnFormula>(K3+I4)-J4</calculatedColumnFormula>
    </tableColumn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5" name="Table681316" displayName="Table681316" ref="M3:Q10" totalsRowShown="0" headerRowDxfId="23" headerRowBorderDxfId="22" tableBorderDxfId="21">
  <autoFilter ref="M3:Q10"/>
  <tableColumns count="5">
    <tableColumn id="1" name="Column1" dataDxfId="20"/>
    <tableColumn id="2" name="Column2" dataDxfId="19"/>
    <tableColumn id="3" name="Column3" dataDxfId="18"/>
    <tableColumn id="4" name="Column4" dataDxfId="17"/>
    <tableColumn id="6" name="Column6" dataDxfId="16">
      <calculatedColumnFormula>(Q3+O4)-P4</calculatedColumnFormula>
    </tableColumn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id="16" name="Table681317" displayName="Table681317" ref="S3:W10" totalsRowShown="0" headerRowDxfId="15" headerRowBorderDxfId="14" tableBorderDxfId="13">
  <autoFilter ref="S3:W10"/>
  <tableColumns count="5">
    <tableColumn id="1" name="Column1" dataDxfId="12"/>
    <tableColumn id="2" name="Column2" dataDxfId="11"/>
    <tableColumn id="3" name="Column3" dataDxfId="10"/>
    <tableColumn id="4" name="Column4" dataDxfId="9"/>
    <tableColumn id="6" name="Column6" dataDxfId="8">
      <calculatedColumnFormula>(W3+U4)-V4</calculatedColumnFormula>
    </tableColumn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id="10" name="Table68131711" displayName="Table68131711" ref="Y3:AC10" totalsRowShown="0" headerRowDxfId="7" headerRowBorderDxfId="6" tableBorderDxfId="5">
  <autoFilter ref="Y3:AC10"/>
  <tableColumns count="5">
    <tableColumn id="1" name="Column1" dataDxfId="4"/>
    <tableColumn id="2" name="Column2" dataDxfId="3"/>
    <tableColumn id="3" name="Column3" dataDxfId="2"/>
    <tableColumn id="4" name="Column4" dataDxfId="1"/>
    <tableColumn id="6" name="Column6" dataDxfId="0">
      <calculatedColumnFormula>(AC3+AA4)-AB4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6" name="Table26" displayName="Table26" ref="I3:I8" totalsRowShown="0" headerRowDxfId="207" headerRowBorderDxfId="206" tableBorderDxfId="205" totalsRowBorderDxfId="204">
  <autoFilter ref="I3:I8"/>
  <tableColumns count="1">
    <tableColumn id="1" name="Wali ullah sab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2:AY33" totalsRowShown="0" headerRowBorderDxfId="203" tableBorderDxfId="202" totalsRowBorderDxfId="201">
  <autoFilter ref="A2:AY33">
    <filterColumn colId="3"/>
    <filterColumn colId="6"/>
  </autoFilter>
  <tableColumns count="51">
    <tableColumn id="1" name="Column1" dataDxfId="200"/>
    <tableColumn id="2" name="Column2" dataDxfId="199"/>
    <tableColumn id="3" name="Column3" dataDxfId="198"/>
    <tableColumn id="14" name="Column310" dataDxfId="197"/>
    <tableColumn id="4" name="Column4" dataDxfId="196"/>
    <tableColumn id="5" name="Column5" dataDxfId="195"/>
    <tableColumn id="9" name="Column52" dataDxfId="194"/>
    <tableColumn id="6" name="Column6" dataDxfId="193"/>
    <tableColumn id="7" name="Column7" dataDxfId="192">
      <calculatedColumnFormula>IFERROR(M3/L3,"0")</calculatedColumnFormula>
    </tableColumn>
    <tableColumn id="8" name="Column8" dataDxfId="191"/>
    <tableColumn id="10" name="Column10" dataDxfId="190"/>
    <tableColumn id="11" name="Column11" dataDxfId="189">
      <calculatedColumnFormula>H3/100*J3</calculatedColumnFormula>
    </tableColumn>
    <tableColumn id="12" name="Column12" dataDxfId="188">
      <calculatedColumnFormula>J3+L3</calculatedColumnFormula>
    </tableColumn>
    <tableColumn id="13" name="Column13" dataDxfId="187">
      <calculatedColumnFormula>M3-AY3</calculatedColumnFormula>
    </tableColumn>
    <tableColumn id="15" name="Column15" dataDxfId="186"/>
    <tableColumn id="16" name="Column16" dataDxfId="185">
      <calculatedColumnFormula>IFERROR(O3-Q3,"0")</calculatedColumnFormula>
    </tableColumn>
    <tableColumn id="17" name="Column17" dataDxfId="184">
      <calculatedColumnFormula>IFERROR(O3/I3,"0")</calculatedColumnFormula>
    </tableColumn>
    <tableColumn id="18" name="Column18" dataDxfId="183"/>
    <tableColumn id="19" name="Column19" dataDxfId="182">
      <calculatedColumnFormula>IFERROR(R3-T3,"0")</calculatedColumnFormula>
    </tableColumn>
    <tableColumn id="20" name="Column20" dataDxfId="181">
      <calculatedColumnFormula>IFERROR(R3/I3,"0")</calculatedColumnFormula>
    </tableColumn>
    <tableColumn id="21" name="Column21" dataDxfId="180"/>
    <tableColumn id="22" name="Column22" dataDxfId="179">
      <calculatedColumnFormula>IFERROR(U3-W3,"0")</calculatedColumnFormula>
    </tableColumn>
    <tableColumn id="23" name="Column23" dataDxfId="178">
      <calculatedColumnFormula>IFERROR(U3/I3,"0")</calculatedColumnFormula>
    </tableColumn>
    <tableColumn id="24" name="Column24" dataDxfId="177"/>
    <tableColumn id="25" name="Column25" dataDxfId="176">
      <calculatedColumnFormula>IFERROR(X3-Z3,"0")</calculatedColumnFormula>
    </tableColumn>
    <tableColumn id="26" name="Column26" dataDxfId="175">
      <calculatedColumnFormula>IFERROR(X3/I3,"0")</calculatedColumnFormula>
    </tableColumn>
    <tableColumn id="27" name="Column27" dataDxfId="174"/>
    <tableColumn id="28" name="Column28" dataDxfId="173">
      <calculatedColumnFormula>IFERROR(AA3-AC3,"0")</calculatedColumnFormula>
    </tableColumn>
    <tableColumn id="29" name="Column29" dataDxfId="172">
      <calculatedColumnFormula>IFERROR(AA3/I3,"0")</calculatedColumnFormula>
    </tableColumn>
    <tableColumn id="30" name="Column30" dataDxfId="171"/>
    <tableColumn id="31" name="Column31" dataDxfId="170">
      <calculatedColumnFormula>IFERROR(AD3-AF3,"0")</calculatedColumnFormula>
    </tableColumn>
    <tableColumn id="32" name="Column32" dataDxfId="169">
      <calculatedColumnFormula>IFERROR(AD3/I3,"0")</calculatedColumnFormula>
    </tableColumn>
    <tableColumn id="33" name="Column33" dataDxfId="168"/>
    <tableColumn id="34" name="Column34" dataDxfId="167">
      <calculatedColumnFormula>IFERROR(AG3-AI3,"0")</calculatedColumnFormula>
    </tableColumn>
    <tableColumn id="35" name="Column35" dataDxfId="166">
      <calculatedColumnFormula>IFERROR(AG3/I3,"0")</calculatedColumnFormula>
    </tableColumn>
    <tableColumn id="36" name="Column36" dataDxfId="165"/>
    <tableColumn id="37" name="Column37" dataDxfId="164">
      <calculatedColumnFormula>IFERROR(AJ3-AL3,"0")</calculatedColumnFormula>
    </tableColumn>
    <tableColumn id="38" name="Column38" dataDxfId="163">
      <calculatedColumnFormula>IFERROR(AJ3/I3,"0")</calculatedColumnFormula>
    </tableColumn>
    <tableColumn id="39" name="Column39" dataDxfId="162"/>
    <tableColumn id="40" name="Column40" dataDxfId="161">
      <calculatedColumnFormula>IFERROR(AM3-AO3,"0")</calculatedColumnFormula>
    </tableColumn>
    <tableColumn id="41" name="Column41" dataDxfId="160">
      <calculatedColumnFormula>IFERROR(AM3/I3,"0")</calculatedColumnFormula>
    </tableColumn>
    <tableColumn id="42" name="Column42" dataDxfId="159"/>
    <tableColumn id="43" name="Column43" dataDxfId="158">
      <calculatedColumnFormula>IFERROR(AP3-AR3,"0")</calculatedColumnFormula>
    </tableColumn>
    <tableColumn id="44" name="Column44" dataDxfId="157">
      <calculatedColumnFormula>IFERROR(AP3/I3,"0")</calculatedColumnFormula>
    </tableColumn>
    <tableColumn id="45" name="Column45" dataDxfId="156"/>
    <tableColumn id="46" name="Column46" dataDxfId="155">
      <calculatedColumnFormula>IFERROR(AS3-AU3,"0")</calculatedColumnFormula>
    </tableColumn>
    <tableColumn id="47" name="Column47" dataDxfId="154">
      <calculatedColumnFormula>IFERROR(AS3/I3,"0")</calculatedColumnFormula>
    </tableColumn>
    <tableColumn id="48" name="Column48" dataDxfId="153"/>
    <tableColumn id="49" name="Column49" dataDxfId="152">
      <calculatedColumnFormula>IFERROR(AV3-AX3,"0")</calculatedColumnFormula>
    </tableColumn>
    <tableColumn id="50" name="Column50" dataDxfId="151">
      <calculatedColumnFormula>IFERROR(AV3/I3,"0")</calculatedColumnFormula>
    </tableColumn>
    <tableColumn id="51" name="Column51" dataDxfId="150">
      <calculatedColumnFormula>O3+R3+U3+X3+AA3+AD3+AG3+AJ3+AM3+AP3+AS3+AV3</calculatedColumnFormula>
    </tableColumn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4:B38" totalsRowShown="0" headerRowDxfId="149" headerRowBorderDxfId="148" tableBorderDxfId="147">
  <autoFilter ref="A34:B38"/>
  <tableColumns count="2">
    <tableColumn id="1" name="No" dataDxfId="146"/>
    <tableColumn id="2" name="Invstor name" dataDxfId="145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AY117" totalsRowShown="0" headerRowBorderDxfId="144" tableBorderDxfId="143" totalsRowBorderDxfId="142">
  <autoFilter ref="A2:AY117">
    <filterColumn colId="3"/>
    <filterColumn colId="6"/>
  </autoFilter>
  <tableColumns count="51">
    <tableColumn id="1" name="Column1" dataDxfId="141"/>
    <tableColumn id="2" name="Column2" dataDxfId="140"/>
    <tableColumn id="3" name="Column3" dataDxfId="139"/>
    <tableColumn id="14" name="Column310" dataDxfId="138"/>
    <tableColumn id="4" name="Column4" dataDxfId="137"/>
    <tableColumn id="5" name="Column5" dataDxfId="136"/>
    <tableColumn id="9" name="Column52" dataDxfId="135"/>
    <tableColumn id="6" name="Column6" dataDxfId="134"/>
    <tableColumn id="7" name="Column7" dataDxfId="133">
      <calculatedColumnFormula>IFERROR(M3/L3,"0")</calculatedColumnFormula>
    </tableColumn>
    <tableColumn id="8" name="Column8" dataDxfId="132"/>
    <tableColumn id="10" name="Column10" dataDxfId="131"/>
    <tableColumn id="11" name="Column11" dataDxfId="130">
      <calculatedColumnFormula>H3/100*J3</calculatedColumnFormula>
    </tableColumn>
    <tableColumn id="12" name="Column12" dataDxfId="129">
      <calculatedColumnFormula>J3+L3</calculatedColumnFormula>
    </tableColumn>
    <tableColumn id="13" name="Column13" dataDxfId="128">
      <calculatedColumnFormula>M3-(AY3+'2019'!AY3)</calculatedColumnFormula>
    </tableColumn>
    <tableColumn id="15" name="Column15" dataDxfId="127"/>
    <tableColumn id="16" name="Column16" dataDxfId="126">
      <calculatedColumnFormula>IFERROR(O3-Q3,"0")</calculatedColumnFormula>
    </tableColumn>
    <tableColumn id="17" name="Column17" dataDxfId="125">
      <calculatedColumnFormula>IFERROR(O3/I3,"0")</calculatedColumnFormula>
    </tableColumn>
    <tableColumn id="18" name="Column18" dataDxfId="124"/>
    <tableColumn id="19" name="Column19" dataDxfId="123">
      <calculatedColumnFormula>IFERROR(R3-T3,"0")</calculatedColumnFormula>
    </tableColumn>
    <tableColumn id="20" name="Column20" dataDxfId="122">
      <calculatedColumnFormula>IFERROR(R3/I3,"0")</calculatedColumnFormula>
    </tableColumn>
    <tableColumn id="21" name="Column21" dataDxfId="121"/>
    <tableColumn id="22" name="Column22" dataDxfId="120">
      <calculatedColumnFormula>IFERROR(U3-W3,"0")</calculatedColumnFormula>
    </tableColumn>
    <tableColumn id="23" name="Column23" dataDxfId="119">
      <calculatedColumnFormula>IFERROR(U3/I3,"0")</calculatedColumnFormula>
    </tableColumn>
    <tableColumn id="24" name="Column24" dataDxfId="118"/>
    <tableColumn id="25" name="Column25" dataDxfId="117">
      <calculatedColumnFormula>IFERROR(X3-Z3,"0")</calculatedColumnFormula>
    </tableColumn>
    <tableColumn id="26" name="Column26" dataDxfId="116">
      <calculatedColumnFormula>IFERROR(X3/I3,"0")</calculatedColumnFormula>
    </tableColumn>
    <tableColumn id="27" name="Column27" dataDxfId="115"/>
    <tableColumn id="28" name="Column28" dataDxfId="114">
      <calculatedColumnFormula>IFERROR(AA3-AC3,"0")</calculatedColumnFormula>
    </tableColumn>
    <tableColumn id="29" name="Column29" dataDxfId="113">
      <calculatedColumnFormula>IFERROR(AA3/I3,"0")</calculatedColumnFormula>
    </tableColumn>
    <tableColumn id="30" name="Column30" dataDxfId="112"/>
    <tableColumn id="31" name="Column31" dataDxfId="111">
      <calculatedColumnFormula>IFERROR(AD3-AF3,"0")</calculatedColumnFormula>
    </tableColumn>
    <tableColumn id="32" name="Column32" dataDxfId="110">
      <calculatedColumnFormula>IFERROR(AD3/I3,"0")</calculatedColumnFormula>
    </tableColumn>
    <tableColumn id="33" name="Column33" dataDxfId="109"/>
    <tableColumn id="34" name="Column34" dataDxfId="108">
      <calculatedColumnFormula>IFERROR(AG3-AI3,"0")</calculatedColumnFormula>
    </tableColumn>
    <tableColumn id="35" name="Column35" dataDxfId="107">
      <calculatedColumnFormula>IFERROR(AG3/I3,"0")</calculatedColumnFormula>
    </tableColumn>
    <tableColumn id="36" name="Column36" dataDxfId="106"/>
    <tableColumn id="37" name="Column37" dataDxfId="105">
      <calculatedColumnFormula>IFERROR(AJ3-AL3,"0")</calculatedColumnFormula>
    </tableColumn>
    <tableColumn id="38" name="Column38" dataDxfId="104">
      <calculatedColumnFormula>IFERROR(AJ3/I3,"0")</calculatedColumnFormula>
    </tableColumn>
    <tableColumn id="39" name="Column39" dataDxfId="103"/>
    <tableColumn id="40" name="Column40" dataDxfId="102">
      <calculatedColumnFormula>IFERROR(AM3-AO3,"0")</calculatedColumnFormula>
    </tableColumn>
    <tableColumn id="41" name="Column41" dataDxfId="101">
      <calculatedColumnFormula>IFERROR(AM3/I3,"0")</calculatedColumnFormula>
    </tableColumn>
    <tableColumn id="42" name="Column42" dataDxfId="100"/>
    <tableColumn id="43" name="Column43" dataDxfId="99">
      <calculatedColumnFormula>IFERROR(AP3-AR3,"0")</calculatedColumnFormula>
    </tableColumn>
    <tableColumn id="44" name="Column44" dataDxfId="98">
      <calculatedColumnFormula>IFERROR(AP3/I3,"0")</calculatedColumnFormula>
    </tableColumn>
    <tableColumn id="45" name="Column45" dataDxfId="97"/>
    <tableColumn id="46" name="Column46" dataDxfId="96">
      <calculatedColumnFormula>IFERROR(AS3-AU3,"0")</calculatedColumnFormula>
    </tableColumn>
    <tableColumn id="47" name="Column47" dataDxfId="95">
      <calculatedColumnFormula>IFERROR(AS3/I3,"0")</calculatedColumnFormula>
    </tableColumn>
    <tableColumn id="48" name="Column48" dataDxfId="94"/>
    <tableColumn id="49" name="Column49" dataDxfId="93">
      <calculatedColumnFormula>IFERROR(AV3-AX3,"0")</calculatedColumnFormula>
    </tableColumn>
    <tableColumn id="50" name="Column50" dataDxfId="92">
      <calculatedColumnFormula>IFERROR(AV3/I3,"0")</calculatedColumnFormula>
    </tableColumn>
    <tableColumn id="51" name="Column51" dataDxfId="91">
      <calculatedColumnFormula>O3+R3+U3+X3+AA3+AD3+AG3+AJ3+AM3+AP3+AS3+AV3</calculatedColumnFormula>
    </tableColumn>
  </tableColumns>
  <tableStyleInfo name="TableStyleMedium27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18:B124" totalsRowShown="0" headerRowDxfId="90" dataDxfId="88" headerRowBorderDxfId="89" tableBorderDxfId="87">
  <autoFilter ref="A118:B124"/>
  <tableColumns count="2">
    <tableColumn id="1" name="No" dataDxfId="86"/>
    <tableColumn id="2" name="Invstor name" dataDxfId="85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7" name="Table68" displayName="Table68" ref="A3:F23" totalsRowShown="0" headerRowDxfId="84" headerRowBorderDxfId="83" tableBorderDxfId="82">
  <autoFilter ref="A3:F23"/>
  <tableColumns count="6">
    <tableColumn id="1" name="Column1" dataDxfId="81"/>
    <tableColumn id="2" name="Column2" dataDxfId="80"/>
    <tableColumn id="3" name="Column3" dataDxfId="79"/>
    <tableColumn id="4" name="Column4" dataDxfId="78"/>
    <tableColumn id="5" name="Column5" dataDxfId="77">
      <calculatedColumnFormula>IF(F4&gt;0,"Dr","Cr")</calculatedColumnFormula>
    </tableColumn>
    <tableColumn id="6" name="Column6" dataDxfId="76">
      <calculatedColumnFormula>(F3+C4)-D4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Table689" displayName="Table689" ref="H3:M36" totalsRowShown="0" headerRowDxfId="75" headerRowBorderDxfId="74" tableBorderDxfId="73">
  <autoFilter ref="H3:M36"/>
  <tableColumns count="6">
    <tableColumn id="1" name="Column1" dataDxfId="72"/>
    <tableColumn id="2" name="Column2" dataDxfId="71"/>
    <tableColumn id="3" name="Column3" dataDxfId="70"/>
    <tableColumn id="4" name="Column4" dataDxfId="69"/>
    <tableColumn id="5" name="Column5" dataDxfId="68">
      <calculatedColumnFormula>IF(M4&gt;0,"Dr","Cr")</calculatedColumnFormula>
    </tableColumn>
    <tableColumn id="6" name="Column6" dataDxfId="67">
      <calculatedColumnFormula>(M3+J4)-K4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6" name="Table6897" displayName="Table6897" ref="O3:T18" totalsRowShown="0" headerRowDxfId="66" headerRowBorderDxfId="65" tableBorderDxfId="64">
  <autoFilter ref="O3:T18"/>
  <tableColumns count="6">
    <tableColumn id="1" name="Column1" dataDxfId="63"/>
    <tableColumn id="2" name="Column2" dataDxfId="62"/>
    <tableColumn id="3" name="Column3" dataDxfId="61"/>
    <tableColumn id="4" name="Column4" dataDxfId="60"/>
    <tableColumn id="5" name="Column5" dataDxfId="59">
      <calculatedColumnFormula>IF(T4&gt;0,"Dr","Cr")</calculatedColumnFormula>
    </tableColumn>
    <tableColumn id="6" name="Column6" dataDxfId="58">
      <calculatedColumnFormula>(T3+Q4)-R4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4"/>
  <sheetViews>
    <sheetView tabSelected="1" workbookViewId="0">
      <pane xSplit="12" ySplit="11" topLeftCell="M252" activePane="bottomRight" state="frozen"/>
      <selection pane="topRight" activeCell="M1" sqref="M1"/>
      <selection pane="bottomLeft" activeCell="A12" sqref="A12"/>
      <selection pane="bottomRight" activeCell="A264" sqref="A264"/>
    </sheetView>
  </sheetViews>
  <sheetFormatPr defaultRowHeight="15"/>
  <cols>
    <col min="1" max="1" width="11.140625" customWidth="1"/>
    <col min="2" max="2" width="18.85546875" bestFit="1" customWidth="1"/>
    <col min="3" max="3" width="20.28515625" customWidth="1"/>
    <col min="4" max="4" width="9.7109375" style="1" customWidth="1"/>
    <col min="5" max="5" width="9" style="1" customWidth="1"/>
    <col min="6" max="6" width="11.140625" customWidth="1"/>
    <col min="7" max="7" width="11.85546875" style="85" customWidth="1"/>
    <col min="8" max="8" width="3.28515625" customWidth="1"/>
    <col min="9" max="9" width="17.85546875" bestFit="1" customWidth="1"/>
    <col min="10" max="11" width="9.140625" hidden="1" customWidth="1"/>
    <col min="13" max="13" width="11.5703125" bestFit="1" customWidth="1"/>
    <col min="15" max="15" width="9.7109375" bestFit="1" customWidth="1"/>
    <col min="17" max="17" width="9.7109375" bestFit="1" customWidth="1"/>
  </cols>
  <sheetData>
    <row r="1" spans="1:17" ht="15" customHeight="1">
      <c r="A1" s="146" t="s">
        <v>215</v>
      </c>
      <c r="B1" s="147"/>
      <c r="C1" s="147"/>
      <c r="D1" s="147"/>
      <c r="E1" s="147"/>
      <c r="F1" s="147"/>
      <c r="G1" s="148"/>
      <c r="I1" s="78"/>
      <c r="J1" s="90"/>
      <c r="K1" s="90"/>
      <c r="L1" s="90"/>
    </row>
    <row r="2" spans="1:17" ht="20.25" customHeight="1">
      <c r="A2" s="149"/>
      <c r="B2" s="150"/>
      <c r="C2" s="150"/>
      <c r="D2" s="150"/>
      <c r="E2" s="150"/>
      <c r="F2" s="150"/>
      <c r="G2" s="151"/>
      <c r="I2" s="91" t="s">
        <v>216</v>
      </c>
      <c r="J2" s="92" t="s">
        <v>217</v>
      </c>
      <c r="K2" s="92" t="s">
        <v>218</v>
      </c>
      <c r="L2" s="92" t="s">
        <v>219</v>
      </c>
      <c r="O2" s="115" t="s">
        <v>311</v>
      </c>
      <c r="P2">
        <v>40000</v>
      </c>
      <c r="Q2" s="116"/>
    </row>
    <row r="3" spans="1:17" ht="15.75" thickBot="1">
      <c r="A3" s="93" t="s">
        <v>0</v>
      </c>
      <c r="B3" s="94" t="s">
        <v>1</v>
      </c>
      <c r="C3" s="94" t="s">
        <v>214</v>
      </c>
      <c r="D3" s="95" t="s">
        <v>2</v>
      </c>
      <c r="E3" s="95" t="s">
        <v>3</v>
      </c>
      <c r="F3" s="96" t="s">
        <v>4</v>
      </c>
      <c r="G3" s="96" t="s">
        <v>5</v>
      </c>
      <c r="I3" s="105" t="s">
        <v>77</v>
      </c>
      <c r="J3">
        <f>SUMIF(Table25[[#All],[Invostor]],I3,Table25[[#All],[DEBIT]])</f>
        <v>1028550</v>
      </c>
      <c r="K3">
        <f>SUMIF(Table25[[#All],[Invostor]],I3,Table25[[#All],[CREDIT]])</f>
        <v>991305</v>
      </c>
      <c r="L3" s="9">
        <f>J3-K3</f>
        <v>37245</v>
      </c>
      <c r="O3" s="116">
        <v>43935</v>
      </c>
      <c r="P3">
        <v>14000</v>
      </c>
    </row>
    <row r="4" spans="1:17">
      <c r="A4" s="67"/>
      <c r="B4" s="68"/>
      <c r="C4" s="68"/>
      <c r="D4" s="86"/>
      <c r="E4" s="86"/>
      <c r="F4" s="69"/>
      <c r="G4" s="70"/>
      <c r="I4" s="80" t="s">
        <v>88</v>
      </c>
      <c r="J4">
        <f>SUMIF(Table25[[#All],[Invostor]],I4,Table25[[#All],[DEBIT]])</f>
        <v>242000</v>
      </c>
      <c r="K4">
        <f>SUMIF(Table25[[#All],[Invostor]],I4,Table25[[#All],[CREDIT]])</f>
        <v>300000</v>
      </c>
      <c r="L4" s="9">
        <f t="shared" ref="L4:L7" si="0">J4-K4</f>
        <v>-58000</v>
      </c>
      <c r="O4" s="116">
        <v>43992</v>
      </c>
      <c r="P4">
        <v>10000</v>
      </c>
    </row>
    <row r="5" spans="1:17">
      <c r="A5" s="71">
        <v>43858</v>
      </c>
      <c r="B5" s="72" t="s">
        <v>229</v>
      </c>
      <c r="C5" s="77" t="s">
        <v>77</v>
      </c>
      <c r="D5" s="87">
        <v>16960</v>
      </c>
      <c r="E5" s="87"/>
      <c r="F5" s="83" t="str">
        <f>IF(G5&gt;0,"Dr","Cr")</f>
        <v>Dr</v>
      </c>
      <c r="G5" s="73">
        <f>(G4+D5)-E5</f>
        <v>16960</v>
      </c>
      <c r="I5" s="81" t="s">
        <v>89</v>
      </c>
      <c r="J5">
        <f>SUMIF(Table25[[#All],[Invostor]],I5,Table25[[#All],[DEBIT]])</f>
        <v>841290</v>
      </c>
      <c r="K5">
        <f>SUMIF(Table25[[#All],[Invostor]],I5,Table25[[#All],[CREDIT]])</f>
        <v>818022</v>
      </c>
      <c r="L5" s="9">
        <f t="shared" si="0"/>
        <v>23268</v>
      </c>
      <c r="O5" s="116">
        <v>44004</v>
      </c>
      <c r="P5">
        <v>16000</v>
      </c>
    </row>
    <row r="6" spans="1:17">
      <c r="A6" s="74">
        <v>43858</v>
      </c>
      <c r="B6" s="75" t="s">
        <v>230</v>
      </c>
      <c r="C6" s="98" t="s">
        <v>77</v>
      </c>
      <c r="D6" s="88">
        <v>2000</v>
      </c>
      <c r="E6" s="88"/>
      <c r="F6" s="84" t="str">
        <f t="shared" ref="F6" si="1">IF(G6&gt;0,"Dr","Cr")</f>
        <v>Dr</v>
      </c>
      <c r="G6" s="76">
        <f t="shared" ref="G6:G7" si="2">(G5+D6)-E6</f>
        <v>18960</v>
      </c>
      <c r="I6" s="82" t="s">
        <v>91</v>
      </c>
      <c r="J6">
        <f>SUMIF(Table25[[#All],[Invostor]],I6,Table25[[#All],[DEBIT]])</f>
        <v>181865</v>
      </c>
      <c r="K6">
        <f>SUMIF(Table25[[#All],[Invostor]],I6,Table25[[#All],[CREDIT]])</f>
        <v>181866</v>
      </c>
      <c r="L6" s="9">
        <f t="shared" si="0"/>
        <v>-1</v>
      </c>
    </row>
    <row r="7" spans="1:17">
      <c r="A7" s="97">
        <v>43858</v>
      </c>
      <c r="B7" s="72" t="s">
        <v>226</v>
      </c>
      <c r="C7" s="98" t="s">
        <v>77</v>
      </c>
      <c r="D7" s="87"/>
      <c r="E7" s="83">
        <v>1000</v>
      </c>
      <c r="F7" s="83" t="str">
        <f t="shared" ref="F7:F13" si="3">IF(G7&gt;0,"Dr","Cr")</f>
        <v>Dr</v>
      </c>
      <c r="G7" s="73">
        <f t="shared" si="2"/>
        <v>17960</v>
      </c>
      <c r="I7" s="79" t="s">
        <v>331</v>
      </c>
      <c r="J7">
        <f>SUMIF(Table25[[#All],[Invostor]],I7,Table25[[#All],[DEBIT]])</f>
        <v>256700</v>
      </c>
      <c r="K7">
        <f>SUMIF(Table25[[#All],[Invostor]],I7,Table25[[#All],[CREDIT]])</f>
        <v>236922</v>
      </c>
      <c r="L7" s="9">
        <f t="shared" si="0"/>
        <v>19778</v>
      </c>
    </row>
    <row r="8" spans="1:17">
      <c r="A8" s="42">
        <v>43858</v>
      </c>
      <c r="B8" s="9" t="s">
        <v>200</v>
      </c>
      <c r="C8" s="98" t="s">
        <v>88</v>
      </c>
      <c r="D8" s="8">
        <v>-2500</v>
      </c>
      <c r="E8" s="8"/>
      <c r="F8" s="9" t="str">
        <f t="shared" si="3"/>
        <v>Dr</v>
      </c>
      <c r="G8" s="99">
        <f t="shared" ref="G8:G13" si="4">(G7+D8)-E8</f>
        <v>15460</v>
      </c>
      <c r="I8" s="79" t="s">
        <v>352</v>
      </c>
      <c r="J8">
        <f>SUMIF(Table25[[#All],[Invostor]],I8,Table25[[#All],[DEBIT]])</f>
        <v>938500</v>
      </c>
      <c r="K8">
        <f>SUMIF(Table25[[#All],[Invostor]],I8,Table25[[#All],[CREDIT]])</f>
        <v>556800</v>
      </c>
      <c r="L8" s="9">
        <f>J8-K8</f>
        <v>381700</v>
      </c>
    </row>
    <row r="9" spans="1:17">
      <c r="A9" s="42">
        <v>43858</v>
      </c>
      <c r="B9" s="9" t="s">
        <v>208</v>
      </c>
      <c r="C9" s="98" t="s">
        <v>88</v>
      </c>
      <c r="D9" s="8">
        <v>2500</v>
      </c>
      <c r="E9" s="8"/>
      <c r="F9" s="9" t="str">
        <f t="shared" si="3"/>
        <v>Dr</v>
      </c>
      <c r="G9" s="99">
        <f t="shared" si="4"/>
        <v>17960</v>
      </c>
      <c r="I9" s="114" t="s">
        <v>291</v>
      </c>
      <c r="L9">
        <v>50000</v>
      </c>
      <c r="M9" t="s">
        <v>313</v>
      </c>
      <c r="N9">
        <v>8000</v>
      </c>
    </row>
    <row r="10" spans="1:17">
      <c r="A10" s="102">
        <v>43858</v>
      </c>
      <c r="B10" s="79" t="s">
        <v>200</v>
      </c>
      <c r="C10" s="100" t="s">
        <v>89</v>
      </c>
      <c r="D10" s="89">
        <v>114400</v>
      </c>
      <c r="E10" s="89"/>
      <c r="F10" s="79" t="str">
        <f t="shared" si="3"/>
        <v>Dr</v>
      </c>
      <c r="G10" s="101">
        <f t="shared" si="4"/>
        <v>132360</v>
      </c>
      <c r="N10">
        <v>50000</v>
      </c>
    </row>
    <row r="11" spans="1:17">
      <c r="A11" s="102">
        <v>43859</v>
      </c>
      <c r="B11" s="79" t="s">
        <v>233</v>
      </c>
      <c r="C11" s="100" t="s">
        <v>89</v>
      </c>
      <c r="D11" s="89"/>
      <c r="E11" s="89">
        <v>33000</v>
      </c>
      <c r="F11" s="79" t="str">
        <f t="shared" si="3"/>
        <v>Dr</v>
      </c>
      <c r="G11" s="101">
        <f t="shared" si="4"/>
        <v>99360</v>
      </c>
    </row>
    <row r="12" spans="1:17">
      <c r="A12" s="102">
        <v>43859</v>
      </c>
      <c r="B12" s="79" t="s">
        <v>239</v>
      </c>
      <c r="C12" s="100" t="s">
        <v>89</v>
      </c>
      <c r="D12" s="89"/>
      <c r="E12" s="89">
        <v>44500</v>
      </c>
      <c r="F12" s="79" t="str">
        <f t="shared" si="3"/>
        <v>Dr</v>
      </c>
      <c r="G12" s="101">
        <f t="shared" si="4"/>
        <v>54860</v>
      </c>
    </row>
    <row r="13" spans="1:17">
      <c r="A13" s="102">
        <v>43861</v>
      </c>
      <c r="B13" s="79" t="s">
        <v>16</v>
      </c>
      <c r="C13" s="100" t="s">
        <v>91</v>
      </c>
      <c r="D13" s="89">
        <v>900</v>
      </c>
      <c r="E13" s="89"/>
      <c r="F13" s="79" t="str">
        <f t="shared" si="3"/>
        <v>Dr</v>
      </c>
      <c r="G13" s="101">
        <f t="shared" si="4"/>
        <v>55760</v>
      </c>
    </row>
    <row r="14" spans="1:17">
      <c r="A14" s="102">
        <v>43861</v>
      </c>
      <c r="B14" s="79" t="s">
        <v>16</v>
      </c>
      <c r="C14" s="100" t="s">
        <v>77</v>
      </c>
      <c r="D14" s="89"/>
      <c r="E14" s="89">
        <v>900</v>
      </c>
      <c r="F14" s="79" t="str">
        <f t="shared" ref="F14:F19" si="5">IF(G14&gt;0,"Dr","Cr")</f>
        <v>Dr</v>
      </c>
      <c r="G14" s="101">
        <f t="shared" ref="G14:G19" si="6">(G13+D14)-E14</f>
        <v>54860</v>
      </c>
    </row>
    <row r="15" spans="1:17">
      <c r="A15" s="103">
        <v>43861</v>
      </c>
      <c r="B15" s="79" t="s">
        <v>239</v>
      </c>
      <c r="C15" s="100" t="s">
        <v>77</v>
      </c>
      <c r="D15" s="89"/>
      <c r="E15" s="89">
        <v>16500</v>
      </c>
      <c r="F15" s="79" t="str">
        <f t="shared" si="5"/>
        <v>Dr</v>
      </c>
      <c r="G15" s="101">
        <f t="shared" si="6"/>
        <v>38360</v>
      </c>
    </row>
    <row r="16" spans="1:17">
      <c r="A16" s="102">
        <v>43864</v>
      </c>
      <c r="B16" s="79" t="s">
        <v>244</v>
      </c>
      <c r="C16" s="100" t="s">
        <v>89</v>
      </c>
      <c r="D16" s="89"/>
      <c r="E16" s="89">
        <v>18000</v>
      </c>
      <c r="F16" s="79" t="str">
        <f t="shared" si="5"/>
        <v>Dr</v>
      </c>
      <c r="G16" s="101">
        <f t="shared" si="6"/>
        <v>20360</v>
      </c>
    </row>
    <row r="17" spans="1:7">
      <c r="A17" s="102">
        <v>43864</v>
      </c>
      <c r="B17" s="79" t="s">
        <v>245</v>
      </c>
      <c r="C17" s="100" t="s">
        <v>88</v>
      </c>
      <c r="D17" s="89">
        <v>2000</v>
      </c>
      <c r="E17" s="89"/>
      <c r="F17" s="79" t="str">
        <f t="shared" si="5"/>
        <v>Dr</v>
      </c>
      <c r="G17" s="101">
        <f t="shared" si="6"/>
        <v>22360</v>
      </c>
    </row>
    <row r="18" spans="1:7">
      <c r="A18" s="102">
        <v>43864</v>
      </c>
      <c r="B18" s="79" t="s">
        <v>254</v>
      </c>
      <c r="C18" s="100" t="s">
        <v>89</v>
      </c>
      <c r="D18" s="89"/>
      <c r="E18" s="89">
        <v>22100</v>
      </c>
      <c r="F18" s="79" t="str">
        <f t="shared" si="5"/>
        <v>Dr</v>
      </c>
      <c r="G18" s="101">
        <f t="shared" si="6"/>
        <v>260</v>
      </c>
    </row>
    <row r="19" spans="1:7">
      <c r="A19" s="102">
        <v>43864</v>
      </c>
      <c r="B19" s="79" t="s">
        <v>255</v>
      </c>
      <c r="C19" s="100" t="s">
        <v>77</v>
      </c>
      <c r="D19" s="89">
        <v>10000</v>
      </c>
      <c r="E19" s="89"/>
      <c r="F19" s="79" t="str">
        <f t="shared" si="5"/>
        <v>Dr</v>
      </c>
      <c r="G19" s="101">
        <f t="shared" si="6"/>
        <v>10260</v>
      </c>
    </row>
    <row r="20" spans="1:7">
      <c r="A20" s="102">
        <v>43865</v>
      </c>
      <c r="B20" s="79" t="s">
        <v>255</v>
      </c>
      <c r="C20" s="100" t="s">
        <v>77</v>
      </c>
      <c r="D20" s="89">
        <v>2000</v>
      </c>
      <c r="E20" s="89"/>
      <c r="F20" s="79" t="str">
        <f t="shared" ref="F20:F29" si="7">IF(G20&gt;0,"Dr","Cr")</f>
        <v>Dr</v>
      </c>
      <c r="G20" s="101">
        <f t="shared" ref="G20:G29" si="8">(G19+D20)-E20</f>
        <v>12260</v>
      </c>
    </row>
    <row r="21" spans="1:7">
      <c r="A21" s="102">
        <v>43865</v>
      </c>
      <c r="B21" s="79" t="s">
        <v>255</v>
      </c>
      <c r="C21" s="100" t="s">
        <v>88</v>
      </c>
      <c r="D21" s="89">
        <v>6500</v>
      </c>
      <c r="E21" s="89"/>
      <c r="F21" s="79" t="str">
        <f t="shared" si="7"/>
        <v>Dr</v>
      </c>
      <c r="G21" s="101">
        <f t="shared" si="8"/>
        <v>18760</v>
      </c>
    </row>
    <row r="22" spans="1:7">
      <c r="A22" s="102">
        <v>43865</v>
      </c>
      <c r="B22" s="79" t="s">
        <v>255</v>
      </c>
      <c r="C22" s="100" t="s">
        <v>89</v>
      </c>
      <c r="D22" s="89">
        <v>3500</v>
      </c>
      <c r="E22" s="89"/>
      <c r="F22" s="79" t="str">
        <f t="shared" si="7"/>
        <v>Dr</v>
      </c>
      <c r="G22" s="101">
        <f t="shared" si="8"/>
        <v>22260</v>
      </c>
    </row>
    <row r="23" spans="1:7">
      <c r="A23" s="102">
        <v>43865</v>
      </c>
      <c r="B23" s="79" t="s">
        <v>258</v>
      </c>
      <c r="C23" s="100" t="s">
        <v>77</v>
      </c>
      <c r="D23" s="89"/>
      <c r="E23" s="89">
        <v>17000</v>
      </c>
      <c r="F23" s="79" t="str">
        <f t="shared" si="7"/>
        <v>Dr</v>
      </c>
      <c r="G23" s="101">
        <f t="shared" si="8"/>
        <v>5260</v>
      </c>
    </row>
    <row r="24" spans="1:7">
      <c r="A24" s="102">
        <v>43865</v>
      </c>
      <c r="B24" s="79" t="s">
        <v>255</v>
      </c>
      <c r="C24" s="100" t="s">
        <v>77</v>
      </c>
      <c r="D24" s="89">
        <v>6000</v>
      </c>
      <c r="E24" s="89"/>
      <c r="F24" s="79" t="str">
        <f t="shared" si="7"/>
        <v>Dr</v>
      </c>
      <c r="G24" s="101">
        <f t="shared" si="8"/>
        <v>11260</v>
      </c>
    </row>
    <row r="25" spans="1:7">
      <c r="A25" s="102">
        <v>43865</v>
      </c>
      <c r="B25" s="79" t="s">
        <v>255</v>
      </c>
      <c r="C25" s="100" t="s">
        <v>89</v>
      </c>
      <c r="D25" s="89">
        <v>4000</v>
      </c>
      <c r="E25" s="89"/>
      <c r="F25" s="79" t="str">
        <f t="shared" si="7"/>
        <v>Dr</v>
      </c>
      <c r="G25" s="101">
        <f t="shared" si="8"/>
        <v>15260</v>
      </c>
    </row>
    <row r="26" spans="1:7">
      <c r="A26" s="102">
        <v>43865</v>
      </c>
      <c r="B26" s="79" t="s">
        <v>259</v>
      </c>
      <c r="C26" s="100" t="s">
        <v>77</v>
      </c>
      <c r="D26" s="89"/>
      <c r="E26" s="89">
        <v>15000</v>
      </c>
      <c r="F26" s="79" t="str">
        <f t="shared" si="7"/>
        <v>Dr</v>
      </c>
      <c r="G26" s="101">
        <f t="shared" si="8"/>
        <v>260</v>
      </c>
    </row>
    <row r="27" spans="1:7">
      <c r="A27" s="102">
        <v>43865</v>
      </c>
      <c r="B27" s="79" t="s">
        <v>259</v>
      </c>
      <c r="C27" s="100" t="s">
        <v>77</v>
      </c>
      <c r="D27" s="89"/>
      <c r="E27" s="89">
        <v>5487</v>
      </c>
      <c r="F27" s="79" t="str">
        <f t="shared" si="7"/>
        <v>Cr</v>
      </c>
      <c r="G27" s="101">
        <f t="shared" si="8"/>
        <v>-5227</v>
      </c>
    </row>
    <row r="28" spans="1:7">
      <c r="A28" s="102">
        <v>43865</v>
      </c>
      <c r="B28" s="79" t="s">
        <v>261</v>
      </c>
      <c r="C28" s="100" t="s">
        <v>91</v>
      </c>
      <c r="D28" s="89">
        <v>5487</v>
      </c>
      <c r="E28" s="89"/>
      <c r="F28" s="79" t="str">
        <f t="shared" si="7"/>
        <v>Dr</v>
      </c>
      <c r="G28" s="101">
        <f t="shared" si="8"/>
        <v>260</v>
      </c>
    </row>
    <row r="29" spans="1:7">
      <c r="A29" s="102">
        <v>43865</v>
      </c>
      <c r="B29" s="79" t="s">
        <v>262</v>
      </c>
      <c r="C29" s="100" t="s">
        <v>77</v>
      </c>
      <c r="D29" s="89">
        <v>2000</v>
      </c>
      <c r="E29" s="89"/>
      <c r="F29" s="79" t="str">
        <f t="shared" si="7"/>
        <v>Dr</v>
      </c>
      <c r="G29" s="101">
        <f t="shared" si="8"/>
        <v>2260</v>
      </c>
    </row>
    <row r="30" spans="1:7">
      <c r="A30" s="102">
        <v>43867</v>
      </c>
      <c r="B30" s="79" t="s">
        <v>255</v>
      </c>
      <c r="C30" s="100" t="s">
        <v>77</v>
      </c>
      <c r="D30" s="89">
        <v>26000</v>
      </c>
      <c r="E30" s="89"/>
      <c r="F30" s="79" t="str">
        <f t="shared" ref="F30:F36" si="9">IF(G30&gt;0,"Dr","Cr")</f>
        <v>Dr</v>
      </c>
      <c r="G30" s="101">
        <f t="shared" ref="G30:G36" si="10">(G29+D30)-E30</f>
        <v>28260</v>
      </c>
    </row>
    <row r="31" spans="1:7">
      <c r="A31" s="102">
        <v>43867</v>
      </c>
      <c r="B31" s="79" t="s">
        <v>255</v>
      </c>
      <c r="C31" s="100" t="s">
        <v>89</v>
      </c>
      <c r="D31" s="89">
        <v>5000</v>
      </c>
      <c r="E31" s="89"/>
      <c r="F31" s="79" t="str">
        <f t="shared" si="9"/>
        <v>Dr</v>
      </c>
      <c r="G31" s="101">
        <f t="shared" si="10"/>
        <v>33260</v>
      </c>
    </row>
    <row r="32" spans="1:7">
      <c r="A32" s="102">
        <v>43867</v>
      </c>
      <c r="B32" s="79" t="s">
        <v>263</v>
      </c>
      <c r="C32" s="100" t="s">
        <v>89</v>
      </c>
      <c r="D32" s="89">
        <v>100000</v>
      </c>
      <c r="E32" s="89"/>
      <c r="F32" s="79" t="str">
        <f t="shared" si="9"/>
        <v>Dr</v>
      </c>
      <c r="G32" s="101">
        <f t="shared" si="10"/>
        <v>133260</v>
      </c>
    </row>
    <row r="33" spans="1:7">
      <c r="A33" s="102">
        <v>43867</v>
      </c>
      <c r="B33" s="79" t="s">
        <v>255</v>
      </c>
      <c r="C33" s="100" t="s">
        <v>77</v>
      </c>
      <c r="D33" s="89">
        <v>8500</v>
      </c>
      <c r="E33" s="89"/>
      <c r="F33" s="79" t="str">
        <f t="shared" si="9"/>
        <v>Dr</v>
      </c>
      <c r="G33" s="101">
        <f t="shared" si="10"/>
        <v>141760</v>
      </c>
    </row>
    <row r="34" spans="1:7">
      <c r="A34" s="102">
        <v>43869</v>
      </c>
      <c r="B34" s="79" t="s">
        <v>255</v>
      </c>
      <c r="C34" s="100" t="s">
        <v>77</v>
      </c>
      <c r="D34" s="89">
        <v>25000</v>
      </c>
      <c r="E34" s="89"/>
      <c r="F34" s="79" t="str">
        <f t="shared" si="9"/>
        <v>Dr</v>
      </c>
      <c r="G34" s="101">
        <f t="shared" si="10"/>
        <v>166760</v>
      </c>
    </row>
    <row r="35" spans="1:7">
      <c r="A35" s="102">
        <v>43869</v>
      </c>
      <c r="B35" s="79" t="s">
        <v>261</v>
      </c>
      <c r="C35" s="100" t="s">
        <v>77</v>
      </c>
      <c r="D35" s="89"/>
      <c r="E35" s="89">
        <v>20260</v>
      </c>
      <c r="F35" s="79" t="str">
        <f t="shared" si="9"/>
        <v>Dr</v>
      </c>
      <c r="G35" s="101">
        <f t="shared" si="10"/>
        <v>146500</v>
      </c>
    </row>
    <row r="36" spans="1:7">
      <c r="A36" s="102">
        <v>43869</v>
      </c>
      <c r="B36" s="79" t="s">
        <v>264</v>
      </c>
      <c r="C36" s="100" t="s">
        <v>89</v>
      </c>
      <c r="D36" s="89"/>
      <c r="E36" s="89">
        <v>18000</v>
      </c>
      <c r="F36" s="79" t="str">
        <f t="shared" si="9"/>
        <v>Dr</v>
      </c>
      <c r="G36" s="101">
        <f t="shared" si="10"/>
        <v>128500</v>
      </c>
    </row>
    <row r="37" spans="1:7">
      <c r="A37" s="102">
        <v>43872</v>
      </c>
      <c r="B37" s="79" t="s">
        <v>255</v>
      </c>
      <c r="C37" s="100" t="s">
        <v>89</v>
      </c>
      <c r="D37" s="89">
        <v>7500</v>
      </c>
      <c r="E37" s="89"/>
      <c r="F37" s="79" t="str">
        <f t="shared" ref="F37:F42" si="11">IF(G37&gt;0,"Dr","Cr")</f>
        <v>Dr</v>
      </c>
      <c r="G37" s="101">
        <f t="shared" ref="G37:G42" si="12">(G36+D37)-E37</f>
        <v>136000</v>
      </c>
    </row>
    <row r="38" spans="1:7">
      <c r="A38" s="102">
        <v>43872</v>
      </c>
      <c r="B38" s="79" t="s">
        <v>263</v>
      </c>
      <c r="C38" s="100" t="s">
        <v>89</v>
      </c>
      <c r="D38" s="89">
        <v>100000</v>
      </c>
      <c r="E38" s="89"/>
      <c r="F38" s="79" t="str">
        <f t="shared" si="11"/>
        <v>Dr</v>
      </c>
      <c r="G38" s="101">
        <f t="shared" si="12"/>
        <v>236000</v>
      </c>
    </row>
    <row r="39" spans="1:7">
      <c r="A39" s="102">
        <v>43872</v>
      </c>
      <c r="B39" s="79" t="s">
        <v>255</v>
      </c>
      <c r="C39" s="100" t="s">
        <v>77</v>
      </c>
      <c r="D39" s="89">
        <v>5000</v>
      </c>
      <c r="E39" s="89"/>
      <c r="F39" s="79" t="str">
        <f t="shared" si="11"/>
        <v>Dr</v>
      </c>
      <c r="G39" s="101">
        <f t="shared" si="12"/>
        <v>241000</v>
      </c>
    </row>
    <row r="40" spans="1:7">
      <c r="A40" s="102">
        <v>43872</v>
      </c>
      <c r="B40" s="79" t="s">
        <v>255</v>
      </c>
      <c r="C40" s="100" t="s">
        <v>89</v>
      </c>
      <c r="D40" s="89">
        <v>3000</v>
      </c>
      <c r="E40" s="89"/>
      <c r="F40" s="79" t="str">
        <f t="shared" si="11"/>
        <v>Dr</v>
      </c>
      <c r="G40" s="101">
        <f t="shared" si="12"/>
        <v>244000</v>
      </c>
    </row>
    <row r="41" spans="1:7">
      <c r="A41" s="102">
        <v>43872</v>
      </c>
      <c r="B41" s="79" t="s">
        <v>196</v>
      </c>
      <c r="C41" s="100" t="s">
        <v>89</v>
      </c>
      <c r="D41" s="89"/>
      <c r="E41" s="89">
        <v>36000</v>
      </c>
      <c r="F41" s="79" t="str">
        <f t="shared" si="11"/>
        <v>Dr</v>
      </c>
      <c r="G41" s="101">
        <f t="shared" si="12"/>
        <v>208000</v>
      </c>
    </row>
    <row r="42" spans="1:7">
      <c r="A42" s="102">
        <v>43872</v>
      </c>
      <c r="B42" s="79" t="s">
        <v>255</v>
      </c>
      <c r="C42" s="100" t="s">
        <v>88</v>
      </c>
      <c r="D42" s="89">
        <v>11000</v>
      </c>
      <c r="E42" s="89"/>
      <c r="F42" s="79" t="str">
        <f t="shared" si="11"/>
        <v>Dr</v>
      </c>
      <c r="G42" s="101">
        <f t="shared" si="12"/>
        <v>219000</v>
      </c>
    </row>
    <row r="43" spans="1:7">
      <c r="A43" s="102">
        <v>43873</v>
      </c>
      <c r="B43" s="79" t="s">
        <v>268</v>
      </c>
      <c r="C43" s="100" t="s">
        <v>89</v>
      </c>
      <c r="D43" s="89"/>
      <c r="E43" s="89">
        <v>132180</v>
      </c>
      <c r="F43" s="79" t="str">
        <f t="shared" ref="F43:F49" si="13">IF(G43&gt;0,"Dr","Cr")</f>
        <v>Dr</v>
      </c>
      <c r="G43" s="101">
        <f t="shared" ref="G43:G49" si="14">(G42+D43)-E43</f>
        <v>86820</v>
      </c>
    </row>
    <row r="44" spans="1:7">
      <c r="A44" s="102">
        <v>43873</v>
      </c>
      <c r="B44" s="79" t="s">
        <v>269</v>
      </c>
      <c r="C44" s="100" t="s">
        <v>88</v>
      </c>
      <c r="D44" s="89">
        <v>132180</v>
      </c>
      <c r="E44" s="89"/>
      <c r="F44" s="79" t="str">
        <f t="shared" si="13"/>
        <v>Dr</v>
      </c>
      <c r="G44" s="101">
        <f t="shared" si="14"/>
        <v>219000</v>
      </c>
    </row>
    <row r="45" spans="1:7">
      <c r="A45" s="102">
        <v>43873</v>
      </c>
      <c r="B45" s="79" t="s">
        <v>259</v>
      </c>
      <c r="C45" s="100" t="s">
        <v>88</v>
      </c>
      <c r="D45" s="89">
        <v>6387</v>
      </c>
      <c r="E45" s="89"/>
      <c r="F45" s="79" t="str">
        <f t="shared" si="13"/>
        <v>Dr</v>
      </c>
      <c r="G45" s="101">
        <f t="shared" si="14"/>
        <v>225387</v>
      </c>
    </row>
    <row r="46" spans="1:7">
      <c r="A46" s="102">
        <v>43873</v>
      </c>
      <c r="B46" s="79" t="s">
        <v>270</v>
      </c>
      <c r="C46" s="100" t="s">
        <v>91</v>
      </c>
      <c r="D46" s="89"/>
      <c r="E46" s="89">
        <v>6387</v>
      </c>
      <c r="F46" s="79" t="str">
        <f t="shared" si="13"/>
        <v>Dr</v>
      </c>
      <c r="G46" s="101">
        <f t="shared" si="14"/>
        <v>219000</v>
      </c>
    </row>
    <row r="47" spans="1:7">
      <c r="A47" s="102">
        <v>43874</v>
      </c>
      <c r="B47" s="79" t="s">
        <v>182</v>
      </c>
      <c r="C47" s="100" t="s">
        <v>88</v>
      </c>
      <c r="D47" s="89"/>
      <c r="E47" s="89">
        <v>206000</v>
      </c>
      <c r="F47" s="79" t="str">
        <f t="shared" si="13"/>
        <v>Dr</v>
      </c>
      <c r="G47" s="101">
        <f t="shared" si="14"/>
        <v>13000</v>
      </c>
    </row>
    <row r="48" spans="1:7">
      <c r="A48" s="102">
        <v>43874</v>
      </c>
      <c r="B48" s="79" t="s">
        <v>255</v>
      </c>
      <c r="C48" s="100" t="s">
        <v>77</v>
      </c>
      <c r="D48" s="89">
        <v>12500</v>
      </c>
      <c r="E48" s="89"/>
      <c r="F48" s="79" t="str">
        <f t="shared" si="13"/>
        <v>Dr</v>
      </c>
      <c r="G48" s="101">
        <f t="shared" si="14"/>
        <v>25500</v>
      </c>
    </row>
    <row r="49" spans="1:7">
      <c r="A49" s="102">
        <v>43874</v>
      </c>
      <c r="B49" s="79" t="s">
        <v>272</v>
      </c>
      <c r="C49" s="100" t="s">
        <v>88</v>
      </c>
      <c r="D49" s="89"/>
      <c r="E49" s="89">
        <v>17000</v>
      </c>
      <c r="F49" s="79" t="str">
        <f t="shared" si="13"/>
        <v>Dr</v>
      </c>
      <c r="G49" s="101">
        <f t="shared" si="14"/>
        <v>8500</v>
      </c>
    </row>
    <row r="50" spans="1:7">
      <c r="A50" s="102">
        <v>43875</v>
      </c>
      <c r="B50" s="79" t="s">
        <v>255</v>
      </c>
      <c r="C50" s="100" t="s">
        <v>77</v>
      </c>
      <c r="D50" s="89">
        <v>31000</v>
      </c>
      <c r="E50" s="89"/>
      <c r="F50" s="79" t="str">
        <f t="shared" ref="F50:F55" si="15">IF(G50&gt;0,"Dr","Cr")</f>
        <v>Dr</v>
      </c>
      <c r="G50" s="101">
        <f t="shared" ref="G50:G55" si="16">(G49+D50)-E50</f>
        <v>39500</v>
      </c>
    </row>
    <row r="51" spans="1:7">
      <c r="A51" s="102">
        <v>43875</v>
      </c>
      <c r="B51" s="79" t="s">
        <v>196</v>
      </c>
      <c r="C51" s="100" t="s">
        <v>77</v>
      </c>
      <c r="D51" s="89"/>
      <c r="E51" s="89">
        <v>36500</v>
      </c>
      <c r="F51" s="79" t="str">
        <f t="shared" si="15"/>
        <v>Dr</v>
      </c>
      <c r="G51" s="101">
        <f t="shared" si="16"/>
        <v>3000</v>
      </c>
    </row>
    <row r="52" spans="1:7">
      <c r="A52" s="102">
        <v>43881</v>
      </c>
      <c r="B52" s="79" t="s">
        <v>255</v>
      </c>
      <c r="C52" s="100" t="s">
        <v>77</v>
      </c>
      <c r="D52" s="89">
        <v>10000</v>
      </c>
      <c r="E52" s="89"/>
      <c r="F52" s="79" t="str">
        <f t="shared" si="15"/>
        <v>Dr</v>
      </c>
      <c r="G52" s="101">
        <f t="shared" si="16"/>
        <v>13000</v>
      </c>
    </row>
    <row r="53" spans="1:7">
      <c r="A53" s="102">
        <v>43881</v>
      </c>
      <c r="B53" s="79" t="s">
        <v>255</v>
      </c>
      <c r="C53" s="100" t="s">
        <v>89</v>
      </c>
      <c r="D53" s="89">
        <v>10000</v>
      </c>
      <c r="E53" s="89"/>
      <c r="F53" s="79" t="str">
        <f t="shared" si="15"/>
        <v>Dr</v>
      </c>
      <c r="G53" s="101">
        <f t="shared" si="16"/>
        <v>23000</v>
      </c>
    </row>
    <row r="54" spans="1:7">
      <c r="A54" s="102">
        <v>43882</v>
      </c>
      <c r="B54" s="79" t="s">
        <v>196</v>
      </c>
      <c r="C54" s="100" t="s">
        <v>77</v>
      </c>
      <c r="D54" s="89"/>
      <c r="E54" s="89">
        <v>20200</v>
      </c>
      <c r="F54" s="79" t="str">
        <f t="shared" si="15"/>
        <v>Dr</v>
      </c>
      <c r="G54" s="101">
        <f t="shared" si="16"/>
        <v>2800</v>
      </c>
    </row>
    <row r="55" spans="1:7">
      <c r="A55" s="102">
        <v>43886</v>
      </c>
      <c r="B55" s="79" t="s">
        <v>255</v>
      </c>
      <c r="C55" s="113" t="s">
        <v>77</v>
      </c>
      <c r="D55" s="89">
        <v>2500</v>
      </c>
      <c r="E55" s="89"/>
      <c r="F55" s="79" t="str">
        <f t="shared" si="15"/>
        <v>Dr</v>
      </c>
      <c r="G55" s="101">
        <f t="shared" si="16"/>
        <v>5300</v>
      </c>
    </row>
    <row r="56" spans="1:7">
      <c r="A56" s="102">
        <v>43888</v>
      </c>
      <c r="B56" s="79" t="s">
        <v>240</v>
      </c>
      <c r="C56" s="100" t="s">
        <v>91</v>
      </c>
      <c r="D56" s="89">
        <v>25000</v>
      </c>
      <c r="E56" s="89"/>
      <c r="F56" s="79" t="str">
        <f t="shared" ref="F56:F65" si="17">IF(G56&gt;0,"Dr","Cr")</f>
        <v>Dr</v>
      </c>
      <c r="G56" s="101">
        <f t="shared" ref="G56:G65" si="18">(G55+D56)-E56</f>
        <v>30300</v>
      </c>
    </row>
    <row r="57" spans="1:7">
      <c r="A57" s="102">
        <v>43888</v>
      </c>
      <c r="B57" s="79" t="s">
        <v>196</v>
      </c>
      <c r="C57" s="100" t="s">
        <v>89</v>
      </c>
      <c r="D57" s="89"/>
      <c r="E57" s="89">
        <v>30000</v>
      </c>
      <c r="F57" s="79" t="str">
        <f t="shared" si="17"/>
        <v>Dr</v>
      </c>
      <c r="G57" s="101">
        <f t="shared" si="18"/>
        <v>300</v>
      </c>
    </row>
    <row r="58" spans="1:7">
      <c r="A58" s="102">
        <v>43889</v>
      </c>
      <c r="B58" s="79" t="s">
        <v>255</v>
      </c>
      <c r="C58" s="100" t="s">
        <v>89</v>
      </c>
      <c r="D58" s="89">
        <v>4500</v>
      </c>
      <c r="E58" s="89"/>
      <c r="F58" s="79" t="str">
        <f t="shared" si="17"/>
        <v>Dr</v>
      </c>
      <c r="G58" s="101">
        <f t="shared" si="18"/>
        <v>4800</v>
      </c>
    </row>
    <row r="59" spans="1:7">
      <c r="A59" s="102">
        <v>43890</v>
      </c>
      <c r="B59" s="79" t="s">
        <v>259</v>
      </c>
      <c r="C59" s="100" t="s">
        <v>77</v>
      </c>
      <c r="D59" s="89"/>
      <c r="E59" s="89">
        <v>17329</v>
      </c>
      <c r="F59" s="79" t="str">
        <f t="shared" si="17"/>
        <v>Cr</v>
      </c>
      <c r="G59" s="101">
        <f t="shared" si="18"/>
        <v>-12529</v>
      </c>
    </row>
    <row r="60" spans="1:7">
      <c r="A60" s="102">
        <v>43890</v>
      </c>
      <c r="B60" s="79" t="s">
        <v>261</v>
      </c>
      <c r="C60" s="100" t="s">
        <v>91</v>
      </c>
      <c r="D60" s="89">
        <v>17329</v>
      </c>
      <c r="E60" s="89"/>
      <c r="F60" s="79" t="str">
        <f t="shared" si="17"/>
        <v>Dr</v>
      </c>
      <c r="G60" s="101">
        <f t="shared" si="18"/>
        <v>4800</v>
      </c>
    </row>
    <row r="61" spans="1:7">
      <c r="A61" s="102">
        <v>43890</v>
      </c>
      <c r="B61" s="79" t="s">
        <v>259</v>
      </c>
      <c r="C61" s="100" t="s">
        <v>89</v>
      </c>
      <c r="D61" s="89"/>
      <c r="E61" s="89">
        <v>10760</v>
      </c>
      <c r="F61" s="79" t="str">
        <f t="shared" si="17"/>
        <v>Cr</v>
      </c>
      <c r="G61" s="101">
        <f t="shared" si="18"/>
        <v>-5960</v>
      </c>
    </row>
    <row r="62" spans="1:7">
      <c r="A62" s="102">
        <v>43890</v>
      </c>
      <c r="B62" s="79" t="s">
        <v>249</v>
      </c>
      <c r="C62" s="100" t="s">
        <v>91</v>
      </c>
      <c r="D62" s="89">
        <v>10760</v>
      </c>
      <c r="E62" s="89"/>
      <c r="F62" s="79" t="str">
        <f t="shared" si="17"/>
        <v>Dr</v>
      </c>
      <c r="G62" s="101">
        <f t="shared" si="18"/>
        <v>4800</v>
      </c>
    </row>
    <row r="63" spans="1:7">
      <c r="A63" s="102">
        <v>43890</v>
      </c>
      <c r="B63" s="79" t="s">
        <v>182</v>
      </c>
      <c r="C63" s="100" t="s">
        <v>91</v>
      </c>
      <c r="D63" s="89"/>
      <c r="E63" s="89">
        <v>13089</v>
      </c>
      <c r="F63" s="79" t="str">
        <f t="shared" si="17"/>
        <v>Cr</v>
      </c>
      <c r="G63" s="101">
        <f t="shared" si="18"/>
        <v>-8289</v>
      </c>
    </row>
    <row r="64" spans="1:7">
      <c r="A64" s="102">
        <v>43890</v>
      </c>
      <c r="B64" s="79" t="s">
        <v>259</v>
      </c>
      <c r="C64" s="100" t="s">
        <v>88</v>
      </c>
      <c r="D64" s="89">
        <v>13089</v>
      </c>
      <c r="E64" s="89"/>
      <c r="F64" s="79" t="str">
        <f t="shared" si="17"/>
        <v>Dr</v>
      </c>
      <c r="G64" s="101">
        <f t="shared" si="18"/>
        <v>4800</v>
      </c>
    </row>
    <row r="65" spans="1:7">
      <c r="A65" s="102">
        <v>43890</v>
      </c>
      <c r="B65" s="79" t="s">
        <v>255</v>
      </c>
      <c r="C65" s="100" t="s">
        <v>89</v>
      </c>
      <c r="D65" s="89">
        <v>5000</v>
      </c>
      <c r="E65" s="89"/>
      <c r="F65" s="79" t="str">
        <f t="shared" si="17"/>
        <v>Dr</v>
      </c>
      <c r="G65" s="101">
        <f t="shared" si="18"/>
        <v>9800</v>
      </c>
    </row>
    <row r="66" spans="1:7">
      <c r="A66" s="102">
        <v>43890</v>
      </c>
      <c r="B66" s="79" t="s">
        <v>255</v>
      </c>
      <c r="C66" s="100" t="s">
        <v>77</v>
      </c>
      <c r="D66" s="89">
        <v>4500</v>
      </c>
      <c r="E66" s="89"/>
      <c r="F66" s="79" t="str">
        <f t="shared" ref="F66:F71" si="19">IF(G66&gt;0,"Dr","Cr")</f>
        <v>Dr</v>
      </c>
      <c r="G66" s="101">
        <f t="shared" ref="G66:G71" si="20">(G65+D66)-E66</f>
        <v>14300</v>
      </c>
    </row>
    <row r="67" spans="1:7">
      <c r="A67" s="102">
        <v>43892</v>
      </c>
      <c r="B67" s="79" t="s">
        <v>255</v>
      </c>
      <c r="C67" s="100" t="s">
        <v>77</v>
      </c>
      <c r="D67" s="89">
        <v>8000</v>
      </c>
      <c r="E67" s="89"/>
      <c r="F67" s="79" t="str">
        <f t="shared" si="19"/>
        <v>Dr</v>
      </c>
      <c r="G67" s="101">
        <f t="shared" si="20"/>
        <v>22300</v>
      </c>
    </row>
    <row r="68" spans="1:7">
      <c r="A68" s="102">
        <v>43892</v>
      </c>
      <c r="B68" s="79" t="s">
        <v>255</v>
      </c>
      <c r="C68" s="100" t="s">
        <v>89</v>
      </c>
      <c r="D68" s="89">
        <v>8000</v>
      </c>
      <c r="E68" s="89"/>
      <c r="F68" s="79" t="str">
        <f t="shared" si="19"/>
        <v>Dr</v>
      </c>
      <c r="G68" s="101">
        <f t="shared" si="20"/>
        <v>30300</v>
      </c>
    </row>
    <row r="69" spans="1:7">
      <c r="A69" s="102">
        <v>43892</v>
      </c>
      <c r="B69" s="79" t="s">
        <v>284</v>
      </c>
      <c r="C69" s="100" t="s">
        <v>91</v>
      </c>
      <c r="D69" s="89"/>
      <c r="E69" s="89">
        <v>15000</v>
      </c>
      <c r="F69" s="79" t="str">
        <f t="shared" si="19"/>
        <v>Dr</v>
      </c>
      <c r="G69" s="101">
        <f t="shared" si="20"/>
        <v>15300</v>
      </c>
    </row>
    <row r="70" spans="1:7">
      <c r="A70" s="102">
        <v>43893</v>
      </c>
      <c r="B70" s="79" t="s">
        <v>255</v>
      </c>
      <c r="C70" s="100" t="s">
        <v>89</v>
      </c>
      <c r="D70" s="89">
        <v>3000</v>
      </c>
      <c r="E70" s="89"/>
      <c r="F70" s="79" t="str">
        <f t="shared" si="19"/>
        <v>Dr</v>
      </c>
      <c r="G70" s="101">
        <f t="shared" si="20"/>
        <v>18300</v>
      </c>
    </row>
    <row r="71" spans="1:7">
      <c r="A71" s="102">
        <v>43893</v>
      </c>
      <c r="B71" s="79" t="s">
        <v>285</v>
      </c>
      <c r="C71" s="100" t="s">
        <v>89</v>
      </c>
      <c r="D71" s="89"/>
      <c r="E71" s="89">
        <v>10700</v>
      </c>
      <c r="F71" s="79" t="str">
        <f t="shared" si="19"/>
        <v>Dr</v>
      </c>
      <c r="G71" s="101">
        <f t="shared" si="20"/>
        <v>7600</v>
      </c>
    </row>
    <row r="72" spans="1:7">
      <c r="A72" s="102">
        <v>43893</v>
      </c>
      <c r="B72" s="79" t="s">
        <v>255</v>
      </c>
      <c r="C72" s="100" t="s">
        <v>77</v>
      </c>
      <c r="D72" s="89">
        <v>8000</v>
      </c>
      <c r="E72" s="89"/>
      <c r="F72" s="79" t="str">
        <f t="shared" ref="F72:F81" si="21">IF(G72&gt;0,"Dr","Cr")</f>
        <v>Dr</v>
      </c>
      <c r="G72" s="101">
        <f t="shared" ref="G72:G81" si="22">(G71+D72)-E72</f>
        <v>15600</v>
      </c>
    </row>
    <row r="73" spans="1:7">
      <c r="A73" s="102">
        <v>43893</v>
      </c>
      <c r="B73" s="79" t="s">
        <v>255</v>
      </c>
      <c r="C73" s="100" t="s">
        <v>89</v>
      </c>
      <c r="D73" s="89">
        <v>6000</v>
      </c>
      <c r="E73" s="89"/>
      <c r="F73" s="79" t="str">
        <f t="shared" si="21"/>
        <v>Dr</v>
      </c>
      <c r="G73" s="101">
        <f t="shared" si="22"/>
        <v>21600</v>
      </c>
    </row>
    <row r="74" spans="1:7">
      <c r="A74" s="102">
        <v>43893</v>
      </c>
      <c r="B74" s="79" t="s">
        <v>196</v>
      </c>
      <c r="C74" s="100" t="s">
        <v>77</v>
      </c>
      <c r="D74" s="89"/>
      <c r="E74" s="89">
        <v>20500</v>
      </c>
      <c r="F74" s="79" t="str">
        <f t="shared" si="21"/>
        <v>Dr</v>
      </c>
      <c r="G74" s="101">
        <f t="shared" si="22"/>
        <v>1100</v>
      </c>
    </row>
    <row r="75" spans="1:7">
      <c r="A75" s="102">
        <v>43894</v>
      </c>
      <c r="B75" s="79" t="s">
        <v>255</v>
      </c>
      <c r="C75" s="100" t="s">
        <v>77</v>
      </c>
      <c r="D75" s="89">
        <v>5000</v>
      </c>
      <c r="E75" s="89"/>
      <c r="F75" s="79" t="str">
        <f t="shared" si="21"/>
        <v>Dr</v>
      </c>
      <c r="G75" s="101">
        <f t="shared" si="22"/>
        <v>6100</v>
      </c>
    </row>
    <row r="76" spans="1:7">
      <c r="A76" s="102">
        <v>43894</v>
      </c>
      <c r="B76" s="79" t="s">
        <v>288</v>
      </c>
      <c r="C76" s="100" t="s">
        <v>88</v>
      </c>
      <c r="D76" s="89">
        <v>40000</v>
      </c>
      <c r="E76" s="89"/>
      <c r="F76" s="79" t="str">
        <f t="shared" si="21"/>
        <v>Dr</v>
      </c>
      <c r="G76" s="101">
        <f t="shared" si="22"/>
        <v>46100</v>
      </c>
    </row>
    <row r="77" spans="1:7">
      <c r="A77" s="102">
        <v>43894</v>
      </c>
      <c r="B77" s="79" t="s">
        <v>240</v>
      </c>
      <c r="C77" s="100" t="s">
        <v>91</v>
      </c>
      <c r="D77" s="89"/>
      <c r="E77" s="89">
        <v>25000</v>
      </c>
      <c r="F77" s="79" t="str">
        <f t="shared" si="21"/>
        <v>Dr</v>
      </c>
      <c r="G77" s="101">
        <f t="shared" si="22"/>
        <v>21100</v>
      </c>
    </row>
    <row r="78" spans="1:7">
      <c r="A78" s="102">
        <v>43894</v>
      </c>
      <c r="B78" s="79" t="s">
        <v>240</v>
      </c>
      <c r="C78" s="100" t="s">
        <v>88</v>
      </c>
      <c r="D78" s="89">
        <v>1844</v>
      </c>
      <c r="E78" s="89"/>
      <c r="F78" s="79" t="str">
        <f t="shared" si="21"/>
        <v>Dr</v>
      </c>
      <c r="G78" s="101">
        <f t="shared" si="22"/>
        <v>22944</v>
      </c>
    </row>
    <row r="79" spans="1:7">
      <c r="A79" s="102">
        <v>43894</v>
      </c>
      <c r="B79" s="79" t="s">
        <v>290</v>
      </c>
      <c r="C79" s="100" t="s">
        <v>91</v>
      </c>
      <c r="D79" s="89">
        <v>56</v>
      </c>
      <c r="E79" s="89"/>
      <c r="F79" s="79" t="str">
        <f t="shared" si="21"/>
        <v>Dr</v>
      </c>
      <c r="G79" s="101">
        <f t="shared" si="22"/>
        <v>23000</v>
      </c>
    </row>
    <row r="80" spans="1:7">
      <c r="A80" s="102">
        <v>43894</v>
      </c>
      <c r="B80" s="79" t="s">
        <v>288</v>
      </c>
      <c r="C80" s="100" t="s">
        <v>88</v>
      </c>
      <c r="D80" s="89">
        <v>10000</v>
      </c>
      <c r="E80" s="89"/>
      <c r="F80" s="79" t="str">
        <f t="shared" si="21"/>
        <v>Dr</v>
      </c>
      <c r="G80" s="101">
        <f t="shared" si="22"/>
        <v>33000</v>
      </c>
    </row>
    <row r="81" spans="1:7">
      <c r="A81" s="102">
        <v>43894</v>
      </c>
      <c r="B81" s="79" t="s">
        <v>196</v>
      </c>
      <c r="C81" s="100" t="s">
        <v>89</v>
      </c>
      <c r="D81" s="89"/>
      <c r="E81" s="89">
        <v>21000</v>
      </c>
      <c r="F81" s="79" t="str">
        <f t="shared" si="21"/>
        <v>Dr</v>
      </c>
      <c r="G81" s="101">
        <f t="shared" si="22"/>
        <v>12000</v>
      </c>
    </row>
    <row r="82" spans="1:7">
      <c r="A82" s="102">
        <v>43895</v>
      </c>
      <c r="B82" s="79" t="s">
        <v>255</v>
      </c>
      <c r="C82" s="100" t="s">
        <v>77</v>
      </c>
      <c r="D82" s="89">
        <v>19000</v>
      </c>
      <c r="E82" s="89"/>
      <c r="F82" s="79" t="str">
        <f t="shared" ref="F82:F89" si="23">IF(G82&gt;0,"Dr","Cr")</f>
        <v>Dr</v>
      </c>
      <c r="G82" s="101">
        <f t="shared" ref="G82:G89" si="24">(G81+D82)-E82</f>
        <v>31000</v>
      </c>
    </row>
    <row r="83" spans="1:7">
      <c r="A83" s="102">
        <v>43895</v>
      </c>
      <c r="B83" s="79" t="s">
        <v>255</v>
      </c>
      <c r="C83" s="100" t="s">
        <v>89</v>
      </c>
      <c r="D83" s="89">
        <v>7000</v>
      </c>
      <c r="E83" s="89"/>
      <c r="F83" s="79" t="str">
        <f t="shared" si="23"/>
        <v>Dr</v>
      </c>
      <c r="G83" s="101">
        <f t="shared" si="24"/>
        <v>38000</v>
      </c>
    </row>
    <row r="84" spans="1:7">
      <c r="A84" s="102">
        <v>43895</v>
      </c>
      <c r="B84" s="79" t="s">
        <v>82</v>
      </c>
      <c r="C84" s="100" t="s">
        <v>77</v>
      </c>
      <c r="D84" s="89"/>
      <c r="E84" s="89">
        <v>17500</v>
      </c>
      <c r="F84" s="79" t="str">
        <f t="shared" si="23"/>
        <v>Dr</v>
      </c>
      <c r="G84" s="101">
        <f t="shared" si="24"/>
        <v>20500</v>
      </c>
    </row>
    <row r="85" spans="1:7">
      <c r="A85" s="102">
        <v>43895</v>
      </c>
      <c r="B85" s="79" t="s">
        <v>255</v>
      </c>
      <c r="C85" s="100" t="s">
        <v>77</v>
      </c>
      <c r="D85" s="89">
        <v>15000</v>
      </c>
      <c r="E85" s="89"/>
      <c r="F85" s="79" t="str">
        <f t="shared" si="23"/>
        <v>Dr</v>
      </c>
      <c r="G85" s="101">
        <f t="shared" si="24"/>
        <v>35500</v>
      </c>
    </row>
    <row r="86" spans="1:7">
      <c r="A86" s="102">
        <v>43895</v>
      </c>
      <c r="B86" s="79" t="s">
        <v>294</v>
      </c>
      <c r="C86" s="100" t="s">
        <v>77</v>
      </c>
      <c r="D86" s="89"/>
      <c r="E86" s="89">
        <v>9500</v>
      </c>
      <c r="F86" s="79" t="str">
        <f t="shared" si="23"/>
        <v>Dr</v>
      </c>
      <c r="G86" s="101">
        <f t="shared" si="24"/>
        <v>26000</v>
      </c>
    </row>
    <row r="87" spans="1:7">
      <c r="A87" s="102">
        <v>43895</v>
      </c>
      <c r="B87" s="79" t="s">
        <v>255</v>
      </c>
      <c r="C87" s="100" t="s">
        <v>77</v>
      </c>
      <c r="D87" s="89">
        <v>2500</v>
      </c>
      <c r="E87" s="89"/>
      <c r="F87" s="79" t="str">
        <f t="shared" si="23"/>
        <v>Dr</v>
      </c>
      <c r="G87" s="101">
        <f t="shared" si="24"/>
        <v>28500</v>
      </c>
    </row>
    <row r="88" spans="1:7">
      <c r="A88" s="102">
        <v>43895</v>
      </c>
      <c r="B88" s="79" t="s">
        <v>255</v>
      </c>
      <c r="C88" s="100" t="s">
        <v>89</v>
      </c>
      <c r="D88" s="89">
        <v>2500</v>
      </c>
      <c r="E88" s="89"/>
      <c r="F88" s="79" t="str">
        <f t="shared" si="23"/>
        <v>Dr</v>
      </c>
      <c r="G88" s="101">
        <f t="shared" si="24"/>
        <v>31000</v>
      </c>
    </row>
    <row r="89" spans="1:7">
      <c r="A89" s="102">
        <v>43895</v>
      </c>
      <c r="B89" s="79" t="s">
        <v>226</v>
      </c>
      <c r="C89" s="100" t="s">
        <v>77</v>
      </c>
      <c r="D89" s="89"/>
      <c r="E89" s="89">
        <v>35000</v>
      </c>
      <c r="F89" s="79" t="str">
        <f t="shared" si="23"/>
        <v>Cr</v>
      </c>
      <c r="G89" s="101">
        <f t="shared" si="24"/>
        <v>-4000</v>
      </c>
    </row>
    <row r="90" spans="1:7">
      <c r="A90" s="102">
        <v>43895</v>
      </c>
      <c r="B90" s="79" t="s">
        <v>255</v>
      </c>
      <c r="C90" s="100" t="s">
        <v>77</v>
      </c>
      <c r="D90" s="89">
        <v>27000</v>
      </c>
      <c r="E90" s="89"/>
      <c r="F90" s="79" t="str">
        <f t="shared" ref="F90:F95" si="25">IF(G90&gt;0,"Dr","Cr")</f>
        <v>Dr</v>
      </c>
      <c r="G90" s="101">
        <f t="shared" ref="G90:G95" si="26">(G89+D90)-E90</f>
        <v>23000</v>
      </c>
    </row>
    <row r="91" spans="1:7">
      <c r="A91" s="102">
        <v>43895</v>
      </c>
      <c r="B91" s="79" t="s">
        <v>255</v>
      </c>
      <c r="C91" s="100" t="s">
        <v>89</v>
      </c>
      <c r="D91" s="89">
        <v>12000</v>
      </c>
      <c r="E91" s="89"/>
      <c r="F91" s="79" t="str">
        <f t="shared" si="25"/>
        <v>Dr</v>
      </c>
      <c r="G91" s="101">
        <f t="shared" si="26"/>
        <v>35000</v>
      </c>
    </row>
    <row r="92" spans="1:7">
      <c r="A92" s="102">
        <v>43895</v>
      </c>
      <c r="B92" s="79" t="s">
        <v>255</v>
      </c>
      <c r="C92" s="100" t="s">
        <v>77</v>
      </c>
      <c r="D92" s="89">
        <v>5500</v>
      </c>
      <c r="E92" s="89"/>
      <c r="F92" s="79" t="str">
        <f t="shared" si="25"/>
        <v>Dr</v>
      </c>
      <c r="G92" s="101">
        <f t="shared" si="26"/>
        <v>40500</v>
      </c>
    </row>
    <row r="93" spans="1:7">
      <c r="A93" s="102">
        <v>43896</v>
      </c>
      <c r="B93" s="79" t="s">
        <v>255</v>
      </c>
      <c r="C93" s="100" t="s">
        <v>77</v>
      </c>
      <c r="D93" s="89">
        <v>7500</v>
      </c>
      <c r="E93" s="89"/>
      <c r="F93" s="79" t="str">
        <f t="shared" si="25"/>
        <v>Dr</v>
      </c>
      <c r="G93" s="101">
        <f t="shared" si="26"/>
        <v>48000</v>
      </c>
    </row>
    <row r="94" spans="1:7">
      <c r="A94" s="102">
        <v>43896</v>
      </c>
      <c r="B94" s="79" t="s">
        <v>255</v>
      </c>
      <c r="C94" s="100" t="s">
        <v>89</v>
      </c>
      <c r="D94" s="89">
        <v>15000</v>
      </c>
      <c r="E94" s="89"/>
      <c r="F94" s="79" t="str">
        <f t="shared" si="25"/>
        <v>Dr</v>
      </c>
      <c r="G94" s="101">
        <f t="shared" si="26"/>
        <v>63000</v>
      </c>
    </row>
    <row r="95" spans="1:7">
      <c r="A95" s="102">
        <v>43897</v>
      </c>
      <c r="B95" s="79" t="s">
        <v>196</v>
      </c>
      <c r="C95" s="100" t="s">
        <v>89</v>
      </c>
      <c r="D95" s="89"/>
      <c r="E95" s="89">
        <v>39500</v>
      </c>
      <c r="F95" s="79" t="str">
        <f t="shared" si="25"/>
        <v>Dr</v>
      </c>
      <c r="G95" s="101">
        <f t="shared" si="26"/>
        <v>23500</v>
      </c>
    </row>
    <row r="96" spans="1:7">
      <c r="A96" s="102">
        <v>43897</v>
      </c>
      <c r="B96" s="79" t="s">
        <v>196</v>
      </c>
      <c r="C96" s="100" t="s">
        <v>77</v>
      </c>
      <c r="D96" s="89"/>
      <c r="E96" s="89">
        <v>17500</v>
      </c>
      <c r="F96" s="79" t="str">
        <f t="shared" ref="F96:F102" si="27">IF(G96&gt;0,"Dr","Cr")</f>
        <v>Dr</v>
      </c>
      <c r="G96" s="101">
        <f t="shared" ref="G96:G102" si="28">(G95+D96)-E96</f>
        <v>6000</v>
      </c>
    </row>
    <row r="97" spans="1:7">
      <c r="A97" s="102">
        <v>43897</v>
      </c>
      <c r="B97" s="79" t="s">
        <v>255</v>
      </c>
      <c r="C97" s="100" t="s">
        <v>89</v>
      </c>
      <c r="D97" s="89">
        <v>12500</v>
      </c>
      <c r="E97" s="89"/>
      <c r="F97" s="79" t="str">
        <f t="shared" si="27"/>
        <v>Dr</v>
      </c>
      <c r="G97" s="101">
        <f t="shared" si="28"/>
        <v>18500</v>
      </c>
    </row>
    <row r="98" spans="1:7">
      <c r="A98" s="102">
        <v>43897</v>
      </c>
      <c r="B98" s="79" t="s">
        <v>255</v>
      </c>
      <c r="C98" s="100" t="s">
        <v>77</v>
      </c>
      <c r="D98" s="89">
        <v>13000</v>
      </c>
      <c r="E98" s="89"/>
      <c r="F98" s="79" t="str">
        <f t="shared" si="27"/>
        <v>Dr</v>
      </c>
      <c r="G98" s="101">
        <f t="shared" si="28"/>
        <v>31500</v>
      </c>
    </row>
    <row r="99" spans="1:7">
      <c r="A99" s="102">
        <v>43897</v>
      </c>
      <c r="B99" s="79" t="s">
        <v>300</v>
      </c>
      <c r="C99" s="100" t="s">
        <v>77</v>
      </c>
      <c r="D99" s="89"/>
      <c r="E99" s="89">
        <v>18500</v>
      </c>
      <c r="F99" s="79" t="str">
        <f t="shared" si="27"/>
        <v>Dr</v>
      </c>
      <c r="G99" s="101">
        <f t="shared" si="28"/>
        <v>13000</v>
      </c>
    </row>
    <row r="100" spans="1:7">
      <c r="A100" s="102">
        <v>43899</v>
      </c>
      <c r="B100" s="79" t="s">
        <v>302</v>
      </c>
      <c r="C100" s="100" t="s">
        <v>77</v>
      </c>
      <c r="D100" s="89"/>
      <c r="E100" s="89">
        <v>20850</v>
      </c>
      <c r="F100" s="79" t="str">
        <f t="shared" si="27"/>
        <v>Cr</v>
      </c>
      <c r="G100" s="101">
        <f t="shared" si="28"/>
        <v>-7850</v>
      </c>
    </row>
    <row r="101" spans="1:7">
      <c r="A101" s="102">
        <v>43901</v>
      </c>
      <c r="B101" s="79" t="s">
        <v>255</v>
      </c>
      <c r="C101" s="113" t="s">
        <v>77</v>
      </c>
      <c r="D101" s="89">
        <v>24500</v>
      </c>
      <c r="E101" s="89"/>
      <c r="F101" s="79" t="str">
        <f t="shared" si="27"/>
        <v>Dr</v>
      </c>
      <c r="G101" s="101">
        <f t="shared" si="28"/>
        <v>16650</v>
      </c>
    </row>
    <row r="102" spans="1:7">
      <c r="A102" s="102">
        <v>43901</v>
      </c>
      <c r="B102" s="79" t="s">
        <v>196</v>
      </c>
      <c r="C102" s="113" t="s">
        <v>77</v>
      </c>
      <c r="D102" s="89"/>
      <c r="E102" s="89">
        <v>24000</v>
      </c>
      <c r="F102" s="79" t="str">
        <f t="shared" si="27"/>
        <v>Cr</v>
      </c>
      <c r="G102" s="101">
        <f t="shared" si="28"/>
        <v>-7350</v>
      </c>
    </row>
    <row r="103" spans="1:7">
      <c r="A103" s="102">
        <v>43927</v>
      </c>
      <c r="B103" s="79" t="s">
        <v>240</v>
      </c>
      <c r="C103" s="100" t="s">
        <v>77</v>
      </c>
      <c r="D103" s="89">
        <v>18000</v>
      </c>
      <c r="E103" s="89"/>
      <c r="F103" s="79" t="str">
        <f t="shared" ref="F103:F109" si="29">IF(G103&gt;0,"Dr","Cr")</f>
        <v>Dr</v>
      </c>
      <c r="G103" s="101">
        <f t="shared" ref="G103:G109" si="30">(G102+D103)-E103</f>
        <v>10650</v>
      </c>
    </row>
    <row r="104" spans="1:7">
      <c r="A104" s="102">
        <v>43927</v>
      </c>
      <c r="B104" s="79" t="s">
        <v>240</v>
      </c>
      <c r="C104" s="100" t="s">
        <v>89</v>
      </c>
      <c r="D104" s="89">
        <v>10000</v>
      </c>
      <c r="E104" s="89"/>
      <c r="F104" s="79" t="str">
        <f t="shared" si="29"/>
        <v>Dr</v>
      </c>
      <c r="G104" s="101">
        <f t="shared" si="30"/>
        <v>20650</v>
      </c>
    </row>
    <row r="105" spans="1:7">
      <c r="A105" s="102">
        <v>43927</v>
      </c>
      <c r="B105" s="79" t="s">
        <v>240</v>
      </c>
      <c r="C105" s="100" t="s">
        <v>77</v>
      </c>
      <c r="D105" s="89">
        <v>13500</v>
      </c>
      <c r="E105" s="89"/>
      <c r="F105" s="79" t="str">
        <f t="shared" si="29"/>
        <v>Dr</v>
      </c>
      <c r="G105" s="101">
        <f t="shared" si="30"/>
        <v>34150</v>
      </c>
    </row>
    <row r="106" spans="1:7">
      <c r="A106" s="102">
        <v>43927</v>
      </c>
      <c r="B106" s="79" t="s">
        <v>226</v>
      </c>
      <c r="C106" s="100" t="s">
        <v>91</v>
      </c>
      <c r="D106" s="89"/>
      <c r="E106" s="89">
        <v>13500</v>
      </c>
      <c r="F106" s="79" t="str">
        <f t="shared" si="29"/>
        <v>Dr</v>
      </c>
      <c r="G106" s="101">
        <f t="shared" si="30"/>
        <v>20650</v>
      </c>
    </row>
    <row r="107" spans="1:7">
      <c r="A107" s="102">
        <v>43927</v>
      </c>
      <c r="B107" s="79" t="s">
        <v>240</v>
      </c>
      <c r="C107" s="100" t="s">
        <v>89</v>
      </c>
      <c r="D107" s="89">
        <v>4500</v>
      </c>
      <c r="E107" s="89"/>
      <c r="F107" s="79" t="str">
        <f t="shared" si="29"/>
        <v>Dr</v>
      </c>
      <c r="G107" s="101">
        <f t="shared" si="30"/>
        <v>25150</v>
      </c>
    </row>
    <row r="108" spans="1:7">
      <c r="A108" s="102">
        <v>43929</v>
      </c>
      <c r="B108" s="79" t="s">
        <v>240</v>
      </c>
      <c r="C108" s="100" t="s">
        <v>77</v>
      </c>
      <c r="D108" s="89">
        <v>17500</v>
      </c>
      <c r="E108" s="89"/>
      <c r="F108" s="79" t="str">
        <f t="shared" si="29"/>
        <v>Dr</v>
      </c>
      <c r="G108" s="101">
        <f t="shared" si="30"/>
        <v>42650</v>
      </c>
    </row>
    <row r="109" spans="1:7">
      <c r="A109" s="102">
        <v>43929</v>
      </c>
      <c r="B109" s="79" t="s">
        <v>240</v>
      </c>
      <c r="C109" s="100" t="s">
        <v>89</v>
      </c>
      <c r="D109" s="89">
        <v>13000</v>
      </c>
      <c r="E109" s="89"/>
      <c r="F109" s="79" t="str">
        <f t="shared" si="29"/>
        <v>Dr</v>
      </c>
      <c r="G109" s="101">
        <f t="shared" si="30"/>
        <v>55650</v>
      </c>
    </row>
    <row r="110" spans="1:7">
      <c r="A110" s="102">
        <v>43929</v>
      </c>
      <c r="B110" s="79" t="s">
        <v>240</v>
      </c>
      <c r="C110" s="100" t="s">
        <v>77</v>
      </c>
      <c r="D110" s="89">
        <v>17500</v>
      </c>
      <c r="E110" s="89"/>
      <c r="F110" s="79" t="str">
        <f t="shared" ref="F110:F115" si="31">IF(G110&gt;0,"Dr","Cr")</f>
        <v>Dr</v>
      </c>
      <c r="G110" s="101">
        <f t="shared" ref="G110:G115" si="32">(G109+D110)-E110</f>
        <v>73150</v>
      </c>
    </row>
    <row r="111" spans="1:7">
      <c r="A111" s="102">
        <v>43930</v>
      </c>
      <c r="B111" s="79" t="s">
        <v>308</v>
      </c>
      <c r="C111" s="100" t="s">
        <v>77</v>
      </c>
      <c r="D111" s="89"/>
      <c r="E111" s="89">
        <v>17993</v>
      </c>
      <c r="F111" s="79" t="str">
        <f t="shared" si="31"/>
        <v>Dr</v>
      </c>
      <c r="G111" s="101">
        <f t="shared" si="32"/>
        <v>55157</v>
      </c>
    </row>
    <row r="112" spans="1:7">
      <c r="A112" s="102">
        <v>43930</v>
      </c>
      <c r="B112" s="79" t="s">
        <v>308</v>
      </c>
      <c r="C112" s="100" t="s">
        <v>89</v>
      </c>
      <c r="D112" s="89"/>
      <c r="E112" s="89">
        <v>11109</v>
      </c>
      <c r="F112" s="79" t="str">
        <f t="shared" si="31"/>
        <v>Dr</v>
      </c>
      <c r="G112" s="101">
        <f t="shared" si="32"/>
        <v>44048</v>
      </c>
    </row>
    <row r="113" spans="1:7">
      <c r="A113" s="102">
        <v>43930</v>
      </c>
      <c r="B113" s="102" t="s">
        <v>309</v>
      </c>
      <c r="C113" s="100" t="s">
        <v>91</v>
      </c>
      <c r="D113" s="89">
        <v>29102</v>
      </c>
      <c r="E113" s="89"/>
      <c r="F113" s="79" t="str">
        <f t="shared" si="31"/>
        <v>Dr</v>
      </c>
      <c r="G113" s="101">
        <f t="shared" si="32"/>
        <v>73150</v>
      </c>
    </row>
    <row r="114" spans="1:7">
      <c r="A114" s="102">
        <v>43930</v>
      </c>
      <c r="B114" s="79" t="s">
        <v>284</v>
      </c>
      <c r="C114" s="100" t="s">
        <v>91</v>
      </c>
      <c r="D114" s="89"/>
      <c r="E114" s="89">
        <v>15000</v>
      </c>
      <c r="F114" s="79" t="str">
        <f t="shared" si="31"/>
        <v>Dr</v>
      </c>
      <c r="G114" s="101">
        <f t="shared" si="32"/>
        <v>58150</v>
      </c>
    </row>
    <row r="115" spans="1:7">
      <c r="A115" s="102">
        <v>43930</v>
      </c>
      <c r="B115" s="79" t="s">
        <v>259</v>
      </c>
      <c r="C115" s="100" t="s">
        <v>91</v>
      </c>
      <c r="D115" s="89">
        <v>13500</v>
      </c>
      <c r="E115" s="89"/>
      <c r="F115" s="79" t="str">
        <f t="shared" si="31"/>
        <v>Dr</v>
      </c>
      <c r="G115" s="101">
        <f t="shared" si="32"/>
        <v>71650</v>
      </c>
    </row>
    <row r="116" spans="1:7">
      <c r="A116" s="102">
        <v>43935</v>
      </c>
      <c r="B116" s="79" t="s">
        <v>240</v>
      </c>
      <c r="C116" s="100" t="s">
        <v>77</v>
      </c>
      <c r="D116" s="89">
        <v>12500</v>
      </c>
      <c r="E116" s="89"/>
      <c r="F116" s="79" t="str">
        <f t="shared" ref="F116:F121" si="33">IF(G116&gt;0,"Dr","Cr")</f>
        <v>Dr</v>
      </c>
      <c r="G116" s="101">
        <f t="shared" ref="G116:G121" si="34">(G115+D116)-E116</f>
        <v>84150</v>
      </c>
    </row>
    <row r="117" spans="1:7">
      <c r="A117" s="102">
        <v>43935</v>
      </c>
      <c r="B117" s="79" t="s">
        <v>240</v>
      </c>
      <c r="C117" s="100" t="s">
        <v>89</v>
      </c>
      <c r="D117" s="89">
        <v>22000</v>
      </c>
      <c r="E117" s="89"/>
      <c r="F117" s="79" t="str">
        <f t="shared" si="33"/>
        <v>Dr</v>
      </c>
      <c r="G117" s="101">
        <f t="shared" si="34"/>
        <v>106150</v>
      </c>
    </row>
    <row r="118" spans="1:7">
      <c r="A118" s="102">
        <v>43935</v>
      </c>
      <c r="B118" s="79" t="s">
        <v>16</v>
      </c>
      <c r="C118" s="100" t="s">
        <v>89</v>
      </c>
      <c r="D118" s="89"/>
      <c r="E118" s="89">
        <v>11150</v>
      </c>
      <c r="F118" s="79" t="str">
        <f t="shared" si="33"/>
        <v>Dr</v>
      </c>
      <c r="G118" s="101">
        <f t="shared" si="34"/>
        <v>95000</v>
      </c>
    </row>
    <row r="119" spans="1:7">
      <c r="A119" s="102">
        <v>43935</v>
      </c>
      <c r="B119" s="79" t="s">
        <v>16</v>
      </c>
      <c r="C119" s="100" t="s">
        <v>77</v>
      </c>
      <c r="D119" s="89"/>
      <c r="E119" s="89">
        <v>18000</v>
      </c>
      <c r="F119" s="79" t="str">
        <f t="shared" si="33"/>
        <v>Dr</v>
      </c>
      <c r="G119" s="101">
        <f t="shared" si="34"/>
        <v>77000</v>
      </c>
    </row>
    <row r="120" spans="1:7">
      <c r="A120" s="102">
        <v>43935</v>
      </c>
      <c r="B120" s="79" t="s">
        <v>310</v>
      </c>
      <c r="C120" s="100" t="s">
        <v>91</v>
      </c>
      <c r="D120" s="89"/>
      <c r="E120" s="89">
        <v>14000</v>
      </c>
      <c r="F120" s="79" t="str">
        <f t="shared" si="33"/>
        <v>Dr</v>
      </c>
      <c r="G120" s="101">
        <f t="shared" si="34"/>
        <v>63000</v>
      </c>
    </row>
    <row r="121" spans="1:7">
      <c r="A121" s="102">
        <v>43942</v>
      </c>
      <c r="B121" s="79" t="s">
        <v>312</v>
      </c>
      <c r="C121" s="100" t="s">
        <v>89</v>
      </c>
      <c r="D121" s="89"/>
      <c r="E121" s="89">
        <v>33000</v>
      </c>
      <c r="F121" s="79" t="str">
        <f t="shared" si="33"/>
        <v>Dr</v>
      </c>
      <c r="G121" s="101">
        <f t="shared" si="34"/>
        <v>30000</v>
      </c>
    </row>
    <row r="122" spans="1:7">
      <c r="A122" s="102">
        <v>43956</v>
      </c>
      <c r="B122" s="79" t="s">
        <v>240</v>
      </c>
      <c r="C122" s="113" t="s">
        <v>89</v>
      </c>
      <c r="D122" s="89">
        <v>25000</v>
      </c>
      <c r="E122" s="89"/>
      <c r="F122" s="79" t="str">
        <f t="shared" ref="F122:F128" si="35">IF(G122&gt;0,"Dr","Cr")</f>
        <v>Dr</v>
      </c>
      <c r="G122" s="101">
        <f t="shared" ref="G122:G128" si="36">(G121+D122)-E122</f>
        <v>55000</v>
      </c>
    </row>
    <row r="123" spans="1:7">
      <c r="A123" s="102">
        <v>43956</v>
      </c>
      <c r="B123" s="79" t="s">
        <v>240</v>
      </c>
      <c r="C123" s="113" t="s">
        <v>77</v>
      </c>
      <c r="D123" s="89">
        <v>30000</v>
      </c>
      <c r="E123" s="89"/>
      <c r="F123" s="79" t="str">
        <f t="shared" si="35"/>
        <v>Dr</v>
      </c>
      <c r="G123" s="101">
        <f t="shared" si="36"/>
        <v>85000</v>
      </c>
    </row>
    <row r="124" spans="1:7">
      <c r="A124" s="102">
        <v>43958</v>
      </c>
      <c r="B124" s="79" t="s">
        <v>196</v>
      </c>
      <c r="C124" s="100" t="s">
        <v>89</v>
      </c>
      <c r="D124" s="89"/>
      <c r="E124" s="89">
        <v>20000</v>
      </c>
      <c r="F124" s="79" t="str">
        <f t="shared" si="35"/>
        <v>Dr</v>
      </c>
      <c r="G124" s="101">
        <f t="shared" si="36"/>
        <v>65000</v>
      </c>
    </row>
    <row r="125" spans="1:7">
      <c r="A125" s="102">
        <v>43958</v>
      </c>
      <c r="B125" s="79" t="s">
        <v>240</v>
      </c>
      <c r="C125" s="100" t="s">
        <v>77</v>
      </c>
      <c r="D125" s="89">
        <v>45500</v>
      </c>
      <c r="E125" s="89"/>
      <c r="F125" s="79" t="str">
        <f t="shared" si="35"/>
        <v>Dr</v>
      </c>
      <c r="G125" s="101">
        <f t="shared" si="36"/>
        <v>110500</v>
      </c>
    </row>
    <row r="126" spans="1:7">
      <c r="A126" s="102">
        <v>43958</v>
      </c>
      <c r="B126" s="79" t="s">
        <v>240</v>
      </c>
      <c r="C126" s="100" t="s">
        <v>89</v>
      </c>
      <c r="D126" s="89">
        <v>24500</v>
      </c>
      <c r="E126" s="89"/>
      <c r="F126" s="79" t="str">
        <f t="shared" si="35"/>
        <v>Dr</v>
      </c>
      <c r="G126" s="101">
        <f t="shared" si="36"/>
        <v>135000</v>
      </c>
    </row>
    <row r="127" spans="1:7">
      <c r="A127" s="102">
        <v>43960</v>
      </c>
      <c r="B127" s="79" t="s">
        <v>240</v>
      </c>
      <c r="C127" s="100" t="s">
        <v>89</v>
      </c>
      <c r="D127" s="89">
        <v>11000</v>
      </c>
      <c r="E127" s="89"/>
      <c r="F127" s="79" t="str">
        <f t="shared" si="35"/>
        <v>Dr</v>
      </c>
      <c r="G127" s="101">
        <f t="shared" si="36"/>
        <v>146000</v>
      </c>
    </row>
    <row r="128" spans="1:7">
      <c r="A128" s="102">
        <v>43960</v>
      </c>
      <c r="B128" s="79" t="s">
        <v>240</v>
      </c>
      <c r="C128" s="100" t="s">
        <v>77</v>
      </c>
      <c r="D128" s="89">
        <v>4000</v>
      </c>
      <c r="E128" s="89"/>
      <c r="F128" s="79" t="str">
        <f t="shared" si="35"/>
        <v>Dr</v>
      </c>
      <c r="G128" s="101">
        <f t="shared" si="36"/>
        <v>150000</v>
      </c>
    </row>
    <row r="129" spans="1:7">
      <c r="A129" s="102">
        <v>43962</v>
      </c>
      <c r="B129" s="79" t="s">
        <v>196</v>
      </c>
      <c r="C129" s="100" t="s">
        <v>77</v>
      </c>
      <c r="D129" s="89"/>
      <c r="E129" s="89">
        <v>28400</v>
      </c>
      <c r="F129" s="79" t="str">
        <f t="shared" ref="F129:F135" si="37">IF(G129&gt;0,"Dr","Cr")</f>
        <v>Dr</v>
      </c>
      <c r="G129" s="101">
        <f t="shared" ref="G129:G135" si="38">(G128+D129)-E129</f>
        <v>121600</v>
      </c>
    </row>
    <row r="130" spans="1:7">
      <c r="A130" s="102">
        <v>43962</v>
      </c>
      <c r="B130" s="79" t="s">
        <v>240</v>
      </c>
      <c r="C130" s="100" t="s">
        <v>77</v>
      </c>
      <c r="D130" s="89">
        <v>15000</v>
      </c>
      <c r="E130" s="89"/>
      <c r="F130" s="79" t="str">
        <f t="shared" si="37"/>
        <v>Dr</v>
      </c>
      <c r="G130" s="101">
        <f t="shared" si="38"/>
        <v>136600</v>
      </c>
    </row>
    <row r="131" spans="1:7">
      <c r="A131" s="102">
        <v>43963</v>
      </c>
      <c r="B131" s="79" t="s">
        <v>320</v>
      </c>
      <c r="C131" s="100" t="s">
        <v>89</v>
      </c>
      <c r="D131" s="89">
        <v>7000</v>
      </c>
      <c r="E131" s="89">
        <v>26000</v>
      </c>
      <c r="F131" s="79" t="str">
        <f t="shared" si="37"/>
        <v>Dr</v>
      </c>
      <c r="G131" s="101">
        <f t="shared" si="38"/>
        <v>117600</v>
      </c>
    </row>
    <row r="132" spans="1:7">
      <c r="A132" s="102">
        <v>43963</v>
      </c>
      <c r="B132" s="79" t="s">
        <v>320</v>
      </c>
      <c r="C132" s="100" t="s">
        <v>77</v>
      </c>
      <c r="D132" s="89">
        <v>5000</v>
      </c>
      <c r="E132" s="89">
        <v>54000</v>
      </c>
      <c r="F132" s="79" t="str">
        <f t="shared" si="37"/>
        <v>Dr</v>
      </c>
      <c r="G132" s="101">
        <f t="shared" si="38"/>
        <v>68600</v>
      </c>
    </row>
    <row r="133" spans="1:7">
      <c r="A133" s="102">
        <v>43963</v>
      </c>
      <c r="B133" s="79" t="s">
        <v>284</v>
      </c>
      <c r="C133" s="100" t="s">
        <v>91</v>
      </c>
      <c r="D133" s="89"/>
      <c r="E133" s="89">
        <v>17000</v>
      </c>
      <c r="F133" s="79" t="str">
        <f t="shared" si="37"/>
        <v>Dr</v>
      </c>
      <c r="G133" s="101">
        <f t="shared" si="38"/>
        <v>51600</v>
      </c>
    </row>
    <row r="134" spans="1:7">
      <c r="A134" s="102">
        <v>43979</v>
      </c>
      <c r="B134" s="79" t="s">
        <v>240</v>
      </c>
      <c r="C134" s="113" t="s">
        <v>89</v>
      </c>
      <c r="D134" s="89">
        <v>6000</v>
      </c>
      <c r="E134" s="89"/>
      <c r="F134" s="79" t="str">
        <f t="shared" si="37"/>
        <v>Dr</v>
      </c>
      <c r="G134" s="101">
        <f t="shared" si="38"/>
        <v>57600</v>
      </c>
    </row>
    <row r="135" spans="1:7">
      <c r="A135" s="102">
        <v>43979</v>
      </c>
      <c r="B135" s="79" t="s">
        <v>240</v>
      </c>
      <c r="C135" s="113" t="s">
        <v>77</v>
      </c>
      <c r="D135" s="89">
        <v>9000</v>
      </c>
      <c r="E135" s="89"/>
      <c r="F135" s="79" t="str">
        <f t="shared" si="37"/>
        <v>Dr</v>
      </c>
      <c r="G135" s="101">
        <f t="shared" si="38"/>
        <v>66600</v>
      </c>
    </row>
    <row r="136" spans="1:7">
      <c r="A136" s="102">
        <v>43981</v>
      </c>
      <c r="B136" s="79" t="s">
        <v>240</v>
      </c>
      <c r="C136" s="113" t="s">
        <v>77</v>
      </c>
      <c r="D136" s="89">
        <v>2500</v>
      </c>
      <c r="E136" s="89"/>
      <c r="F136" s="79" t="str">
        <f t="shared" ref="F136:F143" si="39">IF(G136&gt;0,"Dr","Cr")</f>
        <v>Dr</v>
      </c>
      <c r="G136" s="101">
        <f t="shared" ref="G136:G143" si="40">(G135+D136)-E136</f>
        <v>69100</v>
      </c>
    </row>
    <row r="137" spans="1:7">
      <c r="A137" s="102">
        <v>43981</v>
      </c>
      <c r="B137" s="79" t="s">
        <v>240</v>
      </c>
      <c r="C137" s="113" t="s">
        <v>89</v>
      </c>
      <c r="D137" s="89">
        <v>4500</v>
      </c>
      <c r="E137" s="89"/>
      <c r="F137" s="79" t="str">
        <f t="shared" si="39"/>
        <v>Dr</v>
      </c>
      <c r="G137" s="101">
        <f t="shared" si="40"/>
        <v>73600</v>
      </c>
    </row>
    <row r="138" spans="1:7">
      <c r="A138" s="102">
        <v>43984</v>
      </c>
      <c r="B138" s="79" t="s">
        <v>240</v>
      </c>
      <c r="C138" s="113" t="s">
        <v>89</v>
      </c>
      <c r="D138" s="89">
        <v>28000</v>
      </c>
      <c r="E138" s="89"/>
      <c r="F138" s="79" t="str">
        <f t="shared" si="39"/>
        <v>Dr</v>
      </c>
      <c r="G138" s="101">
        <f t="shared" si="40"/>
        <v>101600</v>
      </c>
    </row>
    <row r="139" spans="1:7">
      <c r="A139" s="102">
        <v>43984</v>
      </c>
      <c r="B139" s="79" t="s">
        <v>240</v>
      </c>
      <c r="C139" s="113" t="s">
        <v>77</v>
      </c>
      <c r="D139" s="89">
        <v>41500</v>
      </c>
      <c r="E139" s="89"/>
      <c r="F139" s="79" t="str">
        <f t="shared" si="39"/>
        <v>Dr</v>
      </c>
      <c r="G139" s="101">
        <f t="shared" si="40"/>
        <v>143100</v>
      </c>
    </row>
    <row r="140" spans="1:7">
      <c r="A140" s="102">
        <v>43986</v>
      </c>
      <c r="B140" s="79" t="s">
        <v>261</v>
      </c>
      <c r="C140" s="100" t="s">
        <v>91</v>
      </c>
      <c r="D140" s="89">
        <v>24792</v>
      </c>
      <c r="E140" s="89"/>
      <c r="F140" s="79" t="str">
        <f t="shared" si="39"/>
        <v>Dr</v>
      </c>
      <c r="G140" s="101">
        <f t="shared" si="40"/>
        <v>167892</v>
      </c>
    </row>
    <row r="141" spans="1:7">
      <c r="A141" s="102">
        <v>43986</v>
      </c>
      <c r="B141" s="79" t="s">
        <v>259</v>
      </c>
      <c r="C141" s="100" t="s">
        <v>77</v>
      </c>
      <c r="D141" s="89"/>
      <c r="E141" s="89">
        <v>24792</v>
      </c>
      <c r="F141" s="79" t="str">
        <f t="shared" si="39"/>
        <v>Dr</v>
      </c>
      <c r="G141" s="101">
        <f t="shared" si="40"/>
        <v>143100</v>
      </c>
    </row>
    <row r="142" spans="1:7">
      <c r="A142" s="102">
        <v>43986</v>
      </c>
      <c r="B142" s="79" t="s">
        <v>249</v>
      </c>
      <c r="C142" s="100" t="s">
        <v>91</v>
      </c>
      <c r="D142" s="89">
        <v>18240</v>
      </c>
      <c r="E142" s="89"/>
      <c r="F142" s="79" t="str">
        <f t="shared" si="39"/>
        <v>Dr</v>
      </c>
      <c r="G142" s="101">
        <f t="shared" si="40"/>
        <v>161340</v>
      </c>
    </row>
    <row r="143" spans="1:7">
      <c r="A143" s="102">
        <v>43986</v>
      </c>
      <c r="B143" s="79" t="s">
        <v>259</v>
      </c>
      <c r="C143" s="100" t="s">
        <v>89</v>
      </c>
      <c r="D143" s="89"/>
      <c r="E143" s="89">
        <v>18240</v>
      </c>
      <c r="F143" s="79" t="str">
        <f t="shared" si="39"/>
        <v>Dr</v>
      </c>
      <c r="G143" s="101">
        <f t="shared" si="40"/>
        <v>143100</v>
      </c>
    </row>
    <row r="144" spans="1:7">
      <c r="A144" s="102">
        <v>43987</v>
      </c>
      <c r="B144" s="79" t="s">
        <v>240</v>
      </c>
      <c r="C144" s="100" t="s">
        <v>77</v>
      </c>
      <c r="D144" s="89">
        <v>20000</v>
      </c>
      <c r="E144" s="89"/>
      <c r="F144" s="79" t="str">
        <f t="shared" ref="F144:F150" si="41">IF(G144&gt;0,"Dr","Cr")</f>
        <v>Dr</v>
      </c>
      <c r="G144" s="101">
        <f t="shared" ref="G144:G150" si="42">(G143+D144)-E144</f>
        <v>163100</v>
      </c>
    </row>
    <row r="145" spans="1:7">
      <c r="A145" s="102">
        <v>43987</v>
      </c>
      <c r="B145" s="79" t="s">
        <v>240</v>
      </c>
      <c r="C145" s="100" t="s">
        <v>89</v>
      </c>
      <c r="D145" s="89">
        <v>15000</v>
      </c>
      <c r="E145" s="89"/>
      <c r="F145" s="79" t="str">
        <f t="shared" si="41"/>
        <v>Dr</v>
      </c>
      <c r="G145" s="101">
        <f t="shared" si="42"/>
        <v>178100</v>
      </c>
    </row>
    <row r="146" spans="1:7">
      <c r="A146" s="102">
        <v>43988</v>
      </c>
      <c r="B146" s="79" t="s">
        <v>263</v>
      </c>
      <c r="C146" s="100" t="s">
        <v>332</v>
      </c>
      <c r="D146" s="89">
        <v>200000</v>
      </c>
      <c r="E146" s="89"/>
      <c r="F146" s="79" t="str">
        <f t="shared" si="41"/>
        <v>Dr</v>
      </c>
      <c r="G146" s="101">
        <f t="shared" si="42"/>
        <v>378100</v>
      </c>
    </row>
    <row r="147" spans="1:7">
      <c r="A147" s="102">
        <v>43988</v>
      </c>
      <c r="B147" s="79" t="s">
        <v>337</v>
      </c>
      <c r="C147" s="100" t="s">
        <v>332</v>
      </c>
      <c r="D147" s="89"/>
      <c r="E147" s="89">
        <v>130500</v>
      </c>
      <c r="F147" s="79" t="str">
        <f t="shared" si="41"/>
        <v>Dr</v>
      </c>
      <c r="G147" s="101">
        <f t="shared" si="42"/>
        <v>247600</v>
      </c>
    </row>
    <row r="148" spans="1:7">
      <c r="A148" s="102">
        <v>43988</v>
      </c>
      <c r="B148" s="79" t="s">
        <v>16</v>
      </c>
      <c r="C148" s="100" t="s">
        <v>89</v>
      </c>
      <c r="D148" s="89"/>
      <c r="E148" s="89">
        <v>18200</v>
      </c>
      <c r="F148" s="79" t="str">
        <f t="shared" si="41"/>
        <v>Dr</v>
      </c>
      <c r="G148" s="101">
        <f t="shared" si="42"/>
        <v>229400</v>
      </c>
    </row>
    <row r="149" spans="1:7">
      <c r="A149" s="102">
        <v>43988</v>
      </c>
      <c r="B149" s="79" t="s">
        <v>16</v>
      </c>
      <c r="C149" s="100" t="s">
        <v>77</v>
      </c>
      <c r="D149" s="89"/>
      <c r="E149" s="89">
        <v>24700</v>
      </c>
      <c r="F149" s="79" t="str">
        <f t="shared" si="41"/>
        <v>Dr</v>
      </c>
      <c r="G149" s="101">
        <f t="shared" si="42"/>
        <v>204700</v>
      </c>
    </row>
    <row r="150" spans="1:7">
      <c r="A150" s="102">
        <v>43990</v>
      </c>
      <c r="B150" s="79" t="s">
        <v>240</v>
      </c>
      <c r="C150" s="100" t="s">
        <v>77</v>
      </c>
      <c r="D150" s="89">
        <v>31500</v>
      </c>
      <c r="E150" s="89"/>
      <c r="F150" s="79" t="str">
        <f t="shared" si="41"/>
        <v>Dr</v>
      </c>
      <c r="G150" s="101">
        <f t="shared" si="42"/>
        <v>236200</v>
      </c>
    </row>
    <row r="151" spans="1:7">
      <c r="A151" s="102">
        <v>43990</v>
      </c>
      <c r="B151" s="79" t="s">
        <v>240</v>
      </c>
      <c r="C151" s="100" t="s">
        <v>332</v>
      </c>
      <c r="D151" s="89">
        <v>2500</v>
      </c>
      <c r="E151" s="89"/>
      <c r="F151" s="79" t="str">
        <f t="shared" ref="F151:F156" si="43">IF(G151&gt;0,"Dr","Cr")</f>
        <v>Dr</v>
      </c>
      <c r="G151" s="101">
        <f t="shared" ref="G151:G156" si="44">(G150+D151)-E151</f>
        <v>238700</v>
      </c>
    </row>
    <row r="152" spans="1:7">
      <c r="A152" s="102">
        <v>43990</v>
      </c>
      <c r="B152" s="79" t="s">
        <v>240</v>
      </c>
      <c r="C152" s="100" t="s">
        <v>89</v>
      </c>
      <c r="D152" s="89">
        <v>18000</v>
      </c>
      <c r="E152" s="89"/>
      <c r="F152" s="79" t="str">
        <f t="shared" si="43"/>
        <v>Dr</v>
      </c>
      <c r="G152" s="101">
        <f t="shared" si="44"/>
        <v>256700</v>
      </c>
    </row>
    <row r="153" spans="1:7">
      <c r="A153" s="102">
        <v>43990</v>
      </c>
      <c r="B153" s="79" t="s">
        <v>338</v>
      </c>
      <c r="C153" s="100" t="s">
        <v>77</v>
      </c>
      <c r="D153" s="89"/>
      <c r="E153" s="89">
        <v>150000</v>
      </c>
      <c r="F153" s="79" t="str">
        <f t="shared" si="43"/>
        <v>Dr</v>
      </c>
      <c r="G153" s="101">
        <f t="shared" si="44"/>
        <v>106700</v>
      </c>
    </row>
    <row r="154" spans="1:7">
      <c r="A154" s="102">
        <v>43991</v>
      </c>
      <c r="B154" s="79" t="s">
        <v>240</v>
      </c>
      <c r="C154" s="100" t="s">
        <v>77</v>
      </c>
      <c r="D154" s="89">
        <v>27500</v>
      </c>
      <c r="E154" s="89"/>
      <c r="F154" s="79" t="str">
        <f t="shared" si="43"/>
        <v>Dr</v>
      </c>
      <c r="G154" s="101">
        <f t="shared" si="44"/>
        <v>134200</v>
      </c>
    </row>
    <row r="155" spans="1:7">
      <c r="A155" s="102">
        <v>43991</v>
      </c>
      <c r="B155" s="79" t="s">
        <v>240</v>
      </c>
      <c r="C155" s="100" t="s">
        <v>332</v>
      </c>
      <c r="D155" s="89">
        <v>3000</v>
      </c>
      <c r="E155" s="89"/>
      <c r="F155" s="79" t="str">
        <f t="shared" si="43"/>
        <v>Dr</v>
      </c>
      <c r="G155" s="101">
        <f t="shared" si="44"/>
        <v>137200</v>
      </c>
    </row>
    <row r="156" spans="1:7">
      <c r="A156" s="102">
        <v>43991</v>
      </c>
      <c r="B156" s="79" t="s">
        <v>196</v>
      </c>
      <c r="C156" s="100" t="s">
        <v>332</v>
      </c>
      <c r="D156" s="89"/>
      <c r="E156" s="89">
        <v>33000</v>
      </c>
      <c r="F156" s="79" t="str">
        <f t="shared" si="43"/>
        <v>Dr</v>
      </c>
      <c r="G156" s="101">
        <f t="shared" si="44"/>
        <v>104200</v>
      </c>
    </row>
    <row r="157" spans="1:7">
      <c r="A157" s="102">
        <v>43991</v>
      </c>
      <c r="B157" s="79" t="s">
        <v>240</v>
      </c>
      <c r="C157" s="100" t="s">
        <v>77</v>
      </c>
      <c r="D157" s="89">
        <v>11750</v>
      </c>
      <c r="E157" s="89"/>
      <c r="F157" s="79" t="str">
        <f t="shared" ref="F157:F163" si="45">IF(G157&gt;0,"Dr","Cr")</f>
        <v>Dr</v>
      </c>
      <c r="G157" s="101">
        <f t="shared" ref="G157:G163" si="46">(G156+D157)-E157</f>
        <v>115950</v>
      </c>
    </row>
    <row r="158" spans="1:7">
      <c r="A158" s="102">
        <v>43992</v>
      </c>
      <c r="B158" s="79" t="s">
        <v>16</v>
      </c>
      <c r="C158" s="100" t="s">
        <v>91</v>
      </c>
      <c r="D158" s="89"/>
      <c r="E158" s="89">
        <v>26000</v>
      </c>
      <c r="F158" s="79" t="str">
        <f t="shared" si="45"/>
        <v>Dr</v>
      </c>
      <c r="G158" s="101">
        <f t="shared" si="46"/>
        <v>89950</v>
      </c>
    </row>
    <row r="159" spans="1:7">
      <c r="A159" s="102">
        <v>43992</v>
      </c>
      <c r="B159" s="79" t="s">
        <v>240</v>
      </c>
      <c r="C159" s="100" t="s">
        <v>89</v>
      </c>
      <c r="D159" s="89">
        <v>3000</v>
      </c>
      <c r="E159" s="89"/>
      <c r="F159" s="79" t="str">
        <f t="shared" si="45"/>
        <v>Dr</v>
      </c>
      <c r="G159" s="101">
        <f t="shared" si="46"/>
        <v>92950</v>
      </c>
    </row>
    <row r="160" spans="1:7">
      <c r="A160" s="102">
        <v>43993</v>
      </c>
      <c r="B160" s="79" t="s">
        <v>240</v>
      </c>
      <c r="C160" s="100" t="s">
        <v>77</v>
      </c>
      <c r="D160" s="89">
        <v>9000</v>
      </c>
      <c r="E160" s="89"/>
      <c r="F160" s="79" t="str">
        <f t="shared" si="45"/>
        <v>Dr</v>
      </c>
      <c r="G160" s="101">
        <f t="shared" si="46"/>
        <v>101950</v>
      </c>
    </row>
    <row r="161" spans="1:7">
      <c r="A161" s="102">
        <v>43993</v>
      </c>
      <c r="B161" s="79" t="s">
        <v>155</v>
      </c>
      <c r="C161" s="100" t="s">
        <v>332</v>
      </c>
      <c r="D161" s="89"/>
      <c r="E161" s="89">
        <v>28900</v>
      </c>
      <c r="F161" s="79" t="str">
        <f t="shared" si="45"/>
        <v>Dr</v>
      </c>
      <c r="G161" s="101">
        <f t="shared" si="46"/>
        <v>73050</v>
      </c>
    </row>
    <row r="162" spans="1:7">
      <c r="A162" s="102">
        <v>43994</v>
      </c>
      <c r="B162" s="79" t="s">
        <v>240</v>
      </c>
      <c r="C162" s="100" t="s">
        <v>77</v>
      </c>
      <c r="D162" s="89">
        <v>4500</v>
      </c>
      <c r="E162" s="89"/>
      <c r="F162" s="79" t="str">
        <f t="shared" si="45"/>
        <v>Dr</v>
      </c>
      <c r="G162" s="101">
        <f t="shared" si="46"/>
        <v>77550</v>
      </c>
    </row>
    <row r="163" spans="1:7">
      <c r="A163" s="102">
        <v>43994</v>
      </c>
      <c r="B163" s="79" t="s">
        <v>240</v>
      </c>
      <c r="C163" s="100" t="s">
        <v>89</v>
      </c>
      <c r="D163" s="89">
        <v>11000</v>
      </c>
      <c r="E163" s="89"/>
      <c r="F163" s="79" t="str">
        <f t="shared" si="45"/>
        <v>Dr</v>
      </c>
      <c r="G163" s="101">
        <f t="shared" si="46"/>
        <v>88550</v>
      </c>
    </row>
    <row r="164" spans="1:7">
      <c r="A164" s="102">
        <v>43997</v>
      </c>
      <c r="B164" s="79" t="s">
        <v>240</v>
      </c>
      <c r="C164" s="100" t="s">
        <v>89</v>
      </c>
      <c r="D164" s="89">
        <v>16000</v>
      </c>
      <c r="E164" s="89"/>
      <c r="F164" s="79" t="str">
        <f t="shared" ref="F164:F169" si="47">IF(G164&gt;0,"Dr","Cr")</f>
        <v>Dr</v>
      </c>
      <c r="G164" s="101">
        <f t="shared" ref="G164:G169" si="48">(G163+D164)-E164</f>
        <v>104550</v>
      </c>
    </row>
    <row r="165" spans="1:7">
      <c r="A165" s="102">
        <v>43997</v>
      </c>
      <c r="B165" s="79" t="s">
        <v>155</v>
      </c>
      <c r="C165" s="100" t="s">
        <v>89</v>
      </c>
      <c r="D165" s="89"/>
      <c r="E165" s="89">
        <v>15000</v>
      </c>
      <c r="F165" s="79" t="str">
        <f t="shared" si="47"/>
        <v>Dr</v>
      </c>
      <c r="G165" s="101">
        <f t="shared" si="48"/>
        <v>89550</v>
      </c>
    </row>
    <row r="166" spans="1:7">
      <c r="A166" s="102">
        <v>43997</v>
      </c>
      <c r="B166" s="79" t="s">
        <v>196</v>
      </c>
      <c r="C166" s="100" t="s">
        <v>89</v>
      </c>
      <c r="D166" s="89">
        <v>4000</v>
      </c>
      <c r="E166" s="89">
        <v>31400</v>
      </c>
      <c r="F166" s="79" t="str">
        <f t="shared" si="47"/>
        <v>Dr</v>
      </c>
      <c r="G166" s="101">
        <f t="shared" si="48"/>
        <v>62150</v>
      </c>
    </row>
    <row r="167" spans="1:7">
      <c r="A167" s="102">
        <v>43998</v>
      </c>
      <c r="B167" s="79" t="s">
        <v>196</v>
      </c>
      <c r="C167" s="100" t="s">
        <v>89</v>
      </c>
      <c r="D167" s="89"/>
      <c r="E167" s="89">
        <v>33000</v>
      </c>
      <c r="F167" s="79" t="str">
        <f t="shared" si="47"/>
        <v>Dr</v>
      </c>
      <c r="G167" s="101">
        <f t="shared" si="48"/>
        <v>29150</v>
      </c>
    </row>
    <row r="168" spans="1:7">
      <c r="A168" s="102">
        <v>43998</v>
      </c>
      <c r="B168" s="79" t="s">
        <v>196</v>
      </c>
      <c r="C168" s="100" t="s">
        <v>332</v>
      </c>
      <c r="D168" s="89"/>
      <c r="E168" s="89">
        <v>10000</v>
      </c>
      <c r="F168" s="79" t="str">
        <f t="shared" si="47"/>
        <v>Dr</v>
      </c>
      <c r="G168" s="101">
        <f t="shared" si="48"/>
        <v>19150</v>
      </c>
    </row>
    <row r="169" spans="1:7">
      <c r="A169" s="102">
        <v>43998</v>
      </c>
      <c r="B169" s="79" t="s">
        <v>240</v>
      </c>
      <c r="C169" s="100" t="s">
        <v>89</v>
      </c>
      <c r="D169" s="89">
        <v>5000</v>
      </c>
      <c r="E169" s="89"/>
      <c r="F169" s="79" t="str">
        <f t="shared" si="47"/>
        <v>Dr</v>
      </c>
      <c r="G169" s="101">
        <f t="shared" si="48"/>
        <v>24150</v>
      </c>
    </row>
    <row r="170" spans="1:7">
      <c r="A170" s="102">
        <v>43998</v>
      </c>
      <c r="B170" s="79" t="s">
        <v>240</v>
      </c>
      <c r="C170" s="100" t="s">
        <v>77</v>
      </c>
      <c r="D170" s="89">
        <v>5000</v>
      </c>
      <c r="E170" s="89"/>
      <c r="F170" s="79" t="str">
        <f t="shared" ref="F170:F176" si="49">IF(G170&gt;0,"Dr","Cr")</f>
        <v>Dr</v>
      </c>
      <c r="G170" s="101">
        <f t="shared" ref="G170:G176" si="50">(G169+D170)-E170</f>
        <v>29150</v>
      </c>
    </row>
    <row r="171" spans="1:7">
      <c r="A171" s="102">
        <v>43999</v>
      </c>
      <c r="B171" s="79" t="s">
        <v>240</v>
      </c>
      <c r="C171" s="100" t="s">
        <v>332</v>
      </c>
      <c r="D171" s="89">
        <v>8000</v>
      </c>
      <c r="E171" s="89"/>
      <c r="F171" s="79" t="str">
        <f t="shared" si="49"/>
        <v>Dr</v>
      </c>
      <c r="G171" s="101">
        <f t="shared" si="50"/>
        <v>37150</v>
      </c>
    </row>
    <row r="172" spans="1:7">
      <c r="A172" s="102">
        <v>44000</v>
      </c>
      <c r="B172" s="79" t="s">
        <v>240</v>
      </c>
      <c r="C172" s="100" t="s">
        <v>77</v>
      </c>
      <c r="D172" s="89">
        <v>34650</v>
      </c>
      <c r="E172" s="89"/>
      <c r="F172" s="79" t="str">
        <f t="shared" si="49"/>
        <v>Dr</v>
      </c>
      <c r="G172" s="101">
        <f t="shared" si="50"/>
        <v>71800</v>
      </c>
    </row>
    <row r="173" spans="1:7">
      <c r="A173" s="102">
        <v>44000</v>
      </c>
      <c r="B173" s="79" t="s">
        <v>338</v>
      </c>
      <c r="C173" s="100" t="s">
        <v>77</v>
      </c>
      <c r="D173" s="89"/>
      <c r="E173" s="89">
        <v>50000</v>
      </c>
      <c r="F173" s="79" t="str">
        <f t="shared" si="49"/>
        <v>Dr</v>
      </c>
      <c r="G173" s="101">
        <f t="shared" si="50"/>
        <v>21800</v>
      </c>
    </row>
    <row r="174" spans="1:7">
      <c r="A174" s="102">
        <v>44000</v>
      </c>
      <c r="B174" s="79" t="s">
        <v>182</v>
      </c>
      <c r="C174" s="100" t="s">
        <v>88</v>
      </c>
      <c r="D174" s="89"/>
      <c r="E174" s="89">
        <v>11000</v>
      </c>
      <c r="F174" s="79" t="str">
        <f t="shared" si="49"/>
        <v>Dr</v>
      </c>
      <c r="G174" s="101">
        <f t="shared" si="50"/>
        <v>10800</v>
      </c>
    </row>
    <row r="175" spans="1:7">
      <c r="A175" s="102">
        <v>44002</v>
      </c>
      <c r="B175" s="79" t="s">
        <v>240</v>
      </c>
      <c r="C175" s="100" t="s">
        <v>89</v>
      </c>
      <c r="D175" s="89">
        <v>4000</v>
      </c>
      <c r="E175" s="89"/>
      <c r="F175" s="79" t="str">
        <f t="shared" si="49"/>
        <v>Dr</v>
      </c>
      <c r="G175" s="101">
        <f t="shared" si="50"/>
        <v>14800</v>
      </c>
    </row>
    <row r="176" spans="1:7">
      <c r="A176" s="102">
        <v>44002</v>
      </c>
      <c r="B176" s="79" t="s">
        <v>338</v>
      </c>
      <c r="C176" s="100" t="s">
        <v>77</v>
      </c>
      <c r="D176" s="89"/>
      <c r="E176" s="89">
        <v>10800</v>
      </c>
      <c r="F176" s="79" t="str">
        <f t="shared" si="49"/>
        <v>Dr</v>
      </c>
      <c r="G176" s="101">
        <f t="shared" si="50"/>
        <v>4000</v>
      </c>
    </row>
    <row r="177" spans="1:7">
      <c r="A177" s="102">
        <v>44004</v>
      </c>
      <c r="B177" s="79" t="s">
        <v>240</v>
      </c>
      <c r="C177" s="100" t="s">
        <v>77</v>
      </c>
      <c r="D177" s="89">
        <v>25000</v>
      </c>
      <c r="E177" s="89"/>
      <c r="F177" s="79" t="str">
        <f t="shared" ref="F177:F185" si="51">IF(G177&gt;0,"Dr","Cr")</f>
        <v>Dr</v>
      </c>
      <c r="G177" s="101">
        <f t="shared" ref="G177:G185" si="52">(G176+D177)-E177</f>
        <v>29000</v>
      </c>
    </row>
    <row r="178" spans="1:7">
      <c r="A178" s="102">
        <v>44004</v>
      </c>
      <c r="B178" s="79" t="s">
        <v>310</v>
      </c>
      <c r="C178" s="100" t="s">
        <v>88</v>
      </c>
      <c r="D178" s="89"/>
      <c r="E178" s="89">
        <v>16000</v>
      </c>
      <c r="F178" s="79" t="str">
        <f t="shared" si="51"/>
        <v>Dr</v>
      </c>
      <c r="G178" s="101">
        <f t="shared" si="52"/>
        <v>13000</v>
      </c>
    </row>
    <row r="179" spans="1:7">
      <c r="A179" s="102">
        <v>44007</v>
      </c>
      <c r="B179" s="79" t="s">
        <v>240</v>
      </c>
      <c r="C179" s="100" t="s">
        <v>77</v>
      </c>
      <c r="D179" s="89">
        <v>2000</v>
      </c>
      <c r="E179" s="89"/>
      <c r="F179" s="79" t="str">
        <f t="shared" si="51"/>
        <v>Dr</v>
      </c>
      <c r="G179" s="101">
        <f t="shared" si="52"/>
        <v>15000</v>
      </c>
    </row>
    <row r="180" spans="1:7">
      <c r="A180" s="102">
        <v>44009</v>
      </c>
      <c r="B180" s="79" t="s">
        <v>240</v>
      </c>
      <c r="C180" s="100" t="s">
        <v>89</v>
      </c>
      <c r="D180" s="89">
        <v>4000</v>
      </c>
      <c r="E180" s="89"/>
      <c r="F180" s="79" t="str">
        <f t="shared" si="51"/>
        <v>Dr</v>
      </c>
      <c r="G180" s="101">
        <f t="shared" si="52"/>
        <v>19000</v>
      </c>
    </row>
    <row r="181" spans="1:7">
      <c r="A181" s="102">
        <v>44016</v>
      </c>
      <c r="B181" s="79" t="s">
        <v>347</v>
      </c>
      <c r="C181" s="100" t="s">
        <v>77</v>
      </c>
      <c r="D181" s="89">
        <v>24500</v>
      </c>
      <c r="E181" s="89"/>
      <c r="F181" s="79" t="str">
        <f t="shared" si="51"/>
        <v>Dr</v>
      </c>
      <c r="G181" s="101">
        <f t="shared" si="52"/>
        <v>43500</v>
      </c>
    </row>
    <row r="182" spans="1:7">
      <c r="A182" s="102">
        <v>44016</v>
      </c>
      <c r="B182" s="79" t="s">
        <v>347</v>
      </c>
      <c r="C182" s="100" t="s">
        <v>89</v>
      </c>
      <c r="D182" s="89">
        <v>7000</v>
      </c>
      <c r="E182" s="89"/>
      <c r="F182" s="79" t="str">
        <f t="shared" si="51"/>
        <v>Dr</v>
      </c>
      <c r="G182" s="101">
        <f t="shared" si="52"/>
        <v>50500</v>
      </c>
    </row>
    <row r="183" spans="1:7">
      <c r="A183" s="102">
        <v>44016</v>
      </c>
      <c r="B183" s="79" t="s">
        <v>347</v>
      </c>
      <c r="C183" s="100" t="s">
        <v>332</v>
      </c>
      <c r="D183" s="89">
        <v>3600</v>
      </c>
      <c r="E183" s="89"/>
      <c r="F183" s="79" t="str">
        <f t="shared" si="51"/>
        <v>Dr</v>
      </c>
      <c r="G183" s="101">
        <f t="shared" si="52"/>
        <v>54100</v>
      </c>
    </row>
    <row r="184" spans="1:7">
      <c r="A184" s="102">
        <v>44016</v>
      </c>
      <c r="B184" s="79" t="s">
        <v>196</v>
      </c>
      <c r="C184" s="100" t="s">
        <v>332</v>
      </c>
      <c r="D184" s="89"/>
      <c r="E184" s="89">
        <v>13000</v>
      </c>
      <c r="F184" s="79" t="str">
        <f t="shared" si="51"/>
        <v>Dr</v>
      </c>
      <c r="G184" s="101">
        <f t="shared" si="52"/>
        <v>41100</v>
      </c>
    </row>
    <row r="185" spans="1:7">
      <c r="A185" s="102">
        <v>44018</v>
      </c>
      <c r="B185" s="79" t="s">
        <v>338</v>
      </c>
      <c r="C185" s="100" t="s">
        <v>77</v>
      </c>
      <c r="D185" s="89"/>
      <c r="E185" s="89">
        <v>36000</v>
      </c>
      <c r="F185" s="79" t="str">
        <f t="shared" si="51"/>
        <v>Dr</v>
      </c>
      <c r="G185" s="101">
        <f t="shared" si="52"/>
        <v>5100</v>
      </c>
    </row>
    <row r="186" spans="1:7">
      <c r="A186" s="102">
        <v>44018</v>
      </c>
      <c r="B186" s="79" t="s">
        <v>240</v>
      </c>
      <c r="C186" s="100" t="s">
        <v>77</v>
      </c>
      <c r="D186" s="89">
        <v>29000</v>
      </c>
      <c r="E186" s="89"/>
      <c r="F186" s="79" t="str">
        <f t="shared" ref="F186:F192" si="53">IF(G186&gt;0,"Dr","Cr")</f>
        <v>Dr</v>
      </c>
      <c r="G186" s="101">
        <f t="shared" ref="G186:G192" si="54">(G185+D186)-E186</f>
        <v>34100</v>
      </c>
    </row>
    <row r="187" spans="1:7">
      <c r="A187" s="102">
        <v>44018</v>
      </c>
      <c r="B187" s="79" t="s">
        <v>240</v>
      </c>
      <c r="C187" s="100" t="s">
        <v>89</v>
      </c>
      <c r="D187" s="89">
        <v>25500</v>
      </c>
      <c r="E187" s="89"/>
      <c r="F187" s="79" t="str">
        <f t="shared" si="53"/>
        <v>Dr</v>
      </c>
      <c r="G187" s="101">
        <f t="shared" si="54"/>
        <v>59600</v>
      </c>
    </row>
    <row r="188" spans="1:7">
      <c r="A188" s="102">
        <v>44021</v>
      </c>
      <c r="B188" s="79" t="s">
        <v>240</v>
      </c>
      <c r="C188" s="100" t="s">
        <v>77</v>
      </c>
      <c r="D188" s="89">
        <v>15500</v>
      </c>
      <c r="E188" s="89"/>
      <c r="F188" s="79" t="str">
        <f t="shared" si="53"/>
        <v>Dr</v>
      </c>
      <c r="G188" s="101">
        <f t="shared" si="54"/>
        <v>75100</v>
      </c>
    </row>
    <row r="189" spans="1:7">
      <c r="A189" s="102">
        <v>44021</v>
      </c>
      <c r="B189" s="79" t="s">
        <v>240</v>
      </c>
      <c r="C189" s="100" t="s">
        <v>89</v>
      </c>
      <c r="D189" s="89">
        <v>17000</v>
      </c>
      <c r="E189" s="89"/>
      <c r="F189" s="79" t="str">
        <f t="shared" si="53"/>
        <v>Dr</v>
      </c>
      <c r="G189" s="101">
        <f t="shared" si="54"/>
        <v>92100</v>
      </c>
    </row>
    <row r="190" spans="1:7">
      <c r="A190" s="102">
        <v>44021</v>
      </c>
      <c r="B190" s="79" t="s">
        <v>240</v>
      </c>
      <c r="C190" s="100" t="s">
        <v>332</v>
      </c>
      <c r="D190" s="89">
        <v>5000</v>
      </c>
      <c r="E190" s="89"/>
      <c r="F190" s="79" t="str">
        <f t="shared" si="53"/>
        <v>Dr</v>
      </c>
      <c r="G190" s="101">
        <f t="shared" si="54"/>
        <v>97100</v>
      </c>
    </row>
    <row r="191" spans="1:7">
      <c r="A191" s="102">
        <v>44021</v>
      </c>
      <c r="B191" s="79" t="s">
        <v>338</v>
      </c>
      <c r="C191" s="100" t="s">
        <v>77</v>
      </c>
      <c r="D191" s="89"/>
      <c r="E191" s="89">
        <v>50000</v>
      </c>
      <c r="F191" s="79" t="str">
        <f t="shared" si="53"/>
        <v>Dr</v>
      </c>
      <c r="G191" s="101">
        <f t="shared" si="54"/>
        <v>47100</v>
      </c>
    </row>
    <row r="192" spans="1:7">
      <c r="A192" s="102">
        <v>44021</v>
      </c>
      <c r="B192" s="79" t="s">
        <v>196</v>
      </c>
      <c r="C192" s="100" t="s">
        <v>89</v>
      </c>
      <c r="D192" s="89"/>
      <c r="E192" s="89">
        <v>19000</v>
      </c>
      <c r="F192" s="79" t="str">
        <f t="shared" si="53"/>
        <v>Dr</v>
      </c>
      <c r="G192" s="101">
        <f t="shared" si="54"/>
        <v>28100</v>
      </c>
    </row>
    <row r="193" spans="1:7">
      <c r="A193" s="102">
        <v>44021</v>
      </c>
      <c r="B193" s="79" t="s">
        <v>240</v>
      </c>
      <c r="C193" s="100" t="s">
        <v>310</v>
      </c>
      <c r="D193" s="89">
        <v>400000</v>
      </c>
      <c r="E193" s="89"/>
      <c r="F193" s="79" t="str">
        <f t="shared" ref="F193:F200" si="55">IF(G193&gt;0,"Dr","Cr")</f>
        <v>Dr</v>
      </c>
      <c r="G193" s="101">
        <f t="shared" ref="G193:G200" si="56">(G192+D193)-E193</f>
        <v>428100</v>
      </c>
    </row>
    <row r="194" spans="1:7">
      <c r="A194" s="102">
        <v>44021</v>
      </c>
      <c r="B194" s="79" t="s">
        <v>337</v>
      </c>
      <c r="C194" s="100" t="s">
        <v>310</v>
      </c>
      <c r="D194" s="89"/>
      <c r="E194" s="89">
        <v>135000</v>
      </c>
      <c r="F194" s="79" t="str">
        <f t="shared" si="55"/>
        <v>Dr</v>
      </c>
      <c r="G194" s="101">
        <f t="shared" si="56"/>
        <v>293100</v>
      </c>
    </row>
    <row r="195" spans="1:7">
      <c r="A195" s="102">
        <v>44021</v>
      </c>
      <c r="B195" s="79" t="s">
        <v>240</v>
      </c>
      <c r="C195" s="100" t="s">
        <v>332</v>
      </c>
      <c r="D195" s="89">
        <v>1000</v>
      </c>
      <c r="E195" s="89"/>
      <c r="F195" s="79" t="str">
        <f t="shared" si="55"/>
        <v>Dr</v>
      </c>
      <c r="G195" s="101">
        <f t="shared" si="56"/>
        <v>294100</v>
      </c>
    </row>
    <row r="196" spans="1:7">
      <c r="A196" s="102">
        <v>44021</v>
      </c>
      <c r="B196" s="79" t="s">
        <v>280</v>
      </c>
      <c r="C196" s="100" t="s">
        <v>310</v>
      </c>
      <c r="D196" s="89">
        <v>500</v>
      </c>
      <c r="E196" s="89"/>
      <c r="F196" s="79" t="str">
        <f t="shared" si="55"/>
        <v>Dr</v>
      </c>
      <c r="G196" s="101">
        <f t="shared" si="56"/>
        <v>294600</v>
      </c>
    </row>
    <row r="197" spans="1:7">
      <c r="A197" s="102">
        <v>44023</v>
      </c>
      <c r="B197" s="79" t="s">
        <v>240</v>
      </c>
      <c r="C197" s="100" t="s">
        <v>77</v>
      </c>
      <c r="D197" s="89">
        <v>25500</v>
      </c>
      <c r="E197" s="89"/>
      <c r="F197" s="79" t="str">
        <f t="shared" si="55"/>
        <v>Dr</v>
      </c>
      <c r="G197" s="101">
        <f t="shared" si="56"/>
        <v>320100</v>
      </c>
    </row>
    <row r="198" spans="1:7">
      <c r="A198" s="102">
        <v>44023</v>
      </c>
      <c r="B198" s="79" t="s">
        <v>240</v>
      </c>
      <c r="C198" s="100" t="s">
        <v>89</v>
      </c>
      <c r="D198" s="89">
        <v>4000</v>
      </c>
      <c r="E198" s="89"/>
      <c r="F198" s="79" t="str">
        <f t="shared" si="55"/>
        <v>Dr</v>
      </c>
      <c r="G198" s="101">
        <f t="shared" si="56"/>
        <v>324100</v>
      </c>
    </row>
    <row r="199" spans="1:7">
      <c r="A199" s="102">
        <v>44023</v>
      </c>
      <c r="B199" s="79" t="s">
        <v>259</v>
      </c>
      <c r="C199" s="100" t="s">
        <v>77</v>
      </c>
      <c r="D199" s="89"/>
      <c r="E199" s="89">
        <v>21894</v>
      </c>
      <c r="F199" s="79" t="str">
        <f t="shared" si="55"/>
        <v>Dr</v>
      </c>
      <c r="G199" s="101">
        <f t="shared" si="56"/>
        <v>302206</v>
      </c>
    </row>
    <row r="200" spans="1:7">
      <c r="A200" s="102">
        <v>44023</v>
      </c>
      <c r="B200" s="79" t="s">
        <v>261</v>
      </c>
      <c r="C200" s="100" t="s">
        <v>91</v>
      </c>
      <c r="D200" s="89">
        <v>21894</v>
      </c>
      <c r="E200" s="89"/>
      <c r="F200" s="79" t="str">
        <f t="shared" si="55"/>
        <v>Dr</v>
      </c>
      <c r="G200" s="101">
        <f t="shared" si="56"/>
        <v>324100</v>
      </c>
    </row>
    <row r="201" spans="1:7">
      <c r="A201" s="102">
        <v>44023</v>
      </c>
      <c r="B201" s="79" t="s">
        <v>259</v>
      </c>
      <c r="C201" s="100" t="s">
        <v>89</v>
      </c>
      <c r="D201" s="89"/>
      <c r="E201" s="89">
        <v>10883</v>
      </c>
      <c r="F201" s="79" t="str">
        <f t="shared" ref="F201:F212" si="57">IF(G201&gt;0,"Dr","Cr")</f>
        <v>Dr</v>
      </c>
      <c r="G201" s="101">
        <f t="shared" ref="G201:G212" si="58">(G200+D201)-E201</f>
        <v>313217</v>
      </c>
    </row>
    <row r="202" spans="1:7">
      <c r="A202" s="102">
        <v>44023</v>
      </c>
      <c r="B202" s="79" t="s">
        <v>249</v>
      </c>
      <c r="C202" s="100" t="s">
        <v>91</v>
      </c>
      <c r="D202" s="89">
        <v>10883</v>
      </c>
      <c r="E202" s="89"/>
      <c r="F202" s="79" t="str">
        <f t="shared" si="57"/>
        <v>Dr</v>
      </c>
      <c r="G202" s="101">
        <f t="shared" si="58"/>
        <v>324100</v>
      </c>
    </row>
    <row r="203" spans="1:7">
      <c r="A203" s="102">
        <v>44023</v>
      </c>
      <c r="B203" s="79" t="s">
        <v>360</v>
      </c>
      <c r="C203" s="100" t="s">
        <v>77</v>
      </c>
      <c r="D203" s="89"/>
      <c r="E203" s="89">
        <v>22000</v>
      </c>
      <c r="F203" s="79" t="str">
        <f t="shared" si="57"/>
        <v>Dr</v>
      </c>
      <c r="G203" s="101">
        <f t="shared" si="58"/>
        <v>302100</v>
      </c>
    </row>
    <row r="204" spans="1:7">
      <c r="A204" s="102">
        <v>44023</v>
      </c>
      <c r="B204" s="79" t="s">
        <v>361</v>
      </c>
      <c r="C204" s="100" t="s">
        <v>89</v>
      </c>
      <c r="D204" s="89"/>
      <c r="E204" s="89">
        <v>10900</v>
      </c>
      <c r="F204" s="79" t="str">
        <f t="shared" si="57"/>
        <v>Dr</v>
      </c>
      <c r="G204" s="101">
        <f t="shared" si="58"/>
        <v>291200</v>
      </c>
    </row>
    <row r="205" spans="1:7">
      <c r="A205" s="102">
        <v>44023</v>
      </c>
      <c r="B205" s="79" t="s">
        <v>259</v>
      </c>
      <c r="C205" s="100" t="s">
        <v>332</v>
      </c>
      <c r="D205" s="89"/>
      <c r="E205" s="89">
        <v>3922</v>
      </c>
      <c r="F205" s="79" t="str">
        <f t="shared" si="57"/>
        <v>Dr</v>
      </c>
      <c r="G205" s="101">
        <f t="shared" si="58"/>
        <v>287278</v>
      </c>
    </row>
    <row r="206" spans="1:7">
      <c r="A206" s="102">
        <v>44023</v>
      </c>
      <c r="B206" s="79" t="s">
        <v>332</v>
      </c>
      <c r="C206" s="100" t="s">
        <v>91</v>
      </c>
      <c r="D206" s="89">
        <v>3922</v>
      </c>
      <c r="E206" s="89"/>
      <c r="F206" s="79" t="str">
        <f t="shared" si="57"/>
        <v>Dr</v>
      </c>
      <c r="G206" s="101">
        <f t="shared" si="58"/>
        <v>291200</v>
      </c>
    </row>
    <row r="207" spans="1:7">
      <c r="A207" s="102">
        <v>44023</v>
      </c>
      <c r="B207" s="79" t="s">
        <v>365</v>
      </c>
      <c r="C207" s="100" t="s">
        <v>332</v>
      </c>
      <c r="D207" s="89"/>
      <c r="E207" s="89">
        <v>3900</v>
      </c>
      <c r="F207" s="79" t="str">
        <f t="shared" si="57"/>
        <v>Dr</v>
      </c>
      <c r="G207" s="101">
        <f t="shared" si="58"/>
        <v>287300</v>
      </c>
    </row>
    <row r="208" spans="1:7">
      <c r="A208" s="102">
        <v>44023</v>
      </c>
      <c r="B208" s="79" t="s">
        <v>263</v>
      </c>
      <c r="C208" s="100" t="s">
        <v>77</v>
      </c>
      <c r="D208" s="89">
        <v>100000</v>
      </c>
      <c r="E208" s="89"/>
      <c r="F208" s="79" t="str">
        <f t="shared" si="57"/>
        <v>Dr</v>
      </c>
      <c r="G208" s="101">
        <f t="shared" si="58"/>
        <v>387300</v>
      </c>
    </row>
    <row r="209" spans="1:7">
      <c r="A209" s="102">
        <v>44023</v>
      </c>
      <c r="B209" s="79" t="s">
        <v>337</v>
      </c>
      <c r="C209" s="100" t="s">
        <v>310</v>
      </c>
      <c r="D209" s="89"/>
      <c r="E209" s="89">
        <v>69300</v>
      </c>
      <c r="F209" s="79" t="str">
        <f t="shared" si="57"/>
        <v>Dr</v>
      </c>
      <c r="G209" s="101">
        <f t="shared" si="58"/>
        <v>318000</v>
      </c>
    </row>
    <row r="210" spans="1:7">
      <c r="A210" s="102">
        <v>44023</v>
      </c>
      <c r="B210" s="79" t="s">
        <v>259</v>
      </c>
      <c r="C210" s="100" t="s">
        <v>88</v>
      </c>
      <c r="D210" s="89">
        <v>16000</v>
      </c>
      <c r="E210" s="89"/>
      <c r="F210" s="79" t="str">
        <f t="shared" si="57"/>
        <v>Dr</v>
      </c>
      <c r="G210" s="101">
        <f t="shared" si="58"/>
        <v>334000</v>
      </c>
    </row>
    <row r="211" spans="1:7">
      <c r="A211" s="102">
        <v>44023</v>
      </c>
      <c r="B211" s="79" t="s">
        <v>182</v>
      </c>
      <c r="C211" s="100" t="s">
        <v>91</v>
      </c>
      <c r="D211" s="89"/>
      <c r="E211" s="89">
        <v>16000</v>
      </c>
      <c r="F211" s="79" t="str">
        <f t="shared" si="57"/>
        <v>Dr</v>
      </c>
      <c r="G211" s="101">
        <f t="shared" si="58"/>
        <v>318000</v>
      </c>
    </row>
    <row r="212" spans="1:7">
      <c r="A212" s="102">
        <v>44023</v>
      </c>
      <c r="B212" s="79" t="s">
        <v>284</v>
      </c>
      <c r="C212" s="100" t="s">
        <v>91</v>
      </c>
      <c r="D212" s="89"/>
      <c r="E212" s="89">
        <v>15000</v>
      </c>
      <c r="F212" s="79" t="str">
        <f t="shared" si="57"/>
        <v>Dr</v>
      </c>
      <c r="G212" s="101">
        <f t="shared" si="58"/>
        <v>303000</v>
      </c>
    </row>
    <row r="213" spans="1:7">
      <c r="A213" s="102">
        <v>44023</v>
      </c>
      <c r="B213" s="79" t="s">
        <v>312</v>
      </c>
      <c r="C213" s="100" t="s">
        <v>91</v>
      </c>
      <c r="D213" s="89"/>
      <c r="E213" s="89">
        <v>5890</v>
      </c>
      <c r="F213" s="79" t="str">
        <f t="shared" ref="F213:F225" si="59">IF(G213&gt;0,"Dr","Cr")</f>
        <v>Dr</v>
      </c>
      <c r="G213" s="101">
        <f t="shared" ref="G213:G225" si="60">(G212+D213)-E213</f>
        <v>297110</v>
      </c>
    </row>
    <row r="214" spans="1:7">
      <c r="A214" s="102">
        <v>44023</v>
      </c>
      <c r="B214" s="79" t="s">
        <v>240</v>
      </c>
      <c r="C214" s="100" t="s">
        <v>89</v>
      </c>
      <c r="D214" s="89">
        <v>5890</v>
      </c>
      <c r="E214" s="89"/>
      <c r="F214" s="79" t="str">
        <f t="shared" si="59"/>
        <v>Dr</v>
      </c>
      <c r="G214" s="101">
        <f t="shared" si="60"/>
        <v>303000</v>
      </c>
    </row>
    <row r="215" spans="1:7">
      <c r="A215" s="102">
        <v>44026</v>
      </c>
      <c r="B215" s="79" t="s">
        <v>240</v>
      </c>
      <c r="C215" s="100" t="s">
        <v>310</v>
      </c>
      <c r="D215" s="89">
        <v>10000</v>
      </c>
      <c r="E215" s="89"/>
      <c r="F215" s="79" t="str">
        <f t="shared" si="59"/>
        <v>Dr</v>
      </c>
      <c r="G215" s="101">
        <f t="shared" si="60"/>
        <v>313000</v>
      </c>
    </row>
    <row r="216" spans="1:7">
      <c r="A216" s="102">
        <v>44026</v>
      </c>
      <c r="B216" s="79" t="s">
        <v>240</v>
      </c>
      <c r="C216" s="100" t="s">
        <v>77</v>
      </c>
      <c r="D216" s="89">
        <v>17500</v>
      </c>
      <c r="E216" s="89"/>
      <c r="F216" s="79" t="str">
        <f t="shared" si="59"/>
        <v>Dr</v>
      </c>
      <c r="G216" s="101">
        <f t="shared" si="60"/>
        <v>330500</v>
      </c>
    </row>
    <row r="217" spans="1:7">
      <c r="A217" s="102">
        <v>44026</v>
      </c>
      <c r="B217" s="79" t="s">
        <v>240</v>
      </c>
      <c r="C217" s="100" t="s">
        <v>89</v>
      </c>
      <c r="D217" s="89">
        <v>22000</v>
      </c>
      <c r="E217" s="89"/>
      <c r="F217" s="79" t="str">
        <f t="shared" si="59"/>
        <v>Dr</v>
      </c>
      <c r="G217" s="101">
        <f t="shared" si="60"/>
        <v>352500</v>
      </c>
    </row>
    <row r="218" spans="1:7">
      <c r="A218" s="102">
        <v>44026</v>
      </c>
      <c r="B218" s="79" t="s">
        <v>240</v>
      </c>
      <c r="C218" s="100" t="s">
        <v>332</v>
      </c>
      <c r="D218" s="89">
        <v>14000</v>
      </c>
      <c r="E218" s="89"/>
      <c r="F218" s="79" t="str">
        <f t="shared" si="59"/>
        <v>Dr</v>
      </c>
      <c r="G218" s="101">
        <f t="shared" si="60"/>
        <v>366500</v>
      </c>
    </row>
    <row r="219" spans="1:7">
      <c r="A219" s="102">
        <v>44026</v>
      </c>
      <c r="B219" s="79" t="s">
        <v>377</v>
      </c>
      <c r="C219" s="100" t="s">
        <v>77</v>
      </c>
      <c r="D219" s="89"/>
      <c r="E219" s="89">
        <v>70000</v>
      </c>
      <c r="F219" s="79" t="str">
        <f t="shared" si="59"/>
        <v>Dr</v>
      </c>
      <c r="G219" s="101">
        <f t="shared" si="60"/>
        <v>296500</v>
      </c>
    </row>
    <row r="220" spans="1:7">
      <c r="A220" s="102">
        <v>44026</v>
      </c>
      <c r="B220" s="79" t="s">
        <v>381</v>
      </c>
      <c r="C220" s="100" t="s">
        <v>332</v>
      </c>
      <c r="D220" s="89"/>
      <c r="E220" s="89">
        <v>13700</v>
      </c>
      <c r="F220" s="79" t="str">
        <f t="shared" si="59"/>
        <v>Dr</v>
      </c>
      <c r="G220" s="101">
        <f t="shared" si="60"/>
        <v>282800</v>
      </c>
    </row>
    <row r="221" spans="1:7">
      <c r="A221" s="102">
        <v>44026</v>
      </c>
      <c r="B221" s="79" t="s">
        <v>196</v>
      </c>
      <c r="C221" s="100" t="s">
        <v>77</v>
      </c>
      <c r="D221" s="89"/>
      <c r="E221" s="89">
        <v>15600</v>
      </c>
      <c r="F221" s="79" t="str">
        <f t="shared" si="59"/>
        <v>Dr</v>
      </c>
      <c r="G221" s="101">
        <f t="shared" si="60"/>
        <v>267200</v>
      </c>
    </row>
    <row r="222" spans="1:7">
      <c r="A222" s="102">
        <v>44026</v>
      </c>
      <c r="B222" s="79" t="s">
        <v>382</v>
      </c>
      <c r="C222" s="100" t="s">
        <v>310</v>
      </c>
      <c r="D222" s="89"/>
      <c r="E222" s="89">
        <v>2900</v>
      </c>
      <c r="F222" s="79" t="str">
        <f t="shared" si="59"/>
        <v>Dr</v>
      </c>
      <c r="G222" s="101">
        <f t="shared" si="60"/>
        <v>264300</v>
      </c>
    </row>
    <row r="223" spans="1:7">
      <c r="A223" s="102">
        <v>44026</v>
      </c>
      <c r="B223" s="79" t="s">
        <v>196</v>
      </c>
      <c r="C223" s="100" t="s">
        <v>89</v>
      </c>
      <c r="D223" s="89"/>
      <c r="E223" s="89">
        <v>23500</v>
      </c>
      <c r="F223" s="79" t="str">
        <f t="shared" si="59"/>
        <v>Dr</v>
      </c>
      <c r="G223" s="101">
        <f t="shared" si="60"/>
        <v>240800</v>
      </c>
    </row>
    <row r="224" spans="1:7">
      <c r="A224" s="102">
        <v>44026</v>
      </c>
      <c r="B224" s="79" t="s">
        <v>240</v>
      </c>
      <c r="C224" s="100" t="s">
        <v>89</v>
      </c>
      <c r="D224" s="89">
        <v>2500</v>
      </c>
      <c r="E224" s="89"/>
      <c r="F224" s="79" t="str">
        <f t="shared" si="59"/>
        <v>Dr</v>
      </c>
      <c r="G224" s="101">
        <f t="shared" si="60"/>
        <v>243300</v>
      </c>
    </row>
    <row r="225" spans="1:7">
      <c r="A225" s="102">
        <v>44029</v>
      </c>
      <c r="B225" s="79" t="s">
        <v>337</v>
      </c>
      <c r="C225" s="100" t="s">
        <v>310</v>
      </c>
      <c r="D225" s="89"/>
      <c r="E225" s="89">
        <v>158000</v>
      </c>
      <c r="F225" s="79" t="str">
        <f t="shared" si="59"/>
        <v>Dr</v>
      </c>
      <c r="G225" s="101">
        <f t="shared" si="60"/>
        <v>85300</v>
      </c>
    </row>
    <row r="226" spans="1:7">
      <c r="A226" s="102">
        <v>44029</v>
      </c>
      <c r="B226" s="79" t="s">
        <v>240</v>
      </c>
      <c r="C226" s="100" t="s">
        <v>77</v>
      </c>
      <c r="D226" s="89">
        <v>7190</v>
      </c>
      <c r="E226" s="89"/>
      <c r="F226" s="79" t="str">
        <f t="shared" ref="F226:F234" si="61">IF(G226&gt;0,"Dr","Cr")</f>
        <v>Dr</v>
      </c>
      <c r="G226" s="101">
        <f t="shared" ref="G226:G234" si="62">(G225+D226)-E226</f>
        <v>92490</v>
      </c>
    </row>
    <row r="227" spans="1:7">
      <c r="A227" s="102">
        <v>44029</v>
      </c>
      <c r="B227" s="79" t="s">
        <v>240</v>
      </c>
      <c r="C227" s="100" t="s">
        <v>88</v>
      </c>
      <c r="D227" s="89">
        <v>3000</v>
      </c>
      <c r="E227" s="89"/>
      <c r="F227" s="79" t="str">
        <f t="shared" si="61"/>
        <v>Dr</v>
      </c>
      <c r="G227" s="101">
        <f t="shared" si="62"/>
        <v>95490</v>
      </c>
    </row>
    <row r="228" spans="1:7">
      <c r="A228" s="102">
        <v>44034</v>
      </c>
      <c r="B228" s="79" t="s">
        <v>391</v>
      </c>
      <c r="C228" s="100" t="s">
        <v>310</v>
      </c>
      <c r="D228" s="89"/>
      <c r="E228" s="89">
        <v>44500</v>
      </c>
      <c r="F228" s="79" t="str">
        <f t="shared" si="61"/>
        <v>Dr</v>
      </c>
      <c r="G228" s="101">
        <f t="shared" si="62"/>
        <v>50990</v>
      </c>
    </row>
    <row r="229" spans="1:7">
      <c r="A229" s="102">
        <v>44034</v>
      </c>
      <c r="B229" s="79" t="s">
        <v>240</v>
      </c>
      <c r="C229" s="100" t="s">
        <v>77</v>
      </c>
      <c r="D229" s="89">
        <v>3000</v>
      </c>
      <c r="E229" s="89"/>
      <c r="F229" s="79" t="str">
        <f t="shared" si="61"/>
        <v>Dr</v>
      </c>
      <c r="G229" s="101">
        <f t="shared" si="62"/>
        <v>53990</v>
      </c>
    </row>
    <row r="230" spans="1:7">
      <c r="A230" s="102">
        <v>44034</v>
      </c>
      <c r="B230" s="79" t="s">
        <v>240</v>
      </c>
      <c r="C230" s="100" t="s">
        <v>89</v>
      </c>
      <c r="D230" s="89">
        <v>10000</v>
      </c>
      <c r="E230" s="89"/>
      <c r="F230" s="79" t="str">
        <f t="shared" si="61"/>
        <v>Dr</v>
      </c>
      <c r="G230" s="101">
        <f t="shared" si="62"/>
        <v>63990</v>
      </c>
    </row>
    <row r="231" spans="1:7">
      <c r="A231" s="102">
        <v>44041</v>
      </c>
      <c r="B231" s="79" t="s">
        <v>240</v>
      </c>
      <c r="C231" s="100" t="s">
        <v>89</v>
      </c>
      <c r="D231" s="89">
        <v>17000</v>
      </c>
      <c r="E231" s="89"/>
      <c r="F231" s="79" t="str">
        <f t="shared" si="61"/>
        <v>Dr</v>
      </c>
      <c r="G231" s="101">
        <f t="shared" si="62"/>
        <v>80990</v>
      </c>
    </row>
    <row r="232" spans="1:7">
      <c r="A232" s="102">
        <v>44041</v>
      </c>
      <c r="B232" s="79" t="s">
        <v>240</v>
      </c>
      <c r="C232" s="100" t="s">
        <v>77</v>
      </c>
      <c r="D232" s="89">
        <v>9000</v>
      </c>
      <c r="E232" s="89"/>
      <c r="F232" s="79" t="str">
        <f t="shared" si="61"/>
        <v>Dr</v>
      </c>
      <c r="G232" s="101">
        <f t="shared" si="62"/>
        <v>89990</v>
      </c>
    </row>
    <row r="233" spans="1:7">
      <c r="A233" s="102">
        <v>44041</v>
      </c>
      <c r="B233" s="79" t="s">
        <v>196</v>
      </c>
      <c r="C233" s="100" t="s">
        <v>77</v>
      </c>
      <c r="D233" s="89"/>
      <c r="E233" s="89">
        <v>16000</v>
      </c>
      <c r="F233" s="79" t="str">
        <f t="shared" si="61"/>
        <v>Dr</v>
      </c>
      <c r="G233" s="101">
        <f t="shared" si="62"/>
        <v>73990</v>
      </c>
    </row>
    <row r="234" spans="1:7">
      <c r="A234" s="102">
        <v>44046</v>
      </c>
      <c r="B234" s="79" t="s">
        <v>155</v>
      </c>
      <c r="C234" s="100" t="s">
        <v>89</v>
      </c>
      <c r="D234" s="89"/>
      <c r="E234" s="89">
        <v>48000</v>
      </c>
      <c r="F234" s="79" t="str">
        <f t="shared" si="61"/>
        <v>Dr</v>
      </c>
      <c r="G234" s="101">
        <f t="shared" si="62"/>
        <v>25990</v>
      </c>
    </row>
    <row r="235" spans="1:7">
      <c r="A235" s="102">
        <v>44048</v>
      </c>
      <c r="B235" s="79" t="s">
        <v>240</v>
      </c>
      <c r="C235" s="100" t="s">
        <v>89</v>
      </c>
      <c r="D235" s="89">
        <v>18500</v>
      </c>
      <c r="E235" s="89"/>
      <c r="F235" s="79" t="str">
        <f t="shared" ref="F235:F240" si="63">IF(G235&gt;0,"Dr","Cr")</f>
        <v>Dr</v>
      </c>
      <c r="G235" s="101">
        <f t="shared" ref="G235:G240" si="64">(G234+D235)-E235</f>
        <v>44490</v>
      </c>
    </row>
    <row r="236" spans="1:7">
      <c r="A236" s="102">
        <v>44048</v>
      </c>
      <c r="B236" s="79" t="s">
        <v>397</v>
      </c>
      <c r="C236" s="100" t="s">
        <v>77</v>
      </c>
      <c r="D236" s="89">
        <v>10000</v>
      </c>
      <c r="E236" s="89"/>
      <c r="F236" s="79" t="str">
        <f t="shared" si="63"/>
        <v>Dr</v>
      </c>
      <c r="G236" s="101">
        <f t="shared" si="64"/>
        <v>54490</v>
      </c>
    </row>
    <row r="237" spans="1:7">
      <c r="A237" s="102">
        <v>44048</v>
      </c>
      <c r="B237" s="79" t="s">
        <v>240</v>
      </c>
      <c r="C237" s="100" t="s">
        <v>310</v>
      </c>
      <c r="D237" s="89">
        <v>2000</v>
      </c>
      <c r="E237" s="89"/>
      <c r="F237" s="79" t="str">
        <f t="shared" si="63"/>
        <v>Dr</v>
      </c>
      <c r="G237" s="101">
        <f t="shared" si="64"/>
        <v>56490</v>
      </c>
    </row>
    <row r="238" spans="1:7">
      <c r="A238" s="102">
        <v>44048</v>
      </c>
      <c r="B238" s="79" t="s">
        <v>196</v>
      </c>
      <c r="C238" s="100" t="s">
        <v>89</v>
      </c>
      <c r="D238" s="89"/>
      <c r="E238" s="89">
        <v>15600</v>
      </c>
      <c r="F238" s="79" t="str">
        <f t="shared" si="63"/>
        <v>Dr</v>
      </c>
      <c r="G238" s="101">
        <f t="shared" si="64"/>
        <v>40890</v>
      </c>
    </row>
    <row r="239" spans="1:7">
      <c r="A239" s="102">
        <v>44048</v>
      </c>
      <c r="B239" s="79" t="s">
        <v>240</v>
      </c>
      <c r="C239" s="100" t="s">
        <v>88</v>
      </c>
      <c r="D239" s="89"/>
      <c r="E239" s="89">
        <v>50000</v>
      </c>
      <c r="F239" s="79" t="str">
        <f t="shared" si="63"/>
        <v>Cr</v>
      </c>
      <c r="G239" s="101">
        <f t="shared" si="64"/>
        <v>-9110</v>
      </c>
    </row>
    <row r="240" spans="1:7">
      <c r="A240" s="102">
        <v>44054</v>
      </c>
      <c r="B240" s="79" t="s">
        <v>240</v>
      </c>
      <c r="C240" s="100" t="s">
        <v>77</v>
      </c>
      <c r="D240" s="89">
        <v>65000</v>
      </c>
      <c r="E240" s="89"/>
      <c r="F240" s="79" t="str">
        <f t="shared" si="63"/>
        <v>Dr</v>
      </c>
      <c r="G240" s="101">
        <f t="shared" si="64"/>
        <v>55890</v>
      </c>
    </row>
    <row r="241" spans="1:7">
      <c r="A241" s="102">
        <v>44054</v>
      </c>
      <c r="B241" s="79" t="s">
        <v>240</v>
      </c>
      <c r="C241" s="100" t="s">
        <v>89</v>
      </c>
      <c r="D241" s="89">
        <v>41000</v>
      </c>
      <c r="E241" s="89"/>
      <c r="F241" s="79" t="str">
        <f t="shared" ref="F241:F246" si="65">IF(G241&gt;0,"Dr","Cr")</f>
        <v>Dr</v>
      </c>
      <c r="G241" s="101">
        <f t="shared" ref="G241:G246" si="66">(G240+D241)-E241</f>
        <v>96890</v>
      </c>
    </row>
    <row r="242" spans="1:7">
      <c r="A242" s="102">
        <v>44054</v>
      </c>
      <c r="B242" s="79" t="s">
        <v>240</v>
      </c>
      <c r="C242" s="100" t="s">
        <v>332</v>
      </c>
      <c r="D242" s="89">
        <v>8600</v>
      </c>
      <c r="E242" s="89"/>
      <c r="F242" s="79" t="str">
        <f t="shared" si="65"/>
        <v>Dr</v>
      </c>
      <c r="G242" s="101">
        <f t="shared" si="66"/>
        <v>105490</v>
      </c>
    </row>
    <row r="243" spans="1:7">
      <c r="A243" s="102">
        <v>44054</v>
      </c>
      <c r="B243" s="79" t="s">
        <v>240</v>
      </c>
      <c r="C243" s="100" t="s">
        <v>310</v>
      </c>
      <c r="D243" s="89">
        <v>13500</v>
      </c>
      <c r="E243" s="89"/>
      <c r="F243" s="79" t="str">
        <f t="shared" si="65"/>
        <v>Dr</v>
      </c>
      <c r="G243" s="101">
        <f t="shared" si="66"/>
        <v>118990</v>
      </c>
    </row>
    <row r="244" spans="1:7">
      <c r="A244" s="102">
        <v>44054</v>
      </c>
      <c r="B244" s="79" t="s">
        <v>196</v>
      </c>
      <c r="C244" s="100" t="s">
        <v>89</v>
      </c>
      <c r="D244" s="89"/>
      <c r="E244" s="89">
        <v>15600</v>
      </c>
      <c r="F244" s="79" t="str">
        <f t="shared" si="65"/>
        <v>Dr</v>
      </c>
      <c r="G244" s="101">
        <f t="shared" si="66"/>
        <v>103390</v>
      </c>
    </row>
    <row r="245" spans="1:7">
      <c r="A245" s="102">
        <v>44054</v>
      </c>
      <c r="B245" s="79" t="s">
        <v>196</v>
      </c>
      <c r="C245" s="100" t="s">
        <v>77</v>
      </c>
      <c r="D245" s="89"/>
      <c r="E245" s="89">
        <v>29500</v>
      </c>
      <c r="F245" s="79" t="str">
        <f t="shared" si="65"/>
        <v>Dr</v>
      </c>
      <c r="G245" s="101">
        <f t="shared" si="66"/>
        <v>73890</v>
      </c>
    </row>
    <row r="246" spans="1:7">
      <c r="A246" s="102">
        <v>44054</v>
      </c>
      <c r="B246" s="79" t="s">
        <v>196</v>
      </c>
      <c r="C246" s="100" t="s">
        <v>77</v>
      </c>
      <c r="D246" s="89"/>
      <c r="E246" s="89">
        <v>38100</v>
      </c>
      <c r="F246" s="79" t="str">
        <f t="shared" si="65"/>
        <v>Dr</v>
      </c>
      <c r="G246" s="101">
        <f t="shared" si="66"/>
        <v>35790</v>
      </c>
    </row>
    <row r="247" spans="1:7">
      <c r="A247" s="102">
        <v>44054</v>
      </c>
      <c r="B247" s="79" t="s">
        <v>196</v>
      </c>
      <c r="C247" s="100" t="s">
        <v>310</v>
      </c>
      <c r="D247" s="89"/>
      <c r="E247" s="89">
        <v>13200</v>
      </c>
      <c r="F247" s="79" t="str">
        <f t="shared" ref="F247:F258" si="67">IF(G247&gt;0,"Dr","Cr")</f>
        <v>Dr</v>
      </c>
      <c r="G247" s="101">
        <f t="shared" ref="G247:G258" si="68">(G246+D247)-E247</f>
        <v>22590</v>
      </c>
    </row>
    <row r="248" spans="1:7">
      <c r="A248" s="102">
        <v>44054</v>
      </c>
      <c r="B248" s="79" t="s">
        <v>196</v>
      </c>
      <c r="C248" s="100" t="s">
        <v>89</v>
      </c>
      <c r="D248" s="89"/>
      <c r="E248" s="89">
        <v>25700</v>
      </c>
      <c r="F248" s="79" t="str">
        <f t="shared" si="67"/>
        <v>Cr</v>
      </c>
      <c r="G248" s="101">
        <f t="shared" si="68"/>
        <v>-3110</v>
      </c>
    </row>
    <row r="249" spans="1:7">
      <c r="A249" s="102">
        <v>44054</v>
      </c>
      <c r="B249" s="79" t="s">
        <v>196</v>
      </c>
      <c r="C249" s="100" t="s">
        <v>310</v>
      </c>
      <c r="D249" s="89"/>
      <c r="E249" s="89">
        <v>47400</v>
      </c>
      <c r="F249" s="79" t="str">
        <f t="shared" si="67"/>
        <v>Cr</v>
      </c>
      <c r="G249" s="101">
        <f t="shared" si="68"/>
        <v>-50510</v>
      </c>
    </row>
    <row r="250" spans="1:7">
      <c r="A250" s="102">
        <v>44055</v>
      </c>
      <c r="B250" s="79" t="s">
        <v>240</v>
      </c>
      <c r="C250" s="100" t="s">
        <v>310</v>
      </c>
      <c r="D250" s="89">
        <v>500000</v>
      </c>
      <c r="E250" s="89"/>
      <c r="F250" s="79" t="str">
        <f t="shared" si="67"/>
        <v>Dr</v>
      </c>
      <c r="G250" s="101">
        <f t="shared" si="68"/>
        <v>449490</v>
      </c>
    </row>
    <row r="251" spans="1:7">
      <c r="A251" s="102">
        <v>44055</v>
      </c>
      <c r="B251" s="102" t="s">
        <v>410</v>
      </c>
      <c r="C251" s="100" t="s">
        <v>310</v>
      </c>
      <c r="D251" s="89">
        <v>6500</v>
      </c>
      <c r="E251" s="89"/>
      <c r="F251" s="79" t="str">
        <f t="shared" si="67"/>
        <v>Dr</v>
      </c>
      <c r="G251" s="101">
        <f t="shared" si="68"/>
        <v>455990</v>
      </c>
    </row>
    <row r="252" spans="1:7">
      <c r="A252" s="102">
        <v>44055</v>
      </c>
      <c r="B252" s="79" t="s">
        <v>240</v>
      </c>
      <c r="C252" s="100" t="s">
        <v>89</v>
      </c>
      <c r="D252" s="89">
        <v>5000</v>
      </c>
      <c r="E252" s="89"/>
      <c r="F252" s="79" t="str">
        <f t="shared" si="67"/>
        <v>Dr</v>
      </c>
      <c r="G252" s="101">
        <f t="shared" si="68"/>
        <v>460990</v>
      </c>
    </row>
    <row r="253" spans="1:7">
      <c r="A253" s="102">
        <v>44055</v>
      </c>
      <c r="B253" s="79" t="s">
        <v>240</v>
      </c>
      <c r="C253" s="100" t="s">
        <v>77</v>
      </c>
      <c r="D253" s="89">
        <v>8500</v>
      </c>
      <c r="E253" s="89"/>
      <c r="F253" s="79" t="str">
        <f t="shared" si="67"/>
        <v>Dr</v>
      </c>
      <c r="G253" s="101">
        <f t="shared" si="68"/>
        <v>469490</v>
      </c>
    </row>
    <row r="254" spans="1:7">
      <c r="A254" s="102">
        <v>44055</v>
      </c>
      <c r="B254" s="79" t="s">
        <v>240</v>
      </c>
      <c r="C254" s="100" t="s">
        <v>89</v>
      </c>
      <c r="D254" s="89">
        <v>3000</v>
      </c>
      <c r="E254" s="89"/>
      <c r="F254" s="79" t="str">
        <f t="shared" si="67"/>
        <v>Dr</v>
      </c>
      <c r="G254" s="101">
        <f t="shared" si="68"/>
        <v>472490</v>
      </c>
    </row>
    <row r="255" spans="1:7">
      <c r="A255" s="102">
        <v>44055</v>
      </c>
      <c r="B255" s="79" t="s">
        <v>240</v>
      </c>
      <c r="C255" s="100" t="s">
        <v>310</v>
      </c>
      <c r="D255" s="89">
        <v>2000</v>
      </c>
      <c r="E255" s="89"/>
      <c r="F255" s="79" t="str">
        <f t="shared" si="67"/>
        <v>Dr</v>
      </c>
      <c r="G255" s="101">
        <f t="shared" si="68"/>
        <v>474490</v>
      </c>
    </row>
    <row r="256" spans="1:7">
      <c r="A256" s="102">
        <v>44055</v>
      </c>
      <c r="B256" s="79" t="s">
        <v>240</v>
      </c>
      <c r="C256" s="100" t="s">
        <v>332</v>
      </c>
      <c r="D256" s="89">
        <v>8000</v>
      </c>
      <c r="E256" s="89"/>
      <c r="F256" s="79" t="str">
        <f t="shared" si="67"/>
        <v>Dr</v>
      </c>
      <c r="G256" s="101">
        <f t="shared" si="68"/>
        <v>482490</v>
      </c>
    </row>
    <row r="257" spans="1:7">
      <c r="A257" s="102">
        <v>44055</v>
      </c>
      <c r="B257" s="79" t="s">
        <v>196</v>
      </c>
      <c r="C257" s="100" t="s">
        <v>89</v>
      </c>
      <c r="D257" s="89"/>
      <c r="E257" s="89">
        <v>16000</v>
      </c>
      <c r="F257" s="79" t="str">
        <f t="shared" si="67"/>
        <v>Dr</v>
      </c>
      <c r="G257" s="101">
        <f t="shared" si="68"/>
        <v>466490</v>
      </c>
    </row>
    <row r="258" spans="1:7">
      <c r="A258" s="102">
        <v>44056</v>
      </c>
      <c r="B258" s="79" t="s">
        <v>347</v>
      </c>
      <c r="C258" s="100" t="s">
        <v>77</v>
      </c>
      <c r="D258" s="89">
        <v>12500</v>
      </c>
      <c r="E258" s="89"/>
      <c r="F258" s="79" t="str">
        <f t="shared" si="67"/>
        <v>Dr</v>
      </c>
      <c r="G258" s="101">
        <f t="shared" si="68"/>
        <v>478990</v>
      </c>
    </row>
    <row r="259" spans="1:7">
      <c r="A259" s="102">
        <v>44056</v>
      </c>
      <c r="B259" s="79" t="s">
        <v>347</v>
      </c>
      <c r="C259" s="100" t="s">
        <v>89</v>
      </c>
      <c r="D259" s="89">
        <v>4500</v>
      </c>
      <c r="E259" s="89"/>
      <c r="F259" s="79" t="str">
        <f>IF(G259&gt;0,"Dr","Cr")</f>
        <v>Dr</v>
      </c>
      <c r="G259" s="101">
        <f>(G258+D259)-E259</f>
        <v>483490</v>
      </c>
    </row>
    <row r="260" spans="1:7">
      <c r="A260" s="102">
        <v>44056</v>
      </c>
      <c r="B260" s="79" t="s">
        <v>347</v>
      </c>
      <c r="C260" s="100" t="s">
        <v>332</v>
      </c>
      <c r="D260" s="89">
        <v>3000</v>
      </c>
      <c r="E260" s="89"/>
      <c r="F260" s="79" t="str">
        <f>IF(G260&gt;0,"Dr","Cr")</f>
        <v>Dr</v>
      </c>
      <c r="G260" s="101">
        <f>(G259+D260)-E260</f>
        <v>486490</v>
      </c>
    </row>
    <row r="261" spans="1:7">
      <c r="A261" s="102">
        <v>44056</v>
      </c>
      <c r="B261" s="79" t="s">
        <v>411</v>
      </c>
      <c r="C261" s="100" t="s">
        <v>310</v>
      </c>
      <c r="D261" s="89"/>
      <c r="E261" s="89">
        <v>50000</v>
      </c>
      <c r="F261" s="79" t="str">
        <f>IF(G261&gt;0,"Dr","Cr")</f>
        <v>Dr</v>
      </c>
      <c r="G261" s="101">
        <f>(G260+D261)-E261</f>
        <v>436490</v>
      </c>
    </row>
    <row r="262" spans="1:7">
      <c r="A262" s="102">
        <v>44056</v>
      </c>
      <c r="B262" s="79" t="s">
        <v>196</v>
      </c>
      <c r="C262" s="100" t="s">
        <v>310</v>
      </c>
      <c r="D262" s="89"/>
      <c r="E262" s="89">
        <v>36500</v>
      </c>
      <c r="F262" s="79" t="str">
        <f>IF(G262&gt;0,"Dr","Cr")</f>
        <v>Dr</v>
      </c>
      <c r="G262" s="101">
        <f>(G261+D262)-E262</f>
        <v>399990</v>
      </c>
    </row>
    <row r="263" spans="1:7">
      <c r="A263" s="102">
        <v>44056</v>
      </c>
      <c r="B263" s="79" t="s">
        <v>240</v>
      </c>
      <c r="C263" s="100" t="s">
        <v>310</v>
      </c>
      <c r="D263" s="89">
        <v>4000</v>
      </c>
      <c r="E263" s="89"/>
      <c r="F263" s="79" t="str">
        <f>IF(G263&gt;0,"Dr","Cr")</f>
        <v>Dr</v>
      </c>
      <c r="G263" s="101">
        <f>(G262+D263)-E263</f>
        <v>403990</v>
      </c>
    </row>
    <row r="264" spans="1:7">
      <c r="A264" s="79"/>
      <c r="B264" s="79"/>
      <c r="C264" s="100"/>
      <c r="D264" s="89"/>
      <c r="E264" s="89"/>
      <c r="F264" s="79" t="str">
        <f>IF(G264&gt;0,"Dr","Cr")</f>
        <v>Dr</v>
      </c>
      <c r="G264" s="101">
        <f>(G263+D264)-E264</f>
        <v>403990</v>
      </c>
    </row>
  </sheetData>
  <mergeCells count="1">
    <mergeCell ref="A1:G2"/>
  </mergeCells>
  <dataValidations count="1">
    <dataValidation type="list" allowBlank="1" showInputMessage="1" showErrorMessage="1" sqref="C4:C264">
      <formula1>$I$3:$I$8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Y44"/>
  <sheetViews>
    <sheetView topLeftCell="E1" workbookViewId="0">
      <selection activeCell="B4" sqref="B4"/>
    </sheetView>
  </sheetViews>
  <sheetFormatPr defaultRowHeight="15"/>
  <cols>
    <col min="1" max="1" width="11" style="46" customWidth="1"/>
    <col min="2" max="2" width="20.85546875" customWidth="1"/>
    <col min="3" max="3" width="16.42578125" customWidth="1"/>
    <col min="4" max="4" width="8.7109375" customWidth="1"/>
    <col min="5" max="5" width="21.7109375" customWidth="1"/>
    <col min="6" max="6" width="16.7109375" customWidth="1"/>
    <col min="7" max="7" width="16.42578125" customWidth="1"/>
    <col min="8" max="8" width="11.85546875" customWidth="1"/>
    <col min="9" max="9" width="10.28515625" hidden="1" customWidth="1"/>
    <col min="10" max="10" width="10.28515625" customWidth="1"/>
    <col min="11" max="14" width="11.28515625" customWidth="1"/>
    <col min="15" max="15" width="11.28515625" hidden="1" customWidth="1"/>
    <col min="16" max="17" width="8.42578125" hidden="1" customWidth="1"/>
    <col min="18" max="19" width="11.28515625" hidden="1" customWidth="1"/>
    <col min="20" max="20" width="12" hidden="1" customWidth="1"/>
    <col min="21" max="22" width="11.28515625" hidden="1" customWidth="1"/>
    <col min="23" max="23" width="12" hidden="1" customWidth="1"/>
    <col min="24" max="25" width="11.28515625" hidden="1" customWidth="1"/>
    <col min="26" max="26" width="12" hidden="1" customWidth="1"/>
    <col min="27" max="28" width="11.28515625" hidden="1" customWidth="1"/>
    <col min="29" max="29" width="12" hidden="1" customWidth="1"/>
    <col min="30" max="31" width="11.28515625" hidden="1" customWidth="1"/>
    <col min="32" max="32" width="12" hidden="1" customWidth="1"/>
    <col min="33" max="34" width="11.28515625" hidden="1" customWidth="1"/>
    <col min="35" max="35" width="12" hidden="1" customWidth="1"/>
    <col min="36" max="37" width="11.28515625" hidden="1" customWidth="1"/>
    <col min="38" max="38" width="12" hidden="1" customWidth="1"/>
    <col min="39" max="40" width="11.28515625" hidden="1" customWidth="1"/>
    <col min="41" max="41" width="12" hidden="1" customWidth="1"/>
    <col min="42" max="42" width="11.28515625" customWidth="1"/>
    <col min="43" max="43" width="11.28515625" hidden="1" customWidth="1"/>
    <col min="44" max="44" width="12" hidden="1" customWidth="1"/>
    <col min="45" max="45" width="11.28515625" customWidth="1"/>
    <col min="46" max="46" width="11.28515625" hidden="1" customWidth="1"/>
    <col min="47" max="47" width="12" hidden="1" customWidth="1"/>
    <col min="48" max="48" width="11.28515625" customWidth="1"/>
    <col min="49" max="49" width="11.28515625" hidden="1" customWidth="1"/>
    <col min="50" max="50" width="12" hidden="1" customWidth="1"/>
    <col min="51" max="51" width="12" customWidth="1"/>
  </cols>
  <sheetData>
    <row r="1" spans="1:51" ht="30">
      <c r="A1" s="43" t="s">
        <v>6</v>
      </c>
      <c r="B1" s="10" t="s">
        <v>7</v>
      </c>
      <c r="C1" s="10" t="s">
        <v>15</v>
      </c>
      <c r="D1" s="10" t="s">
        <v>73</v>
      </c>
      <c r="E1" s="10" t="s">
        <v>9</v>
      </c>
      <c r="F1" s="10" t="s">
        <v>8</v>
      </c>
      <c r="G1" s="10" t="s">
        <v>85</v>
      </c>
      <c r="H1" s="10" t="s">
        <v>18</v>
      </c>
      <c r="I1" s="10" t="s">
        <v>19</v>
      </c>
      <c r="J1" s="10" t="s">
        <v>10</v>
      </c>
      <c r="K1" s="10" t="s">
        <v>41</v>
      </c>
      <c r="L1" s="10" t="s">
        <v>17</v>
      </c>
      <c r="M1" s="10" t="s">
        <v>11</v>
      </c>
      <c r="N1" s="16" t="s">
        <v>13</v>
      </c>
      <c r="O1" s="12">
        <v>43466</v>
      </c>
      <c r="P1" s="12">
        <v>43497</v>
      </c>
      <c r="Q1" s="12">
        <v>43525</v>
      </c>
      <c r="R1" s="12">
        <v>43497</v>
      </c>
      <c r="S1" s="12">
        <v>43466</v>
      </c>
      <c r="T1" s="12">
        <v>43497</v>
      </c>
      <c r="U1" s="12">
        <v>43525</v>
      </c>
      <c r="V1" s="12">
        <v>43497</v>
      </c>
      <c r="W1" s="12">
        <v>43466</v>
      </c>
      <c r="X1" s="12">
        <v>43556</v>
      </c>
      <c r="Y1" s="12" t="s">
        <v>40</v>
      </c>
      <c r="Z1" s="12" t="s">
        <v>16</v>
      </c>
      <c r="AA1" s="12">
        <v>43586</v>
      </c>
      <c r="AB1" s="12" t="s">
        <v>40</v>
      </c>
      <c r="AC1" s="12" t="s">
        <v>16</v>
      </c>
      <c r="AD1" s="12">
        <v>43617</v>
      </c>
      <c r="AE1" s="12" t="s">
        <v>40</v>
      </c>
      <c r="AF1" s="12" t="s">
        <v>16</v>
      </c>
      <c r="AG1" s="12">
        <v>43647</v>
      </c>
      <c r="AH1" s="12" t="s">
        <v>40</v>
      </c>
      <c r="AI1" s="12" t="s">
        <v>16</v>
      </c>
      <c r="AJ1" s="12">
        <v>43678</v>
      </c>
      <c r="AK1" s="12" t="s">
        <v>40</v>
      </c>
      <c r="AL1" s="12" t="s">
        <v>16</v>
      </c>
      <c r="AM1" s="12">
        <v>43709</v>
      </c>
      <c r="AN1" s="12" t="s">
        <v>40</v>
      </c>
      <c r="AO1" s="12" t="s">
        <v>16</v>
      </c>
      <c r="AP1" s="12">
        <v>43739</v>
      </c>
      <c r="AQ1" s="12" t="s">
        <v>40</v>
      </c>
      <c r="AR1" s="12" t="s">
        <v>16</v>
      </c>
      <c r="AS1" s="12">
        <v>43770</v>
      </c>
      <c r="AT1" s="12" t="s">
        <v>40</v>
      </c>
      <c r="AU1" s="12" t="s">
        <v>16</v>
      </c>
      <c r="AV1" s="12">
        <v>43800</v>
      </c>
      <c r="AW1" s="12" t="s">
        <v>40</v>
      </c>
      <c r="AX1" s="12" t="s">
        <v>16</v>
      </c>
      <c r="AY1" s="12" t="s">
        <v>12</v>
      </c>
    </row>
    <row r="2" spans="1:51" ht="24" hidden="1">
      <c r="A2" s="44" t="s">
        <v>20</v>
      </c>
      <c r="B2" s="20" t="s">
        <v>21</v>
      </c>
      <c r="C2" s="20" t="s">
        <v>22</v>
      </c>
      <c r="D2" s="20" t="s">
        <v>83</v>
      </c>
      <c r="E2" s="20" t="s">
        <v>23</v>
      </c>
      <c r="F2" s="20" t="s">
        <v>24</v>
      </c>
      <c r="G2" s="20" t="s">
        <v>84</v>
      </c>
      <c r="H2" s="20" t="s">
        <v>25</v>
      </c>
      <c r="I2" s="21" t="s">
        <v>26</v>
      </c>
      <c r="J2" s="20" t="s">
        <v>27</v>
      </c>
      <c r="K2" s="20" t="s">
        <v>28</v>
      </c>
      <c r="L2" s="20" t="s">
        <v>29</v>
      </c>
      <c r="M2" s="20" t="s">
        <v>30</v>
      </c>
      <c r="N2" s="22" t="s">
        <v>31</v>
      </c>
      <c r="O2" s="20" t="s">
        <v>32</v>
      </c>
      <c r="P2" s="21" t="s">
        <v>33</v>
      </c>
      <c r="Q2" s="21" t="s">
        <v>34</v>
      </c>
      <c r="R2" s="20" t="s">
        <v>35</v>
      </c>
      <c r="S2" s="21" t="s">
        <v>36</v>
      </c>
      <c r="T2" s="23" t="s">
        <v>37</v>
      </c>
      <c r="U2" s="20" t="s">
        <v>38</v>
      </c>
      <c r="V2" s="21" t="s">
        <v>39</v>
      </c>
      <c r="W2" s="23" t="s">
        <v>44</v>
      </c>
      <c r="X2" s="20" t="s">
        <v>45</v>
      </c>
      <c r="Y2" s="21" t="s">
        <v>46</v>
      </c>
      <c r="Z2" s="23" t="s">
        <v>47</v>
      </c>
      <c r="AA2" s="20" t="s">
        <v>48</v>
      </c>
      <c r="AB2" s="21" t="s">
        <v>49</v>
      </c>
      <c r="AC2" s="23" t="s">
        <v>50</v>
      </c>
      <c r="AD2" s="20" t="s">
        <v>51</v>
      </c>
      <c r="AE2" s="21" t="s">
        <v>52</v>
      </c>
      <c r="AF2" s="23" t="s">
        <v>53</v>
      </c>
      <c r="AG2" s="20" t="s">
        <v>54</v>
      </c>
      <c r="AH2" s="21" t="s">
        <v>55</v>
      </c>
      <c r="AI2" s="23" t="s">
        <v>56</v>
      </c>
      <c r="AJ2" s="20" t="s">
        <v>57</v>
      </c>
      <c r="AK2" s="21" t="s">
        <v>58</v>
      </c>
      <c r="AL2" s="23" t="s">
        <v>59</v>
      </c>
      <c r="AM2" s="20" t="s">
        <v>60</v>
      </c>
      <c r="AN2" s="21" t="s">
        <v>61</v>
      </c>
      <c r="AO2" s="23" t="s">
        <v>62</v>
      </c>
      <c r="AP2" s="20" t="s">
        <v>63</v>
      </c>
      <c r="AQ2" s="21" t="s">
        <v>64</v>
      </c>
      <c r="AR2" s="23" t="s">
        <v>65</v>
      </c>
      <c r="AS2" s="20" t="s">
        <v>66</v>
      </c>
      <c r="AT2" s="21" t="s">
        <v>67</v>
      </c>
      <c r="AU2" s="23" t="s">
        <v>68</v>
      </c>
      <c r="AV2" s="20" t="s">
        <v>69</v>
      </c>
      <c r="AW2" s="21" t="s">
        <v>70</v>
      </c>
      <c r="AX2" s="23" t="s">
        <v>71</v>
      </c>
      <c r="AY2" s="26" t="s">
        <v>72</v>
      </c>
    </row>
    <row r="3" spans="1:51" ht="30" customHeight="1">
      <c r="A3" s="56">
        <v>43770</v>
      </c>
      <c r="B3" s="24" t="s">
        <v>98</v>
      </c>
      <c r="C3" s="24" t="s">
        <v>97</v>
      </c>
      <c r="D3" s="24">
        <v>4000</v>
      </c>
      <c r="E3" s="24" t="s">
        <v>99</v>
      </c>
      <c r="F3" s="24" t="s">
        <v>100</v>
      </c>
      <c r="G3" s="14" t="s">
        <v>74</v>
      </c>
      <c r="H3" s="14">
        <v>33</v>
      </c>
      <c r="I3" s="18">
        <f t="shared" ref="I3" si="0">IFERROR(M3/L3,"0")</f>
        <v>4.0303030303030303</v>
      </c>
      <c r="J3" s="24">
        <v>35000</v>
      </c>
      <c r="K3" s="24">
        <v>750</v>
      </c>
      <c r="L3" s="14">
        <f t="shared" ref="L3:L33" si="1">H3/100*J3</f>
        <v>11550</v>
      </c>
      <c r="M3" s="14">
        <f t="shared" ref="M3:M33" si="2">J3+L3</f>
        <v>46550</v>
      </c>
      <c r="N3" s="28">
        <f t="shared" ref="N3:N33" si="3">M3-AY3</f>
        <v>34550</v>
      </c>
      <c r="O3" s="14"/>
      <c r="P3" s="18">
        <f t="shared" ref="P3:P33" si="4">IFERROR(O3-Q3,"0")</f>
        <v>0</v>
      </c>
      <c r="Q3" s="18">
        <f t="shared" ref="Q3:Q33" si="5">IFERROR(O3/I3,"0")</f>
        <v>0</v>
      </c>
      <c r="R3" s="14"/>
      <c r="S3" s="18">
        <f t="shared" ref="S3:S33" si="6">IFERROR(R3-T3,"0")</f>
        <v>0</v>
      </c>
      <c r="T3" s="19">
        <f t="shared" ref="T3:T33" si="7">IFERROR(R3/I3,"0")</f>
        <v>0</v>
      </c>
      <c r="U3" s="9"/>
      <c r="V3" s="18">
        <f t="shared" ref="V3:V33" si="8">IFERROR(U3-W3,"0")</f>
        <v>0</v>
      </c>
      <c r="W3" s="19">
        <f t="shared" ref="W3:W33" si="9">IFERROR(U3/I3,"0")</f>
        <v>0</v>
      </c>
      <c r="X3" s="14"/>
      <c r="Y3" s="18">
        <f t="shared" ref="Y3:Y33" si="10">IFERROR(X3-Z3,"0")</f>
        <v>0</v>
      </c>
      <c r="Z3" s="19">
        <f t="shared" ref="Z3:Z33" si="11">IFERROR(X3/I3,"0")</f>
        <v>0</v>
      </c>
      <c r="AA3" s="14"/>
      <c r="AB3" s="18">
        <f t="shared" ref="AB3:AB33" si="12">IFERROR(AA3-AC3,"0")</f>
        <v>0</v>
      </c>
      <c r="AC3" s="19">
        <f t="shared" ref="AC3:AC33" si="13">IFERROR(AA3/I3,"0")</f>
        <v>0</v>
      </c>
      <c r="AD3" s="14"/>
      <c r="AE3" s="18">
        <f t="shared" ref="AE3:AE33" si="14">IFERROR(AD3-AF3,"0")</f>
        <v>0</v>
      </c>
      <c r="AF3" s="19">
        <f t="shared" ref="AF3:AF33" si="15">IFERROR(AD3/I3,"0")</f>
        <v>0</v>
      </c>
      <c r="AG3" s="14"/>
      <c r="AH3" s="18">
        <f t="shared" ref="AH3:AH33" si="16">IFERROR(AG3-AI3,"0")</f>
        <v>0</v>
      </c>
      <c r="AI3" s="19">
        <f t="shared" ref="AI3:AI33" si="17">IFERROR(AG3/I3,"0")</f>
        <v>0</v>
      </c>
      <c r="AJ3" s="14"/>
      <c r="AK3" s="18">
        <f t="shared" ref="AK3:AK33" si="18">IFERROR(AJ3-AL3,"0")</f>
        <v>0</v>
      </c>
      <c r="AL3" s="19">
        <f t="shared" ref="AL3:AL33" si="19">IFERROR(AJ3/I3,"0")</f>
        <v>0</v>
      </c>
      <c r="AM3" s="14"/>
      <c r="AN3" s="18">
        <f t="shared" ref="AN3:AN33" si="20">IFERROR(AM3-AO3,"0")</f>
        <v>0</v>
      </c>
      <c r="AO3" s="19">
        <f t="shared" ref="AO3:AO33" si="21">IFERROR(AM3/I3,"0")</f>
        <v>0</v>
      </c>
      <c r="AP3" s="24">
        <v>4000</v>
      </c>
      <c r="AQ3" s="18">
        <f t="shared" ref="AQ3:AQ33" si="22">IFERROR(AP3-AR3,"0")</f>
        <v>3007.5187969924809</v>
      </c>
      <c r="AR3" s="19">
        <f t="shared" ref="AR3:AR33" si="23">IFERROR(AP3/I3,"0")</f>
        <v>992.48120300751884</v>
      </c>
      <c r="AS3" s="24">
        <v>4000</v>
      </c>
      <c r="AT3" s="18">
        <f t="shared" ref="AT3:AT33" si="24">IFERROR(AS3-AU3,"0")</f>
        <v>3007.5187969924809</v>
      </c>
      <c r="AU3" s="19">
        <f t="shared" ref="AU3:AU33" si="25">IFERROR(AS3/I3,"0")</f>
        <v>992.48120300751884</v>
      </c>
      <c r="AV3" s="57">
        <v>4000</v>
      </c>
      <c r="AW3" s="18">
        <f t="shared" ref="AW3:AW33" si="26">IFERROR(AV3-AX3,"0")</f>
        <v>3007.5187969924809</v>
      </c>
      <c r="AX3" s="19">
        <f t="shared" ref="AX3:AX33" si="27">IFERROR(AV3/I3,"0")</f>
        <v>992.48120300751884</v>
      </c>
      <c r="AY3" s="25">
        <f t="shared" ref="AY3:AY33" si="28">O3+R3+U3+X3+AA3+AD3+AG3+AJ3+AM3+AP3+AS3+AV3</f>
        <v>12000</v>
      </c>
    </row>
    <row r="4" spans="1:51" ht="15" customHeight="1">
      <c r="A4" s="56">
        <v>43770</v>
      </c>
      <c r="B4" s="24" t="s">
        <v>101</v>
      </c>
      <c r="C4" s="24" t="s">
        <v>102</v>
      </c>
      <c r="D4" s="24">
        <v>4000</v>
      </c>
      <c r="E4" s="24" t="s">
        <v>103</v>
      </c>
      <c r="F4" s="24" t="s">
        <v>100</v>
      </c>
      <c r="G4" s="29" t="s">
        <v>74</v>
      </c>
      <c r="H4" s="29">
        <v>33</v>
      </c>
      <c r="I4" s="30">
        <f t="shared" ref="I4:I33" si="29">IFERROR(M4/L4,"0")</f>
        <v>4.0303030303030303</v>
      </c>
      <c r="J4" s="24">
        <v>35000</v>
      </c>
      <c r="K4" s="24">
        <v>750</v>
      </c>
      <c r="L4" s="29">
        <f t="shared" si="1"/>
        <v>11550</v>
      </c>
      <c r="M4" s="29">
        <f t="shared" si="2"/>
        <v>46550</v>
      </c>
      <c r="N4" s="55">
        <f t="shared" si="3"/>
        <v>38550</v>
      </c>
      <c r="O4" s="29"/>
      <c r="P4" s="30">
        <f t="shared" si="4"/>
        <v>0</v>
      </c>
      <c r="Q4" s="30">
        <f t="shared" si="5"/>
        <v>0</v>
      </c>
      <c r="R4" s="29"/>
      <c r="S4" s="30">
        <f t="shared" si="6"/>
        <v>0</v>
      </c>
      <c r="T4" s="19">
        <f t="shared" si="7"/>
        <v>0</v>
      </c>
      <c r="U4" s="9"/>
      <c r="V4" s="30">
        <f t="shared" si="8"/>
        <v>0</v>
      </c>
      <c r="W4" s="19">
        <f t="shared" si="9"/>
        <v>0</v>
      </c>
      <c r="X4" s="29"/>
      <c r="Y4" s="30">
        <f t="shared" si="10"/>
        <v>0</v>
      </c>
      <c r="Z4" s="19">
        <f t="shared" si="11"/>
        <v>0</v>
      </c>
      <c r="AA4" s="29"/>
      <c r="AB4" s="30">
        <f t="shared" si="12"/>
        <v>0</v>
      </c>
      <c r="AC4" s="19">
        <f t="shared" si="13"/>
        <v>0</v>
      </c>
      <c r="AD4" s="29"/>
      <c r="AE4" s="30">
        <f t="shared" si="14"/>
        <v>0</v>
      </c>
      <c r="AF4" s="19">
        <f t="shared" si="15"/>
        <v>0</v>
      </c>
      <c r="AG4" s="29"/>
      <c r="AH4" s="30">
        <f t="shared" si="16"/>
        <v>0</v>
      </c>
      <c r="AI4" s="19">
        <f t="shared" si="17"/>
        <v>0</v>
      </c>
      <c r="AJ4" s="29"/>
      <c r="AK4" s="30">
        <f t="shared" si="18"/>
        <v>0</v>
      </c>
      <c r="AL4" s="19">
        <f t="shared" si="19"/>
        <v>0</v>
      </c>
      <c r="AM4" s="29"/>
      <c r="AN4" s="30">
        <f t="shared" si="20"/>
        <v>0</v>
      </c>
      <c r="AO4" s="19">
        <f t="shared" si="21"/>
        <v>0</v>
      </c>
      <c r="AP4" s="24"/>
      <c r="AQ4" s="30">
        <f t="shared" si="22"/>
        <v>0</v>
      </c>
      <c r="AR4" s="19">
        <f t="shared" si="23"/>
        <v>0</v>
      </c>
      <c r="AS4" s="24">
        <v>4000</v>
      </c>
      <c r="AT4" s="30">
        <f t="shared" si="24"/>
        <v>3007.5187969924809</v>
      </c>
      <c r="AU4" s="19">
        <f t="shared" si="25"/>
        <v>992.48120300751884</v>
      </c>
      <c r="AV4" s="57">
        <v>4000</v>
      </c>
      <c r="AW4" s="30">
        <f t="shared" si="26"/>
        <v>3007.5187969924809</v>
      </c>
      <c r="AX4" s="19">
        <f t="shared" si="27"/>
        <v>992.48120300751884</v>
      </c>
      <c r="AY4" s="25">
        <f t="shared" si="28"/>
        <v>8000</v>
      </c>
    </row>
    <row r="5" spans="1:51" ht="30" customHeight="1">
      <c r="A5" s="56">
        <v>43772</v>
      </c>
      <c r="B5" s="24" t="s">
        <v>104</v>
      </c>
      <c r="C5" s="24" t="s">
        <v>105</v>
      </c>
      <c r="D5" s="24">
        <v>2000</v>
      </c>
      <c r="E5" s="24" t="s">
        <v>106</v>
      </c>
      <c r="F5" s="24" t="s">
        <v>107</v>
      </c>
      <c r="G5" s="29" t="s">
        <v>74</v>
      </c>
      <c r="H5" s="29">
        <v>33</v>
      </c>
      <c r="I5" s="30">
        <f t="shared" si="29"/>
        <v>4.0303030303030303</v>
      </c>
      <c r="J5" s="24">
        <v>16000</v>
      </c>
      <c r="K5" s="24"/>
      <c r="L5" s="29">
        <f t="shared" si="1"/>
        <v>5280</v>
      </c>
      <c r="M5" s="29">
        <f t="shared" si="2"/>
        <v>21280</v>
      </c>
      <c r="N5" s="55">
        <f t="shared" si="3"/>
        <v>17280</v>
      </c>
      <c r="O5" s="29"/>
      <c r="P5" s="30">
        <f t="shared" si="4"/>
        <v>0</v>
      </c>
      <c r="Q5" s="30">
        <f t="shared" si="5"/>
        <v>0</v>
      </c>
      <c r="R5" s="29"/>
      <c r="S5" s="30">
        <f t="shared" si="6"/>
        <v>0</v>
      </c>
      <c r="T5" s="19">
        <f t="shared" si="7"/>
        <v>0</v>
      </c>
      <c r="U5" s="9"/>
      <c r="V5" s="30">
        <f t="shared" si="8"/>
        <v>0</v>
      </c>
      <c r="W5" s="19">
        <f t="shared" si="9"/>
        <v>0</v>
      </c>
      <c r="X5" s="29"/>
      <c r="Y5" s="30">
        <f t="shared" si="10"/>
        <v>0</v>
      </c>
      <c r="Z5" s="19">
        <f t="shared" si="11"/>
        <v>0</v>
      </c>
      <c r="AA5" s="29"/>
      <c r="AB5" s="30">
        <f t="shared" si="12"/>
        <v>0</v>
      </c>
      <c r="AC5" s="19">
        <f t="shared" si="13"/>
        <v>0</v>
      </c>
      <c r="AD5" s="29"/>
      <c r="AE5" s="30">
        <f t="shared" si="14"/>
        <v>0</v>
      </c>
      <c r="AF5" s="19">
        <f t="shared" si="15"/>
        <v>0</v>
      </c>
      <c r="AG5" s="29"/>
      <c r="AH5" s="30">
        <f t="shared" si="16"/>
        <v>0</v>
      </c>
      <c r="AI5" s="19">
        <f t="shared" si="17"/>
        <v>0</v>
      </c>
      <c r="AJ5" s="29"/>
      <c r="AK5" s="30">
        <f t="shared" si="18"/>
        <v>0</v>
      </c>
      <c r="AL5" s="19">
        <f t="shared" si="19"/>
        <v>0</v>
      </c>
      <c r="AM5" s="29"/>
      <c r="AN5" s="30">
        <f t="shared" si="20"/>
        <v>0</v>
      </c>
      <c r="AO5" s="19">
        <f t="shared" si="21"/>
        <v>0</v>
      </c>
      <c r="AP5" s="24"/>
      <c r="AQ5" s="30">
        <f t="shared" si="22"/>
        <v>0</v>
      </c>
      <c r="AR5" s="19">
        <f t="shared" si="23"/>
        <v>0</v>
      </c>
      <c r="AS5" s="24">
        <v>2000</v>
      </c>
      <c r="AT5" s="30">
        <f t="shared" si="24"/>
        <v>1503.7593984962405</v>
      </c>
      <c r="AU5" s="19">
        <f t="shared" si="25"/>
        <v>496.24060150375942</v>
      </c>
      <c r="AV5" s="57">
        <v>2000</v>
      </c>
      <c r="AW5" s="30">
        <f t="shared" si="26"/>
        <v>1503.7593984962405</v>
      </c>
      <c r="AX5" s="19">
        <f t="shared" si="27"/>
        <v>496.24060150375942</v>
      </c>
      <c r="AY5" s="25">
        <f t="shared" si="28"/>
        <v>4000</v>
      </c>
    </row>
    <row r="6" spans="1:51">
      <c r="A6" s="56">
        <v>43774</v>
      </c>
      <c r="B6" s="24" t="s">
        <v>108</v>
      </c>
      <c r="C6" s="24"/>
      <c r="D6" s="24">
        <v>5000</v>
      </c>
      <c r="E6" s="24" t="s">
        <v>109</v>
      </c>
      <c r="F6" s="24" t="s">
        <v>110</v>
      </c>
      <c r="G6" s="29" t="s">
        <v>74</v>
      </c>
      <c r="H6" s="29">
        <v>33</v>
      </c>
      <c r="I6" s="30">
        <f t="shared" si="29"/>
        <v>4.0303030303030303</v>
      </c>
      <c r="J6" s="24">
        <f>23500+15940</f>
        <v>39440</v>
      </c>
      <c r="K6" s="24"/>
      <c r="L6" s="29">
        <f t="shared" si="1"/>
        <v>13015.2</v>
      </c>
      <c r="M6" s="29">
        <f t="shared" si="2"/>
        <v>52455.199999999997</v>
      </c>
      <c r="N6" s="55">
        <f t="shared" si="3"/>
        <v>42455.199999999997</v>
      </c>
      <c r="O6" s="29"/>
      <c r="P6" s="30">
        <f t="shared" si="4"/>
        <v>0</v>
      </c>
      <c r="Q6" s="30">
        <f t="shared" si="5"/>
        <v>0</v>
      </c>
      <c r="R6" s="29"/>
      <c r="S6" s="30">
        <f t="shared" si="6"/>
        <v>0</v>
      </c>
      <c r="T6" s="19">
        <f t="shared" si="7"/>
        <v>0</v>
      </c>
      <c r="U6" s="9"/>
      <c r="V6" s="30">
        <f t="shared" si="8"/>
        <v>0</v>
      </c>
      <c r="W6" s="19">
        <f t="shared" si="9"/>
        <v>0</v>
      </c>
      <c r="X6" s="29"/>
      <c r="Y6" s="30">
        <f t="shared" si="10"/>
        <v>0</v>
      </c>
      <c r="Z6" s="19">
        <f t="shared" si="11"/>
        <v>0</v>
      </c>
      <c r="AA6" s="29"/>
      <c r="AB6" s="30">
        <f t="shared" si="12"/>
        <v>0</v>
      </c>
      <c r="AC6" s="19">
        <f t="shared" si="13"/>
        <v>0</v>
      </c>
      <c r="AD6" s="29"/>
      <c r="AE6" s="30">
        <f t="shared" si="14"/>
        <v>0</v>
      </c>
      <c r="AF6" s="19">
        <f t="shared" si="15"/>
        <v>0</v>
      </c>
      <c r="AG6" s="29"/>
      <c r="AH6" s="30">
        <f t="shared" si="16"/>
        <v>0</v>
      </c>
      <c r="AI6" s="19">
        <f t="shared" si="17"/>
        <v>0</v>
      </c>
      <c r="AJ6" s="29"/>
      <c r="AK6" s="30">
        <f t="shared" si="18"/>
        <v>0</v>
      </c>
      <c r="AL6" s="19">
        <f t="shared" si="19"/>
        <v>0</v>
      </c>
      <c r="AM6" s="29"/>
      <c r="AN6" s="30">
        <f t="shared" si="20"/>
        <v>0</v>
      </c>
      <c r="AO6" s="19">
        <f t="shared" si="21"/>
        <v>0</v>
      </c>
      <c r="AP6" s="24"/>
      <c r="AQ6" s="30">
        <f t="shared" si="22"/>
        <v>0</v>
      </c>
      <c r="AR6" s="19">
        <f t="shared" si="23"/>
        <v>0</v>
      </c>
      <c r="AS6" s="24">
        <v>5000</v>
      </c>
      <c r="AT6" s="30">
        <f t="shared" si="24"/>
        <v>3759.3984962406012</v>
      </c>
      <c r="AU6" s="19">
        <f t="shared" si="25"/>
        <v>1240.6015037593986</v>
      </c>
      <c r="AV6" s="57">
        <v>5000</v>
      </c>
      <c r="AW6" s="30">
        <f t="shared" si="26"/>
        <v>3759.3984962406012</v>
      </c>
      <c r="AX6" s="19">
        <f t="shared" si="27"/>
        <v>1240.6015037593986</v>
      </c>
      <c r="AY6" s="25">
        <f t="shared" si="28"/>
        <v>10000</v>
      </c>
    </row>
    <row r="7" spans="1:51" ht="25.5">
      <c r="A7" s="56">
        <v>43775</v>
      </c>
      <c r="B7" s="24" t="s">
        <v>111</v>
      </c>
      <c r="C7" s="24" t="s">
        <v>112</v>
      </c>
      <c r="D7" s="24">
        <v>4500</v>
      </c>
      <c r="E7" s="24" t="s">
        <v>113</v>
      </c>
      <c r="F7" s="24" t="s">
        <v>114</v>
      </c>
      <c r="G7" s="29" t="s">
        <v>74</v>
      </c>
      <c r="H7" s="29">
        <v>33</v>
      </c>
      <c r="I7" s="30">
        <f t="shared" si="29"/>
        <v>4.0303030303030303</v>
      </c>
      <c r="J7" s="24">
        <v>38000</v>
      </c>
      <c r="K7" s="24"/>
      <c r="L7" s="29">
        <f t="shared" si="1"/>
        <v>12540</v>
      </c>
      <c r="M7" s="29">
        <f t="shared" si="2"/>
        <v>50540</v>
      </c>
      <c r="N7" s="55">
        <f t="shared" si="3"/>
        <v>39540</v>
      </c>
      <c r="O7" s="29"/>
      <c r="P7" s="30">
        <f t="shared" si="4"/>
        <v>0</v>
      </c>
      <c r="Q7" s="30">
        <f t="shared" si="5"/>
        <v>0</v>
      </c>
      <c r="R7" s="29"/>
      <c r="S7" s="30">
        <f t="shared" si="6"/>
        <v>0</v>
      </c>
      <c r="T7" s="19">
        <f t="shared" si="7"/>
        <v>0</v>
      </c>
      <c r="U7" s="9"/>
      <c r="V7" s="30">
        <f t="shared" si="8"/>
        <v>0</v>
      </c>
      <c r="W7" s="19">
        <f t="shared" si="9"/>
        <v>0</v>
      </c>
      <c r="X7" s="29"/>
      <c r="Y7" s="30">
        <f t="shared" si="10"/>
        <v>0</v>
      </c>
      <c r="Z7" s="19">
        <f t="shared" si="11"/>
        <v>0</v>
      </c>
      <c r="AA7" s="29"/>
      <c r="AB7" s="30">
        <f t="shared" si="12"/>
        <v>0</v>
      </c>
      <c r="AC7" s="19">
        <f t="shared" si="13"/>
        <v>0</v>
      </c>
      <c r="AD7" s="29"/>
      <c r="AE7" s="30">
        <f t="shared" si="14"/>
        <v>0</v>
      </c>
      <c r="AF7" s="19">
        <f t="shared" si="15"/>
        <v>0</v>
      </c>
      <c r="AG7" s="29"/>
      <c r="AH7" s="30">
        <f t="shared" si="16"/>
        <v>0</v>
      </c>
      <c r="AI7" s="19">
        <f t="shared" si="17"/>
        <v>0</v>
      </c>
      <c r="AJ7" s="29"/>
      <c r="AK7" s="30">
        <f t="shared" si="18"/>
        <v>0</v>
      </c>
      <c r="AL7" s="19">
        <f t="shared" si="19"/>
        <v>0</v>
      </c>
      <c r="AM7" s="29"/>
      <c r="AN7" s="30">
        <f t="shared" si="20"/>
        <v>0</v>
      </c>
      <c r="AO7" s="19">
        <f t="shared" si="21"/>
        <v>0</v>
      </c>
      <c r="AP7" s="24">
        <v>5000</v>
      </c>
      <c r="AQ7" s="30">
        <f t="shared" si="22"/>
        <v>3759.3984962406012</v>
      </c>
      <c r="AR7" s="19">
        <f t="shared" si="23"/>
        <v>1240.6015037593986</v>
      </c>
      <c r="AS7" s="24">
        <v>3000</v>
      </c>
      <c r="AT7" s="30">
        <f t="shared" si="24"/>
        <v>2255.6390977443607</v>
      </c>
      <c r="AU7" s="19">
        <f t="shared" si="25"/>
        <v>744.36090225563908</v>
      </c>
      <c r="AV7" s="57">
        <v>3000</v>
      </c>
      <c r="AW7" s="30">
        <f t="shared" si="26"/>
        <v>2255.6390977443607</v>
      </c>
      <c r="AX7" s="19">
        <f t="shared" si="27"/>
        <v>744.36090225563908</v>
      </c>
      <c r="AY7" s="25">
        <f t="shared" si="28"/>
        <v>11000</v>
      </c>
    </row>
    <row r="8" spans="1:51" ht="25.5">
      <c r="A8" s="56">
        <v>43778</v>
      </c>
      <c r="B8" s="24" t="s">
        <v>115</v>
      </c>
      <c r="C8" s="24" t="s">
        <v>116</v>
      </c>
      <c r="D8" s="24">
        <v>3500</v>
      </c>
      <c r="E8" s="24" t="s">
        <v>113</v>
      </c>
      <c r="F8" s="24" t="s">
        <v>117</v>
      </c>
      <c r="G8" s="29" t="s">
        <v>74</v>
      </c>
      <c r="H8" s="29">
        <v>33</v>
      </c>
      <c r="I8" s="30">
        <f t="shared" si="29"/>
        <v>4.0303030303030303</v>
      </c>
      <c r="J8" s="24">
        <v>29500</v>
      </c>
      <c r="K8" s="24">
        <v>1500</v>
      </c>
      <c r="L8" s="29">
        <f t="shared" si="1"/>
        <v>9735</v>
      </c>
      <c r="M8" s="29">
        <f t="shared" si="2"/>
        <v>39235</v>
      </c>
      <c r="N8" s="55">
        <f t="shared" si="3"/>
        <v>30235</v>
      </c>
      <c r="O8" s="29"/>
      <c r="P8" s="30">
        <f t="shared" si="4"/>
        <v>0</v>
      </c>
      <c r="Q8" s="30">
        <f t="shared" si="5"/>
        <v>0</v>
      </c>
      <c r="R8" s="29"/>
      <c r="S8" s="30">
        <f t="shared" si="6"/>
        <v>0</v>
      </c>
      <c r="T8" s="19">
        <f t="shared" si="7"/>
        <v>0</v>
      </c>
      <c r="U8" s="9"/>
      <c r="V8" s="30">
        <f t="shared" si="8"/>
        <v>0</v>
      </c>
      <c r="W8" s="19">
        <f t="shared" si="9"/>
        <v>0</v>
      </c>
      <c r="X8" s="29"/>
      <c r="Y8" s="30">
        <f t="shared" si="10"/>
        <v>0</v>
      </c>
      <c r="Z8" s="19">
        <f t="shared" si="11"/>
        <v>0</v>
      </c>
      <c r="AA8" s="29"/>
      <c r="AB8" s="30">
        <f t="shared" si="12"/>
        <v>0</v>
      </c>
      <c r="AC8" s="19">
        <f t="shared" si="13"/>
        <v>0</v>
      </c>
      <c r="AD8" s="29"/>
      <c r="AE8" s="30">
        <f t="shared" si="14"/>
        <v>0</v>
      </c>
      <c r="AF8" s="19">
        <f t="shared" si="15"/>
        <v>0</v>
      </c>
      <c r="AG8" s="29"/>
      <c r="AH8" s="30">
        <f t="shared" si="16"/>
        <v>0</v>
      </c>
      <c r="AI8" s="19">
        <f t="shared" si="17"/>
        <v>0</v>
      </c>
      <c r="AJ8" s="29"/>
      <c r="AK8" s="30">
        <f t="shared" si="18"/>
        <v>0</v>
      </c>
      <c r="AL8" s="19">
        <f t="shared" si="19"/>
        <v>0</v>
      </c>
      <c r="AM8" s="29"/>
      <c r="AN8" s="30">
        <f t="shared" si="20"/>
        <v>0</v>
      </c>
      <c r="AO8" s="19">
        <f t="shared" si="21"/>
        <v>0</v>
      </c>
      <c r="AP8" s="24"/>
      <c r="AQ8" s="30">
        <f t="shared" si="22"/>
        <v>0</v>
      </c>
      <c r="AR8" s="19">
        <f t="shared" si="23"/>
        <v>0</v>
      </c>
      <c r="AS8" s="24">
        <v>6000</v>
      </c>
      <c r="AT8" s="30">
        <f t="shared" si="24"/>
        <v>4511.2781954887214</v>
      </c>
      <c r="AU8" s="19">
        <f t="shared" si="25"/>
        <v>1488.7218045112782</v>
      </c>
      <c r="AV8" s="57">
        <v>3000</v>
      </c>
      <c r="AW8" s="30">
        <f t="shared" si="26"/>
        <v>2255.6390977443607</v>
      </c>
      <c r="AX8" s="19">
        <f t="shared" si="27"/>
        <v>744.36090225563908</v>
      </c>
      <c r="AY8" s="25">
        <f t="shared" si="28"/>
        <v>9000</v>
      </c>
    </row>
    <row r="9" spans="1:51">
      <c r="A9" s="56">
        <v>43787</v>
      </c>
      <c r="B9" s="24" t="s">
        <v>118</v>
      </c>
      <c r="C9" s="24" t="s">
        <v>119</v>
      </c>
      <c r="D9" s="24">
        <v>3500</v>
      </c>
      <c r="E9" s="24" t="s">
        <v>120</v>
      </c>
      <c r="F9" s="24" t="s">
        <v>100</v>
      </c>
      <c r="G9" s="29" t="s">
        <v>74</v>
      </c>
      <c r="H9" s="29">
        <v>33</v>
      </c>
      <c r="I9" s="30">
        <f t="shared" si="29"/>
        <v>4.0303030303030303</v>
      </c>
      <c r="J9" s="24">
        <v>31000</v>
      </c>
      <c r="K9" s="24"/>
      <c r="L9" s="29">
        <f t="shared" si="1"/>
        <v>10230</v>
      </c>
      <c r="M9" s="29">
        <f t="shared" si="2"/>
        <v>41230</v>
      </c>
      <c r="N9" s="55">
        <f t="shared" si="3"/>
        <v>34230</v>
      </c>
      <c r="O9" s="29"/>
      <c r="P9" s="30">
        <f t="shared" si="4"/>
        <v>0</v>
      </c>
      <c r="Q9" s="30">
        <f t="shared" si="5"/>
        <v>0</v>
      </c>
      <c r="R9" s="29"/>
      <c r="S9" s="30">
        <f t="shared" si="6"/>
        <v>0</v>
      </c>
      <c r="T9" s="19">
        <f t="shared" si="7"/>
        <v>0</v>
      </c>
      <c r="U9" s="9"/>
      <c r="V9" s="30">
        <f t="shared" si="8"/>
        <v>0</v>
      </c>
      <c r="W9" s="19">
        <f t="shared" si="9"/>
        <v>0</v>
      </c>
      <c r="X9" s="29"/>
      <c r="Y9" s="30">
        <f t="shared" si="10"/>
        <v>0</v>
      </c>
      <c r="Z9" s="19">
        <f t="shared" si="11"/>
        <v>0</v>
      </c>
      <c r="AA9" s="29"/>
      <c r="AB9" s="30">
        <f t="shared" si="12"/>
        <v>0</v>
      </c>
      <c r="AC9" s="19">
        <f t="shared" si="13"/>
        <v>0</v>
      </c>
      <c r="AD9" s="29"/>
      <c r="AE9" s="30">
        <f t="shared" si="14"/>
        <v>0</v>
      </c>
      <c r="AF9" s="19">
        <f t="shared" si="15"/>
        <v>0</v>
      </c>
      <c r="AG9" s="29"/>
      <c r="AH9" s="30">
        <f t="shared" si="16"/>
        <v>0</v>
      </c>
      <c r="AI9" s="19">
        <f t="shared" si="17"/>
        <v>0</v>
      </c>
      <c r="AJ9" s="29"/>
      <c r="AK9" s="30">
        <f t="shared" si="18"/>
        <v>0</v>
      </c>
      <c r="AL9" s="19">
        <f t="shared" si="19"/>
        <v>0</v>
      </c>
      <c r="AM9" s="29"/>
      <c r="AN9" s="30">
        <f t="shared" si="20"/>
        <v>0</v>
      </c>
      <c r="AO9" s="19">
        <f t="shared" si="21"/>
        <v>0</v>
      </c>
      <c r="AP9" s="24"/>
      <c r="AQ9" s="30">
        <f t="shared" si="22"/>
        <v>0</v>
      </c>
      <c r="AR9" s="19">
        <f t="shared" si="23"/>
        <v>0</v>
      </c>
      <c r="AS9" s="24">
        <v>3500</v>
      </c>
      <c r="AT9" s="30">
        <f t="shared" si="24"/>
        <v>2631.5789473684208</v>
      </c>
      <c r="AU9" s="19">
        <f t="shared" si="25"/>
        <v>868.42105263157896</v>
      </c>
      <c r="AV9" s="57">
        <v>3500</v>
      </c>
      <c r="AW9" s="30">
        <f t="shared" si="26"/>
        <v>2631.5789473684208</v>
      </c>
      <c r="AX9" s="19">
        <f t="shared" si="27"/>
        <v>868.42105263157896</v>
      </c>
      <c r="AY9" s="25">
        <f t="shared" si="28"/>
        <v>7000</v>
      </c>
    </row>
    <row r="10" spans="1:51">
      <c r="A10" s="56">
        <v>43788</v>
      </c>
      <c r="B10" s="24" t="s">
        <v>42</v>
      </c>
      <c r="C10" s="24" t="s">
        <v>121</v>
      </c>
      <c r="D10" s="24">
        <v>3500</v>
      </c>
      <c r="E10" s="24" t="s">
        <v>122</v>
      </c>
      <c r="F10" s="24" t="s">
        <v>117</v>
      </c>
      <c r="G10" s="29" t="s">
        <v>74</v>
      </c>
      <c r="H10" s="29">
        <v>33</v>
      </c>
      <c r="I10" s="30">
        <f t="shared" si="29"/>
        <v>4.0303030303030303</v>
      </c>
      <c r="J10" s="24">
        <v>29000</v>
      </c>
      <c r="K10" s="24">
        <v>1000</v>
      </c>
      <c r="L10" s="29">
        <f t="shared" si="1"/>
        <v>9570</v>
      </c>
      <c r="M10" s="29">
        <f t="shared" si="2"/>
        <v>38570</v>
      </c>
      <c r="N10" s="55">
        <f t="shared" si="3"/>
        <v>31570</v>
      </c>
      <c r="O10" s="29"/>
      <c r="P10" s="30">
        <f t="shared" si="4"/>
        <v>0</v>
      </c>
      <c r="Q10" s="30">
        <f t="shared" si="5"/>
        <v>0</v>
      </c>
      <c r="R10" s="29"/>
      <c r="S10" s="30">
        <f t="shared" si="6"/>
        <v>0</v>
      </c>
      <c r="T10" s="19">
        <f t="shared" si="7"/>
        <v>0</v>
      </c>
      <c r="U10" s="9"/>
      <c r="V10" s="30">
        <f t="shared" si="8"/>
        <v>0</v>
      </c>
      <c r="W10" s="19">
        <f t="shared" si="9"/>
        <v>0</v>
      </c>
      <c r="X10" s="29"/>
      <c r="Y10" s="30">
        <f t="shared" si="10"/>
        <v>0</v>
      </c>
      <c r="Z10" s="19">
        <f t="shared" si="11"/>
        <v>0</v>
      </c>
      <c r="AA10" s="29"/>
      <c r="AB10" s="30">
        <f t="shared" si="12"/>
        <v>0</v>
      </c>
      <c r="AC10" s="19">
        <f t="shared" si="13"/>
        <v>0</v>
      </c>
      <c r="AD10" s="29"/>
      <c r="AE10" s="30">
        <f t="shared" si="14"/>
        <v>0</v>
      </c>
      <c r="AF10" s="19">
        <f t="shared" si="15"/>
        <v>0</v>
      </c>
      <c r="AG10" s="29"/>
      <c r="AH10" s="30">
        <f t="shared" si="16"/>
        <v>0</v>
      </c>
      <c r="AI10" s="19">
        <f t="shared" si="17"/>
        <v>0</v>
      </c>
      <c r="AJ10" s="29"/>
      <c r="AK10" s="30">
        <f t="shared" si="18"/>
        <v>0</v>
      </c>
      <c r="AL10" s="19">
        <f t="shared" si="19"/>
        <v>0</v>
      </c>
      <c r="AM10" s="29"/>
      <c r="AN10" s="30">
        <f t="shared" si="20"/>
        <v>0</v>
      </c>
      <c r="AO10" s="19">
        <f t="shared" si="21"/>
        <v>0</v>
      </c>
      <c r="AP10" s="24"/>
      <c r="AQ10" s="30">
        <f t="shared" si="22"/>
        <v>0</v>
      </c>
      <c r="AR10" s="19">
        <f t="shared" si="23"/>
        <v>0</v>
      </c>
      <c r="AS10" s="24">
        <v>3500</v>
      </c>
      <c r="AT10" s="30">
        <f t="shared" si="24"/>
        <v>2631.5789473684208</v>
      </c>
      <c r="AU10" s="19">
        <f t="shared" si="25"/>
        <v>868.42105263157896</v>
      </c>
      <c r="AV10" s="57">
        <v>3500</v>
      </c>
      <c r="AW10" s="30">
        <f t="shared" si="26"/>
        <v>2631.5789473684208</v>
      </c>
      <c r="AX10" s="19">
        <f t="shared" si="27"/>
        <v>868.42105263157896</v>
      </c>
      <c r="AY10" s="25">
        <f t="shared" si="28"/>
        <v>7000</v>
      </c>
    </row>
    <row r="11" spans="1:51">
      <c r="A11" s="56">
        <v>43791</v>
      </c>
      <c r="B11" s="24" t="s">
        <v>43</v>
      </c>
      <c r="C11" s="24"/>
      <c r="D11" s="24">
        <v>10000</v>
      </c>
      <c r="E11" s="24" t="s">
        <v>120</v>
      </c>
      <c r="F11" s="24" t="s">
        <v>123</v>
      </c>
      <c r="G11" s="29" t="s">
        <v>74</v>
      </c>
      <c r="H11" s="29">
        <v>33</v>
      </c>
      <c r="I11" s="30">
        <f t="shared" si="29"/>
        <v>4.0303030303030303</v>
      </c>
      <c r="J11" s="24">
        <v>80500</v>
      </c>
      <c r="K11" s="24"/>
      <c r="L11" s="29">
        <f t="shared" si="1"/>
        <v>26565</v>
      </c>
      <c r="M11" s="29">
        <f t="shared" si="2"/>
        <v>107065</v>
      </c>
      <c r="N11" s="55">
        <f t="shared" si="3"/>
        <v>62065</v>
      </c>
      <c r="O11" s="29"/>
      <c r="P11" s="30">
        <f t="shared" si="4"/>
        <v>0</v>
      </c>
      <c r="Q11" s="30">
        <f t="shared" si="5"/>
        <v>0</v>
      </c>
      <c r="R11" s="29"/>
      <c r="S11" s="30">
        <f t="shared" si="6"/>
        <v>0</v>
      </c>
      <c r="T11" s="19">
        <f t="shared" si="7"/>
        <v>0</v>
      </c>
      <c r="U11" s="9"/>
      <c r="V11" s="30">
        <f t="shared" si="8"/>
        <v>0</v>
      </c>
      <c r="W11" s="19">
        <f t="shared" si="9"/>
        <v>0</v>
      </c>
      <c r="X11" s="29"/>
      <c r="Y11" s="30">
        <f t="shared" si="10"/>
        <v>0</v>
      </c>
      <c r="Z11" s="19">
        <f t="shared" si="11"/>
        <v>0</v>
      </c>
      <c r="AA11" s="29"/>
      <c r="AB11" s="30">
        <f t="shared" si="12"/>
        <v>0</v>
      </c>
      <c r="AC11" s="19">
        <f t="shared" si="13"/>
        <v>0</v>
      </c>
      <c r="AD11" s="29"/>
      <c r="AE11" s="30">
        <f t="shared" si="14"/>
        <v>0</v>
      </c>
      <c r="AF11" s="19">
        <f t="shared" si="15"/>
        <v>0</v>
      </c>
      <c r="AG11" s="29"/>
      <c r="AH11" s="30">
        <f t="shared" si="16"/>
        <v>0</v>
      </c>
      <c r="AI11" s="19">
        <f t="shared" si="17"/>
        <v>0</v>
      </c>
      <c r="AJ11" s="29"/>
      <c r="AK11" s="30">
        <f t="shared" si="18"/>
        <v>0</v>
      </c>
      <c r="AL11" s="19">
        <f t="shared" si="19"/>
        <v>0</v>
      </c>
      <c r="AM11" s="29"/>
      <c r="AN11" s="30">
        <f t="shared" si="20"/>
        <v>0</v>
      </c>
      <c r="AO11" s="19">
        <f t="shared" si="21"/>
        <v>0</v>
      </c>
      <c r="AP11" s="24">
        <v>25000</v>
      </c>
      <c r="AQ11" s="30">
        <f t="shared" si="22"/>
        <v>18796.992481203008</v>
      </c>
      <c r="AR11" s="19">
        <f t="shared" si="23"/>
        <v>6203.0075187969924</v>
      </c>
      <c r="AS11" s="24"/>
      <c r="AT11" s="30">
        <f t="shared" si="24"/>
        <v>0</v>
      </c>
      <c r="AU11" s="19">
        <f t="shared" si="25"/>
        <v>0</v>
      </c>
      <c r="AV11" s="57">
        <v>20000</v>
      </c>
      <c r="AW11" s="30">
        <f t="shared" si="26"/>
        <v>15037.593984962405</v>
      </c>
      <c r="AX11" s="19">
        <f t="shared" si="27"/>
        <v>4962.4060150375944</v>
      </c>
      <c r="AY11" s="25">
        <f t="shared" si="28"/>
        <v>45000</v>
      </c>
    </row>
    <row r="12" spans="1:51">
      <c r="A12" s="56">
        <v>43794</v>
      </c>
      <c r="B12" s="24" t="s">
        <v>124</v>
      </c>
      <c r="C12" s="24" t="s">
        <v>125</v>
      </c>
      <c r="D12" s="24">
        <v>5000</v>
      </c>
      <c r="E12" s="24" t="s">
        <v>126</v>
      </c>
      <c r="F12" s="24" t="s">
        <v>127</v>
      </c>
      <c r="G12" s="29" t="s">
        <v>74</v>
      </c>
      <c r="H12" s="29">
        <v>33</v>
      </c>
      <c r="I12" s="30">
        <f t="shared" si="29"/>
        <v>4.0303030303030303</v>
      </c>
      <c r="J12" s="24">
        <v>43000</v>
      </c>
      <c r="K12" s="24"/>
      <c r="L12" s="29">
        <f t="shared" si="1"/>
        <v>14190</v>
      </c>
      <c r="M12" s="29">
        <f t="shared" si="2"/>
        <v>57190</v>
      </c>
      <c r="N12" s="55">
        <f t="shared" si="3"/>
        <v>47190</v>
      </c>
      <c r="O12" s="29"/>
      <c r="P12" s="30">
        <f t="shared" si="4"/>
        <v>0</v>
      </c>
      <c r="Q12" s="30">
        <f t="shared" si="5"/>
        <v>0</v>
      </c>
      <c r="R12" s="29"/>
      <c r="S12" s="30">
        <f t="shared" si="6"/>
        <v>0</v>
      </c>
      <c r="T12" s="19">
        <f t="shared" si="7"/>
        <v>0</v>
      </c>
      <c r="U12" s="9"/>
      <c r="V12" s="30">
        <f t="shared" si="8"/>
        <v>0</v>
      </c>
      <c r="W12" s="19">
        <f t="shared" si="9"/>
        <v>0</v>
      </c>
      <c r="X12" s="29"/>
      <c r="Y12" s="30">
        <f t="shared" si="10"/>
        <v>0</v>
      </c>
      <c r="Z12" s="19">
        <f t="shared" si="11"/>
        <v>0</v>
      </c>
      <c r="AA12" s="29"/>
      <c r="AB12" s="30">
        <f t="shared" si="12"/>
        <v>0</v>
      </c>
      <c r="AC12" s="19">
        <f t="shared" si="13"/>
        <v>0</v>
      </c>
      <c r="AD12" s="29"/>
      <c r="AE12" s="30">
        <f t="shared" si="14"/>
        <v>0</v>
      </c>
      <c r="AF12" s="19">
        <f t="shared" si="15"/>
        <v>0</v>
      </c>
      <c r="AG12" s="29"/>
      <c r="AH12" s="30">
        <f t="shared" si="16"/>
        <v>0</v>
      </c>
      <c r="AI12" s="19">
        <f t="shared" si="17"/>
        <v>0</v>
      </c>
      <c r="AJ12" s="29"/>
      <c r="AK12" s="30">
        <f t="shared" si="18"/>
        <v>0</v>
      </c>
      <c r="AL12" s="19">
        <f t="shared" si="19"/>
        <v>0</v>
      </c>
      <c r="AM12" s="29"/>
      <c r="AN12" s="30">
        <f t="shared" si="20"/>
        <v>0</v>
      </c>
      <c r="AO12" s="19">
        <f t="shared" si="21"/>
        <v>0</v>
      </c>
      <c r="AP12" s="24"/>
      <c r="AQ12" s="30">
        <f t="shared" si="22"/>
        <v>0</v>
      </c>
      <c r="AR12" s="19">
        <f t="shared" si="23"/>
        <v>0</v>
      </c>
      <c r="AS12" s="24">
        <v>5000</v>
      </c>
      <c r="AT12" s="30">
        <f t="shared" si="24"/>
        <v>3759.3984962406012</v>
      </c>
      <c r="AU12" s="19">
        <f t="shared" si="25"/>
        <v>1240.6015037593986</v>
      </c>
      <c r="AV12" s="57">
        <v>5000</v>
      </c>
      <c r="AW12" s="30">
        <f t="shared" si="26"/>
        <v>3759.3984962406012</v>
      </c>
      <c r="AX12" s="19">
        <f t="shared" si="27"/>
        <v>1240.6015037593986</v>
      </c>
      <c r="AY12" s="25">
        <f t="shared" si="28"/>
        <v>10000</v>
      </c>
    </row>
    <row r="13" spans="1:51" ht="25.5">
      <c r="A13" s="56">
        <v>43794</v>
      </c>
      <c r="B13" s="24" t="s">
        <v>128</v>
      </c>
      <c r="C13" s="24" t="s">
        <v>129</v>
      </c>
      <c r="D13" s="24">
        <v>25000</v>
      </c>
      <c r="E13" s="24" t="s">
        <v>120</v>
      </c>
      <c r="F13" s="24" t="s">
        <v>130</v>
      </c>
      <c r="G13" s="29" t="s">
        <v>74</v>
      </c>
      <c r="H13" s="29">
        <v>33</v>
      </c>
      <c r="I13" s="30">
        <f t="shared" si="29"/>
        <v>4.0303030303030303</v>
      </c>
      <c r="J13" s="24">
        <v>228000</v>
      </c>
      <c r="K13" s="24"/>
      <c r="L13" s="29">
        <f t="shared" si="1"/>
        <v>75240</v>
      </c>
      <c r="M13" s="29">
        <f t="shared" si="2"/>
        <v>303240</v>
      </c>
      <c r="N13" s="55">
        <f t="shared" si="3"/>
        <v>253240</v>
      </c>
      <c r="O13" s="29"/>
      <c r="P13" s="30">
        <f t="shared" si="4"/>
        <v>0</v>
      </c>
      <c r="Q13" s="30">
        <f t="shared" si="5"/>
        <v>0</v>
      </c>
      <c r="R13" s="29"/>
      <c r="S13" s="30">
        <f t="shared" si="6"/>
        <v>0</v>
      </c>
      <c r="T13" s="19">
        <f t="shared" si="7"/>
        <v>0</v>
      </c>
      <c r="U13" s="9"/>
      <c r="V13" s="30">
        <f t="shared" si="8"/>
        <v>0</v>
      </c>
      <c r="W13" s="19">
        <f t="shared" si="9"/>
        <v>0</v>
      </c>
      <c r="X13" s="29"/>
      <c r="Y13" s="30">
        <f t="shared" si="10"/>
        <v>0</v>
      </c>
      <c r="Z13" s="19">
        <f t="shared" si="11"/>
        <v>0</v>
      </c>
      <c r="AA13" s="29"/>
      <c r="AB13" s="30">
        <f t="shared" si="12"/>
        <v>0</v>
      </c>
      <c r="AC13" s="19">
        <f t="shared" si="13"/>
        <v>0</v>
      </c>
      <c r="AD13" s="29"/>
      <c r="AE13" s="30">
        <f t="shared" si="14"/>
        <v>0</v>
      </c>
      <c r="AF13" s="19">
        <f t="shared" si="15"/>
        <v>0</v>
      </c>
      <c r="AG13" s="29"/>
      <c r="AH13" s="30">
        <f t="shared" si="16"/>
        <v>0</v>
      </c>
      <c r="AI13" s="19">
        <f t="shared" si="17"/>
        <v>0</v>
      </c>
      <c r="AJ13" s="29"/>
      <c r="AK13" s="30">
        <f t="shared" si="18"/>
        <v>0</v>
      </c>
      <c r="AL13" s="19">
        <f t="shared" si="19"/>
        <v>0</v>
      </c>
      <c r="AM13" s="29"/>
      <c r="AN13" s="30">
        <f t="shared" si="20"/>
        <v>0</v>
      </c>
      <c r="AO13" s="19">
        <f t="shared" si="21"/>
        <v>0</v>
      </c>
      <c r="AP13" s="24"/>
      <c r="AQ13" s="30">
        <f t="shared" si="22"/>
        <v>0</v>
      </c>
      <c r="AR13" s="19">
        <f t="shared" si="23"/>
        <v>0</v>
      </c>
      <c r="AS13" s="24">
        <v>25000</v>
      </c>
      <c r="AT13" s="30">
        <f t="shared" si="24"/>
        <v>18796.992481203008</v>
      </c>
      <c r="AU13" s="19">
        <f t="shared" si="25"/>
        <v>6203.0075187969924</v>
      </c>
      <c r="AV13" s="57">
        <v>25000</v>
      </c>
      <c r="AW13" s="30">
        <f t="shared" si="26"/>
        <v>18796.992481203008</v>
      </c>
      <c r="AX13" s="19">
        <f t="shared" si="27"/>
        <v>6203.0075187969924</v>
      </c>
      <c r="AY13" s="25">
        <f t="shared" si="28"/>
        <v>50000</v>
      </c>
    </row>
    <row r="14" spans="1:51">
      <c r="A14" s="56">
        <v>43796</v>
      </c>
      <c r="B14" s="24" t="s">
        <v>131</v>
      </c>
      <c r="C14" s="24" t="s">
        <v>132</v>
      </c>
      <c r="D14" s="24">
        <v>5000</v>
      </c>
      <c r="E14" s="24" t="s">
        <v>133</v>
      </c>
      <c r="F14" s="24" t="s">
        <v>134</v>
      </c>
      <c r="G14" s="29" t="s">
        <v>74</v>
      </c>
      <c r="H14" s="29">
        <v>33</v>
      </c>
      <c r="I14" s="30">
        <f t="shared" si="29"/>
        <v>4.0303030303030303</v>
      </c>
      <c r="J14" s="24">
        <v>43000</v>
      </c>
      <c r="K14" s="24">
        <v>400</v>
      </c>
      <c r="L14" s="29">
        <f t="shared" si="1"/>
        <v>14190</v>
      </c>
      <c r="M14" s="29">
        <f t="shared" si="2"/>
        <v>57190</v>
      </c>
      <c r="N14" s="55">
        <f t="shared" si="3"/>
        <v>47190</v>
      </c>
      <c r="O14" s="29"/>
      <c r="P14" s="30">
        <f t="shared" si="4"/>
        <v>0</v>
      </c>
      <c r="Q14" s="30">
        <f t="shared" si="5"/>
        <v>0</v>
      </c>
      <c r="R14" s="29"/>
      <c r="S14" s="30">
        <f t="shared" si="6"/>
        <v>0</v>
      </c>
      <c r="T14" s="19">
        <f t="shared" si="7"/>
        <v>0</v>
      </c>
      <c r="U14" s="9"/>
      <c r="V14" s="30">
        <f t="shared" si="8"/>
        <v>0</v>
      </c>
      <c r="W14" s="19">
        <f t="shared" si="9"/>
        <v>0</v>
      </c>
      <c r="X14" s="29"/>
      <c r="Y14" s="30">
        <f t="shared" si="10"/>
        <v>0</v>
      </c>
      <c r="Z14" s="19">
        <f t="shared" si="11"/>
        <v>0</v>
      </c>
      <c r="AA14" s="29"/>
      <c r="AB14" s="30">
        <f t="shared" si="12"/>
        <v>0</v>
      </c>
      <c r="AC14" s="19">
        <f t="shared" si="13"/>
        <v>0</v>
      </c>
      <c r="AD14" s="29"/>
      <c r="AE14" s="30">
        <f t="shared" si="14"/>
        <v>0</v>
      </c>
      <c r="AF14" s="19">
        <f t="shared" si="15"/>
        <v>0</v>
      </c>
      <c r="AG14" s="29"/>
      <c r="AH14" s="30">
        <f t="shared" si="16"/>
        <v>0</v>
      </c>
      <c r="AI14" s="19">
        <f t="shared" si="17"/>
        <v>0</v>
      </c>
      <c r="AJ14" s="29"/>
      <c r="AK14" s="30">
        <f t="shared" si="18"/>
        <v>0</v>
      </c>
      <c r="AL14" s="19">
        <f t="shared" si="19"/>
        <v>0</v>
      </c>
      <c r="AM14" s="29"/>
      <c r="AN14" s="30">
        <f t="shared" si="20"/>
        <v>0</v>
      </c>
      <c r="AO14" s="19">
        <f t="shared" si="21"/>
        <v>0</v>
      </c>
      <c r="AP14" s="24"/>
      <c r="AQ14" s="30">
        <f t="shared" si="22"/>
        <v>0</v>
      </c>
      <c r="AR14" s="19">
        <f t="shared" si="23"/>
        <v>0</v>
      </c>
      <c r="AS14" s="24">
        <v>5000</v>
      </c>
      <c r="AT14" s="30">
        <f t="shared" si="24"/>
        <v>3759.3984962406012</v>
      </c>
      <c r="AU14" s="19">
        <f t="shared" si="25"/>
        <v>1240.6015037593986</v>
      </c>
      <c r="AV14" s="57">
        <v>5000</v>
      </c>
      <c r="AW14" s="30">
        <f t="shared" si="26"/>
        <v>3759.3984962406012</v>
      </c>
      <c r="AX14" s="19">
        <f t="shared" si="27"/>
        <v>1240.6015037593986</v>
      </c>
      <c r="AY14" s="25">
        <f t="shared" si="28"/>
        <v>10000</v>
      </c>
    </row>
    <row r="15" spans="1:51">
      <c r="A15" s="56">
        <v>43801</v>
      </c>
      <c r="B15" s="24" t="s">
        <v>135</v>
      </c>
      <c r="C15" s="24" t="s">
        <v>136</v>
      </c>
      <c r="D15" s="24">
        <v>2000</v>
      </c>
      <c r="E15" s="24" t="s">
        <v>126</v>
      </c>
      <c r="F15" s="24" t="s">
        <v>137</v>
      </c>
      <c r="G15" s="29" t="s">
        <v>74</v>
      </c>
      <c r="H15" s="29">
        <v>33</v>
      </c>
      <c r="I15" s="30">
        <f t="shared" si="29"/>
        <v>4.0303030303030303</v>
      </c>
      <c r="J15" s="24">
        <v>16000</v>
      </c>
      <c r="K15" s="24"/>
      <c r="L15" s="29">
        <f t="shared" si="1"/>
        <v>5280</v>
      </c>
      <c r="M15" s="29">
        <f t="shared" si="2"/>
        <v>21280</v>
      </c>
      <c r="N15" s="55">
        <f t="shared" si="3"/>
        <v>19280</v>
      </c>
      <c r="O15" s="29"/>
      <c r="P15" s="30">
        <f t="shared" si="4"/>
        <v>0</v>
      </c>
      <c r="Q15" s="30">
        <f t="shared" si="5"/>
        <v>0</v>
      </c>
      <c r="R15" s="29"/>
      <c r="S15" s="30">
        <f t="shared" si="6"/>
        <v>0</v>
      </c>
      <c r="T15" s="19">
        <f t="shared" si="7"/>
        <v>0</v>
      </c>
      <c r="U15" s="9"/>
      <c r="V15" s="30">
        <f t="shared" si="8"/>
        <v>0</v>
      </c>
      <c r="W15" s="19">
        <f t="shared" si="9"/>
        <v>0</v>
      </c>
      <c r="X15" s="29"/>
      <c r="Y15" s="30">
        <f t="shared" si="10"/>
        <v>0</v>
      </c>
      <c r="Z15" s="19">
        <f t="shared" si="11"/>
        <v>0</v>
      </c>
      <c r="AA15" s="29"/>
      <c r="AB15" s="30">
        <f t="shared" si="12"/>
        <v>0</v>
      </c>
      <c r="AC15" s="19">
        <f t="shared" si="13"/>
        <v>0</v>
      </c>
      <c r="AD15" s="29"/>
      <c r="AE15" s="30">
        <f t="shared" si="14"/>
        <v>0</v>
      </c>
      <c r="AF15" s="19">
        <f t="shared" si="15"/>
        <v>0</v>
      </c>
      <c r="AG15" s="29"/>
      <c r="AH15" s="30">
        <f t="shared" si="16"/>
        <v>0</v>
      </c>
      <c r="AI15" s="19">
        <f t="shared" si="17"/>
        <v>0</v>
      </c>
      <c r="AJ15" s="29"/>
      <c r="AK15" s="30">
        <f t="shared" si="18"/>
        <v>0</v>
      </c>
      <c r="AL15" s="19">
        <f t="shared" si="19"/>
        <v>0</v>
      </c>
      <c r="AM15" s="29"/>
      <c r="AN15" s="30">
        <f t="shared" si="20"/>
        <v>0</v>
      </c>
      <c r="AO15" s="19">
        <f t="shared" si="21"/>
        <v>0</v>
      </c>
      <c r="AP15" s="29"/>
      <c r="AQ15" s="30">
        <f t="shared" si="22"/>
        <v>0</v>
      </c>
      <c r="AR15" s="19">
        <f t="shared" si="23"/>
        <v>0</v>
      </c>
      <c r="AS15" s="24"/>
      <c r="AT15" s="30">
        <f t="shared" si="24"/>
        <v>0</v>
      </c>
      <c r="AU15" s="19">
        <f t="shared" si="25"/>
        <v>0</v>
      </c>
      <c r="AV15" s="57">
        <v>2000</v>
      </c>
      <c r="AW15" s="30">
        <f t="shared" si="26"/>
        <v>1503.7593984962405</v>
      </c>
      <c r="AX15" s="19">
        <f t="shared" si="27"/>
        <v>496.24060150375942</v>
      </c>
      <c r="AY15" s="25">
        <f t="shared" si="28"/>
        <v>2000</v>
      </c>
    </row>
    <row r="16" spans="1:51">
      <c r="A16" s="56">
        <v>43801</v>
      </c>
      <c r="B16" s="24" t="s">
        <v>138</v>
      </c>
      <c r="C16" s="24" t="s">
        <v>139</v>
      </c>
      <c r="D16" s="24">
        <v>2000</v>
      </c>
      <c r="E16" s="24" t="s">
        <v>109</v>
      </c>
      <c r="F16" s="24" t="s">
        <v>137</v>
      </c>
      <c r="G16" s="29" t="s">
        <v>74</v>
      </c>
      <c r="H16" s="29">
        <v>33</v>
      </c>
      <c r="I16" s="30">
        <f t="shared" si="29"/>
        <v>4.0303030303030303</v>
      </c>
      <c r="J16" s="24">
        <v>16000</v>
      </c>
      <c r="K16" s="24"/>
      <c r="L16" s="29">
        <f t="shared" si="1"/>
        <v>5280</v>
      </c>
      <c r="M16" s="29">
        <f t="shared" si="2"/>
        <v>21280</v>
      </c>
      <c r="N16" s="55">
        <f t="shared" si="3"/>
        <v>17280</v>
      </c>
      <c r="O16" s="29"/>
      <c r="P16" s="30">
        <f t="shared" si="4"/>
        <v>0</v>
      </c>
      <c r="Q16" s="30">
        <f t="shared" si="5"/>
        <v>0</v>
      </c>
      <c r="R16" s="29"/>
      <c r="S16" s="30">
        <f t="shared" si="6"/>
        <v>0</v>
      </c>
      <c r="T16" s="19">
        <f t="shared" si="7"/>
        <v>0</v>
      </c>
      <c r="U16" s="9"/>
      <c r="V16" s="30">
        <f t="shared" si="8"/>
        <v>0</v>
      </c>
      <c r="W16" s="19">
        <f t="shared" si="9"/>
        <v>0</v>
      </c>
      <c r="X16" s="29"/>
      <c r="Y16" s="30">
        <f t="shared" si="10"/>
        <v>0</v>
      </c>
      <c r="Z16" s="19">
        <f t="shared" si="11"/>
        <v>0</v>
      </c>
      <c r="AA16" s="29"/>
      <c r="AB16" s="30">
        <f t="shared" si="12"/>
        <v>0</v>
      </c>
      <c r="AC16" s="19">
        <f t="shared" si="13"/>
        <v>0</v>
      </c>
      <c r="AD16" s="29"/>
      <c r="AE16" s="30">
        <f t="shared" si="14"/>
        <v>0</v>
      </c>
      <c r="AF16" s="19">
        <f t="shared" si="15"/>
        <v>0</v>
      </c>
      <c r="AG16" s="29"/>
      <c r="AH16" s="30">
        <f t="shared" si="16"/>
        <v>0</v>
      </c>
      <c r="AI16" s="19">
        <f t="shared" si="17"/>
        <v>0</v>
      </c>
      <c r="AJ16" s="29"/>
      <c r="AK16" s="30">
        <f t="shared" si="18"/>
        <v>0</v>
      </c>
      <c r="AL16" s="19">
        <f t="shared" si="19"/>
        <v>0</v>
      </c>
      <c r="AM16" s="29"/>
      <c r="AN16" s="30">
        <f t="shared" si="20"/>
        <v>0</v>
      </c>
      <c r="AO16" s="19">
        <f t="shared" si="21"/>
        <v>0</v>
      </c>
      <c r="AP16" s="29"/>
      <c r="AQ16" s="30">
        <f t="shared" si="22"/>
        <v>0</v>
      </c>
      <c r="AR16" s="19">
        <f t="shared" si="23"/>
        <v>0</v>
      </c>
      <c r="AS16" s="24">
        <v>2000</v>
      </c>
      <c r="AT16" s="30">
        <f t="shared" si="24"/>
        <v>1503.7593984962405</v>
      </c>
      <c r="AU16" s="19">
        <f t="shared" si="25"/>
        <v>496.24060150375942</v>
      </c>
      <c r="AV16" s="57">
        <v>2000</v>
      </c>
      <c r="AW16" s="30">
        <f t="shared" si="26"/>
        <v>1503.7593984962405</v>
      </c>
      <c r="AX16" s="19">
        <f t="shared" si="27"/>
        <v>496.24060150375942</v>
      </c>
      <c r="AY16" s="25">
        <f t="shared" si="28"/>
        <v>4000</v>
      </c>
    </row>
    <row r="17" spans="1:51">
      <c r="A17" s="56">
        <v>43802</v>
      </c>
      <c r="B17" s="24" t="s">
        <v>140</v>
      </c>
      <c r="C17" s="24" t="s">
        <v>141</v>
      </c>
      <c r="D17" s="24">
        <v>2000</v>
      </c>
      <c r="E17" s="24" t="s">
        <v>109</v>
      </c>
      <c r="F17" s="24" t="s">
        <v>142</v>
      </c>
      <c r="G17" s="29" t="s">
        <v>74</v>
      </c>
      <c r="H17" s="29">
        <v>33</v>
      </c>
      <c r="I17" s="30">
        <f t="shared" si="29"/>
        <v>4.0303030303030303</v>
      </c>
      <c r="J17" s="24">
        <v>18000</v>
      </c>
      <c r="K17" s="24"/>
      <c r="L17" s="29">
        <f t="shared" si="1"/>
        <v>5940</v>
      </c>
      <c r="M17" s="29">
        <f t="shared" si="2"/>
        <v>23940</v>
      </c>
      <c r="N17" s="55">
        <f t="shared" si="3"/>
        <v>21940</v>
      </c>
      <c r="O17" s="29"/>
      <c r="P17" s="30">
        <f t="shared" si="4"/>
        <v>0</v>
      </c>
      <c r="Q17" s="30">
        <f t="shared" si="5"/>
        <v>0</v>
      </c>
      <c r="R17" s="29"/>
      <c r="S17" s="30">
        <f t="shared" si="6"/>
        <v>0</v>
      </c>
      <c r="T17" s="19">
        <f t="shared" si="7"/>
        <v>0</v>
      </c>
      <c r="U17" s="9"/>
      <c r="V17" s="30">
        <f t="shared" si="8"/>
        <v>0</v>
      </c>
      <c r="W17" s="19">
        <f t="shared" si="9"/>
        <v>0</v>
      </c>
      <c r="X17" s="29"/>
      <c r="Y17" s="30">
        <f t="shared" si="10"/>
        <v>0</v>
      </c>
      <c r="Z17" s="19">
        <f t="shared" si="11"/>
        <v>0</v>
      </c>
      <c r="AA17" s="29"/>
      <c r="AB17" s="30">
        <f t="shared" si="12"/>
        <v>0</v>
      </c>
      <c r="AC17" s="19">
        <f t="shared" si="13"/>
        <v>0</v>
      </c>
      <c r="AD17" s="29"/>
      <c r="AE17" s="30">
        <f t="shared" si="14"/>
        <v>0</v>
      </c>
      <c r="AF17" s="19">
        <f t="shared" si="15"/>
        <v>0</v>
      </c>
      <c r="AG17" s="29"/>
      <c r="AH17" s="30">
        <f t="shared" si="16"/>
        <v>0</v>
      </c>
      <c r="AI17" s="19">
        <f t="shared" si="17"/>
        <v>0</v>
      </c>
      <c r="AJ17" s="29"/>
      <c r="AK17" s="30">
        <f t="shared" si="18"/>
        <v>0</v>
      </c>
      <c r="AL17" s="19">
        <f t="shared" si="19"/>
        <v>0</v>
      </c>
      <c r="AM17" s="29"/>
      <c r="AN17" s="30">
        <f t="shared" si="20"/>
        <v>0</v>
      </c>
      <c r="AO17" s="19">
        <f t="shared" si="21"/>
        <v>0</v>
      </c>
      <c r="AP17" s="29"/>
      <c r="AQ17" s="30">
        <f t="shared" si="22"/>
        <v>0</v>
      </c>
      <c r="AR17" s="19">
        <f t="shared" si="23"/>
        <v>0</v>
      </c>
      <c r="AS17" s="24"/>
      <c r="AT17" s="30">
        <f t="shared" si="24"/>
        <v>0</v>
      </c>
      <c r="AU17" s="19">
        <f t="shared" si="25"/>
        <v>0</v>
      </c>
      <c r="AV17" s="57">
        <v>2000</v>
      </c>
      <c r="AW17" s="30">
        <f t="shared" si="26"/>
        <v>1503.7593984962405</v>
      </c>
      <c r="AX17" s="19">
        <f t="shared" si="27"/>
        <v>496.24060150375942</v>
      </c>
      <c r="AY17" s="25">
        <f t="shared" si="28"/>
        <v>2000</v>
      </c>
    </row>
    <row r="18" spans="1:51" ht="25.5">
      <c r="A18" s="56">
        <v>43802</v>
      </c>
      <c r="B18" s="24" t="s">
        <v>143</v>
      </c>
      <c r="C18" s="24" t="s">
        <v>144</v>
      </c>
      <c r="D18" s="24">
        <v>6000</v>
      </c>
      <c r="E18" s="24" t="s">
        <v>145</v>
      </c>
      <c r="F18" s="24" t="s">
        <v>146</v>
      </c>
      <c r="G18" s="29" t="s">
        <v>74</v>
      </c>
      <c r="H18" s="29">
        <v>33</v>
      </c>
      <c r="I18" s="30">
        <f t="shared" si="29"/>
        <v>4.0303030303030303</v>
      </c>
      <c r="J18" s="24">
        <v>51000</v>
      </c>
      <c r="K18" s="24"/>
      <c r="L18" s="29">
        <f t="shared" si="1"/>
        <v>16830</v>
      </c>
      <c r="M18" s="29">
        <f t="shared" si="2"/>
        <v>67830</v>
      </c>
      <c r="N18" s="55">
        <f t="shared" si="3"/>
        <v>55830</v>
      </c>
      <c r="O18" s="29"/>
      <c r="P18" s="30">
        <f t="shared" si="4"/>
        <v>0</v>
      </c>
      <c r="Q18" s="30">
        <f t="shared" si="5"/>
        <v>0</v>
      </c>
      <c r="R18" s="29"/>
      <c r="S18" s="30">
        <f t="shared" si="6"/>
        <v>0</v>
      </c>
      <c r="T18" s="19">
        <f t="shared" si="7"/>
        <v>0</v>
      </c>
      <c r="U18" s="9"/>
      <c r="V18" s="30">
        <f t="shared" si="8"/>
        <v>0</v>
      </c>
      <c r="W18" s="19">
        <f t="shared" si="9"/>
        <v>0</v>
      </c>
      <c r="X18" s="29"/>
      <c r="Y18" s="30">
        <f t="shared" si="10"/>
        <v>0</v>
      </c>
      <c r="Z18" s="19">
        <f t="shared" si="11"/>
        <v>0</v>
      </c>
      <c r="AA18" s="29"/>
      <c r="AB18" s="30">
        <f t="shared" si="12"/>
        <v>0</v>
      </c>
      <c r="AC18" s="19">
        <f t="shared" si="13"/>
        <v>0</v>
      </c>
      <c r="AD18" s="29"/>
      <c r="AE18" s="30">
        <f t="shared" si="14"/>
        <v>0</v>
      </c>
      <c r="AF18" s="19">
        <f t="shared" si="15"/>
        <v>0</v>
      </c>
      <c r="AG18" s="29"/>
      <c r="AH18" s="30">
        <f t="shared" si="16"/>
        <v>0</v>
      </c>
      <c r="AI18" s="19">
        <f t="shared" si="17"/>
        <v>0</v>
      </c>
      <c r="AJ18" s="29"/>
      <c r="AK18" s="30">
        <f t="shared" si="18"/>
        <v>0</v>
      </c>
      <c r="AL18" s="19">
        <f t="shared" si="19"/>
        <v>0</v>
      </c>
      <c r="AM18" s="29"/>
      <c r="AN18" s="30">
        <f t="shared" si="20"/>
        <v>0</v>
      </c>
      <c r="AO18" s="19">
        <f t="shared" si="21"/>
        <v>0</v>
      </c>
      <c r="AP18" s="29"/>
      <c r="AQ18" s="30">
        <f t="shared" si="22"/>
        <v>0</v>
      </c>
      <c r="AR18" s="19">
        <f t="shared" si="23"/>
        <v>0</v>
      </c>
      <c r="AS18" s="24">
        <v>6000</v>
      </c>
      <c r="AT18" s="30">
        <f t="shared" si="24"/>
        <v>4511.2781954887214</v>
      </c>
      <c r="AU18" s="19">
        <f t="shared" si="25"/>
        <v>1488.7218045112782</v>
      </c>
      <c r="AV18" s="57">
        <v>6000</v>
      </c>
      <c r="AW18" s="30">
        <f t="shared" si="26"/>
        <v>4511.2781954887214</v>
      </c>
      <c r="AX18" s="19">
        <f t="shared" si="27"/>
        <v>1488.7218045112782</v>
      </c>
      <c r="AY18" s="25">
        <f t="shared" si="28"/>
        <v>12000</v>
      </c>
    </row>
    <row r="19" spans="1:51" ht="25.5">
      <c r="A19" s="56">
        <v>43805</v>
      </c>
      <c r="B19" s="24" t="s">
        <v>147</v>
      </c>
      <c r="C19" s="24" t="s">
        <v>148</v>
      </c>
      <c r="D19" s="24">
        <v>6000</v>
      </c>
      <c r="E19" s="24" t="s">
        <v>109</v>
      </c>
      <c r="F19" s="24" t="s">
        <v>149</v>
      </c>
      <c r="G19" s="29" t="s">
        <v>74</v>
      </c>
      <c r="H19" s="29">
        <v>33</v>
      </c>
      <c r="I19" s="30">
        <f t="shared" si="29"/>
        <v>4.0303030303030303</v>
      </c>
      <c r="J19" s="24">
        <v>52000</v>
      </c>
      <c r="K19" s="24"/>
      <c r="L19" s="29">
        <f t="shared" si="1"/>
        <v>17160</v>
      </c>
      <c r="M19" s="29">
        <f t="shared" si="2"/>
        <v>69160</v>
      </c>
      <c r="N19" s="55">
        <f t="shared" si="3"/>
        <v>57160</v>
      </c>
      <c r="O19" s="29"/>
      <c r="P19" s="30">
        <f t="shared" si="4"/>
        <v>0</v>
      </c>
      <c r="Q19" s="30">
        <f t="shared" si="5"/>
        <v>0</v>
      </c>
      <c r="R19" s="29"/>
      <c r="S19" s="30">
        <f t="shared" si="6"/>
        <v>0</v>
      </c>
      <c r="T19" s="19">
        <f t="shared" si="7"/>
        <v>0</v>
      </c>
      <c r="U19" s="9"/>
      <c r="V19" s="30">
        <f t="shared" si="8"/>
        <v>0</v>
      </c>
      <c r="W19" s="19">
        <f t="shared" si="9"/>
        <v>0</v>
      </c>
      <c r="X19" s="29"/>
      <c r="Y19" s="30">
        <f t="shared" si="10"/>
        <v>0</v>
      </c>
      <c r="Z19" s="19">
        <f t="shared" si="11"/>
        <v>0</v>
      </c>
      <c r="AA19" s="29"/>
      <c r="AB19" s="30">
        <f t="shared" si="12"/>
        <v>0</v>
      </c>
      <c r="AC19" s="19">
        <f t="shared" si="13"/>
        <v>0</v>
      </c>
      <c r="AD19" s="29"/>
      <c r="AE19" s="30">
        <f t="shared" si="14"/>
        <v>0</v>
      </c>
      <c r="AF19" s="19">
        <f t="shared" si="15"/>
        <v>0</v>
      </c>
      <c r="AG19" s="29"/>
      <c r="AH19" s="30">
        <f t="shared" si="16"/>
        <v>0</v>
      </c>
      <c r="AI19" s="19">
        <f t="shared" si="17"/>
        <v>0</v>
      </c>
      <c r="AJ19" s="29"/>
      <c r="AK19" s="30">
        <f t="shared" si="18"/>
        <v>0</v>
      </c>
      <c r="AL19" s="19">
        <f t="shared" si="19"/>
        <v>0</v>
      </c>
      <c r="AM19" s="29"/>
      <c r="AN19" s="30">
        <f t="shared" si="20"/>
        <v>0</v>
      </c>
      <c r="AO19" s="19">
        <f t="shared" si="21"/>
        <v>0</v>
      </c>
      <c r="AP19" s="29"/>
      <c r="AQ19" s="30">
        <f t="shared" si="22"/>
        <v>0</v>
      </c>
      <c r="AR19" s="19">
        <f t="shared" si="23"/>
        <v>0</v>
      </c>
      <c r="AS19" s="24">
        <v>6000</v>
      </c>
      <c r="AT19" s="30">
        <f t="shared" si="24"/>
        <v>4511.2781954887214</v>
      </c>
      <c r="AU19" s="19">
        <f t="shared" si="25"/>
        <v>1488.7218045112782</v>
      </c>
      <c r="AV19" s="57">
        <v>6000</v>
      </c>
      <c r="AW19" s="30">
        <f t="shared" si="26"/>
        <v>4511.2781954887214</v>
      </c>
      <c r="AX19" s="19">
        <f t="shared" si="27"/>
        <v>1488.7218045112782</v>
      </c>
      <c r="AY19" s="25">
        <f t="shared" si="28"/>
        <v>12000</v>
      </c>
    </row>
    <row r="20" spans="1:51">
      <c r="A20" s="56">
        <v>43806</v>
      </c>
      <c r="B20" s="24" t="s">
        <v>150</v>
      </c>
      <c r="C20" s="24" t="s">
        <v>151</v>
      </c>
      <c r="D20" s="24">
        <v>5000</v>
      </c>
      <c r="E20" s="24" t="s">
        <v>120</v>
      </c>
      <c r="F20" s="24" t="s">
        <v>152</v>
      </c>
      <c r="G20" s="29" t="s">
        <v>74</v>
      </c>
      <c r="H20" s="29">
        <v>33</v>
      </c>
      <c r="I20" s="30">
        <f t="shared" si="29"/>
        <v>4.0303030303030303</v>
      </c>
      <c r="J20" s="24">
        <v>43000</v>
      </c>
      <c r="K20" s="24">
        <v>2000</v>
      </c>
      <c r="L20" s="29">
        <f t="shared" si="1"/>
        <v>14190</v>
      </c>
      <c r="M20" s="29">
        <f t="shared" si="2"/>
        <v>57190</v>
      </c>
      <c r="N20" s="55">
        <f t="shared" si="3"/>
        <v>47190</v>
      </c>
      <c r="O20" s="29"/>
      <c r="P20" s="30">
        <f t="shared" si="4"/>
        <v>0</v>
      </c>
      <c r="Q20" s="30">
        <f t="shared" si="5"/>
        <v>0</v>
      </c>
      <c r="R20" s="29"/>
      <c r="S20" s="30">
        <f t="shared" si="6"/>
        <v>0</v>
      </c>
      <c r="T20" s="19">
        <f t="shared" si="7"/>
        <v>0</v>
      </c>
      <c r="U20" s="9"/>
      <c r="V20" s="30">
        <f t="shared" si="8"/>
        <v>0</v>
      </c>
      <c r="W20" s="19">
        <f t="shared" si="9"/>
        <v>0</v>
      </c>
      <c r="X20" s="29"/>
      <c r="Y20" s="30">
        <f t="shared" si="10"/>
        <v>0</v>
      </c>
      <c r="Z20" s="19">
        <f t="shared" si="11"/>
        <v>0</v>
      </c>
      <c r="AA20" s="29"/>
      <c r="AB20" s="30">
        <f t="shared" si="12"/>
        <v>0</v>
      </c>
      <c r="AC20" s="19">
        <f t="shared" si="13"/>
        <v>0</v>
      </c>
      <c r="AD20" s="29"/>
      <c r="AE20" s="30">
        <f t="shared" si="14"/>
        <v>0</v>
      </c>
      <c r="AF20" s="19">
        <f t="shared" si="15"/>
        <v>0</v>
      </c>
      <c r="AG20" s="29"/>
      <c r="AH20" s="30">
        <f t="shared" si="16"/>
        <v>0</v>
      </c>
      <c r="AI20" s="19">
        <f t="shared" si="17"/>
        <v>0</v>
      </c>
      <c r="AJ20" s="29"/>
      <c r="AK20" s="30">
        <f t="shared" si="18"/>
        <v>0</v>
      </c>
      <c r="AL20" s="19">
        <f t="shared" si="19"/>
        <v>0</v>
      </c>
      <c r="AM20" s="29"/>
      <c r="AN20" s="30">
        <f t="shared" si="20"/>
        <v>0</v>
      </c>
      <c r="AO20" s="19">
        <f t="shared" si="21"/>
        <v>0</v>
      </c>
      <c r="AP20" s="29"/>
      <c r="AQ20" s="30">
        <f t="shared" si="22"/>
        <v>0</v>
      </c>
      <c r="AR20" s="19">
        <f t="shared" si="23"/>
        <v>0</v>
      </c>
      <c r="AS20" s="24">
        <v>5000</v>
      </c>
      <c r="AT20" s="30">
        <f t="shared" si="24"/>
        <v>3759.3984962406012</v>
      </c>
      <c r="AU20" s="19">
        <f t="shared" si="25"/>
        <v>1240.6015037593986</v>
      </c>
      <c r="AV20" s="57">
        <v>5000</v>
      </c>
      <c r="AW20" s="30">
        <f t="shared" si="26"/>
        <v>3759.3984962406012</v>
      </c>
      <c r="AX20" s="19">
        <f t="shared" si="27"/>
        <v>1240.6015037593986</v>
      </c>
      <c r="AY20" s="25">
        <f t="shared" si="28"/>
        <v>10000</v>
      </c>
    </row>
    <row r="21" spans="1:51">
      <c r="A21" s="56">
        <v>43810</v>
      </c>
      <c r="B21" s="24" t="s">
        <v>153</v>
      </c>
      <c r="C21" s="24" t="s">
        <v>154</v>
      </c>
      <c r="D21" s="24">
        <v>4500</v>
      </c>
      <c r="E21" s="24" t="s">
        <v>126</v>
      </c>
      <c r="F21" s="24" t="s">
        <v>155</v>
      </c>
      <c r="G21" s="29" t="s">
        <v>74</v>
      </c>
      <c r="H21" s="29">
        <v>33</v>
      </c>
      <c r="I21" s="30">
        <f t="shared" si="29"/>
        <v>4.0303030303030303</v>
      </c>
      <c r="J21" s="24">
        <v>38500</v>
      </c>
      <c r="K21" s="24"/>
      <c r="L21" s="29">
        <f t="shared" si="1"/>
        <v>12705</v>
      </c>
      <c r="M21" s="29">
        <f t="shared" si="2"/>
        <v>51205</v>
      </c>
      <c r="N21" s="55">
        <f t="shared" si="3"/>
        <v>51205</v>
      </c>
      <c r="O21" s="29"/>
      <c r="P21" s="30">
        <f t="shared" si="4"/>
        <v>0</v>
      </c>
      <c r="Q21" s="30">
        <f t="shared" si="5"/>
        <v>0</v>
      </c>
      <c r="R21" s="29"/>
      <c r="S21" s="30">
        <f t="shared" si="6"/>
        <v>0</v>
      </c>
      <c r="T21" s="19">
        <f t="shared" si="7"/>
        <v>0</v>
      </c>
      <c r="U21" s="9"/>
      <c r="V21" s="30">
        <f t="shared" si="8"/>
        <v>0</v>
      </c>
      <c r="W21" s="19">
        <f t="shared" si="9"/>
        <v>0</v>
      </c>
      <c r="X21" s="29"/>
      <c r="Y21" s="30">
        <f t="shared" si="10"/>
        <v>0</v>
      </c>
      <c r="Z21" s="19">
        <f t="shared" si="11"/>
        <v>0</v>
      </c>
      <c r="AA21" s="29"/>
      <c r="AB21" s="30">
        <f t="shared" si="12"/>
        <v>0</v>
      </c>
      <c r="AC21" s="19">
        <f t="shared" si="13"/>
        <v>0</v>
      </c>
      <c r="AD21" s="29"/>
      <c r="AE21" s="30">
        <f t="shared" si="14"/>
        <v>0</v>
      </c>
      <c r="AF21" s="19">
        <f t="shared" si="15"/>
        <v>0</v>
      </c>
      <c r="AG21" s="29"/>
      <c r="AH21" s="30">
        <f t="shared" si="16"/>
        <v>0</v>
      </c>
      <c r="AI21" s="19">
        <f t="shared" si="17"/>
        <v>0</v>
      </c>
      <c r="AJ21" s="29"/>
      <c r="AK21" s="30">
        <f t="shared" si="18"/>
        <v>0</v>
      </c>
      <c r="AL21" s="19">
        <f t="shared" si="19"/>
        <v>0</v>
      </c>
      <c r="AM21" s="29"/>
      <c r="AN21" s="30">
        <f t="shared" si="20"/>
        <v>0</v>
      </c>
      <c r="AO21" s="19">
        <f t="shared" si="21"/>
        <v>0</v>
      </c>
      <c r="AP21" s="29"/>
      <c r="AQ21" s="30">
        <f t="shared" si="22"/>
        <v>0</v>
      </c>
      <c r="AR21" s="19">
        <f t="shared" si="23"/>
        <v>0</v>
      </c>
      <c r="AS21" s="24"/>
      <c r="AT21" s="30">
        <f t="shared" si="24"/>
        <v>0</v>
      </c>
      <c r="AU21" s="19">
        <f t="shared" si="25"/>
        <v>0</v>
      </c>
      <c r="AV21" s="57"/>
      <c r="AW21" s="30">
        <f t="shared" si="26"/>
        <v>0</v>
      </c>
      <c r="AX21" s="19">
        <f t="shared" si="27"/>
        <v>0</v>
      </c>
      <c r="AY21" s="25">
        <f t="shared" si="28"/>
        <v>0</v>
      </c>
    </row>
    <row r="22" spans="1:51" ht="25.5">
      <c r="A22" s="56">
        <v>43810</v>
      </c>
      <c r="B22" s="24" t="s">
        <v>156</v>
      </c>
      <c r="C22" s="24" t="s">
        <v>157</v>
      </c>
      <c r="D22" s="24">
        <v>2000</v>
      </c>
      <c r="E22" s="24" t="s">
        <v>109</v>
      </c>
      <c r="F22" s="24" t="s">
        <v>137</v>
      </c>
      <c r="G22" s="29" t="s">
        <v>74</v>
      </c>
      <c r="H22" s="29">
        <v>33</v>
      </c>
      <c r="I22" s="30">
        <f t="shared" si="29"/>
        <v>4.0303030303030303</v>
      </c>
      <c r="J22" s="24">
        <v>16000</v>
      </c>
      <c r="K22" s="24"/>
      <c r="L22" s="29">
        <f t="shared" si="1"/>
        <v>5280</v>
      </c>
      <c r="M22" s="29">
        <f t="shared" si="2"/>
        <v>21280</v>
      </c>
      <c r="N22" s="55">
        <f t="shared" si="3"/>
        <v>17280</v>
      </c>
      <c r="O22" s="29"/>
      <c r="P22" s="30">
        <f t="shared" si="4"/>
        <v>0</v>
      </c>
      <c r="Q22" s="30">
        <f t="shared" si="5"/>
        <v>0</v>
      </c>
      <c r="R22" s="29"/>
      <c r="S22" s="30">
        <f t="shared" si="6"/>
        <v>0</v>
      </c>
      <c r="T22" s="19">
        <f t="shared" si="7"/>
        <v>0</v>
      </c>
      <c r="U22" s="9"/>
      <c r="V22" s="30">
        <f t="shared" si="8"/>
        <v>0</v>
      </c>
      <c r="W22" s="19">
        <f t="shared" si="9"/>
        <v>0</v>
      </c>
      <c r="X22" s="29"/>
      <c r="Y22" s="30">
        <f t="shared" si="10"/>
        <v>0</v>
      </c>
      <c r="Z22" s="19">
        <f t="shared" si="11"/>
        <v>0</v>
      </c>
      <c r="AA22" s="29"/>
      <c r="AB22" s="30">
        <f t="shared" si="12"/>
        <v>0</v>
      </c>
      <c r="AC22" s="19">
        <f t="shared" si="13"/>
        <v>0</v>
      </c>
      <c r="AD22" s="29"/>
      <c r="AE22" s="30">
        <f t="shared" si="14"/>
        <v>0</v>
      </c>
      <c r="AF22" s="19">
        <f t="shared" si="15"/>
        <v>0</v>
      </c>
      <c r="AG22" s="29"/>
      <c r="AH22" s="30">
        <f t="shared" si="16"/>
        <v>0</v>
      </c>
      <c r="AI22" s="19">
        <f t="shared" si="17"/>
        <v>0</v>
      </c>
      <c r="AJ22" s="29"/>
      <c r="AK22" s="30">
        <f t="shared" si="18"/>
        <v>0</v>
      </c>
      <c r="AL22" s="19">
        <f t="shared" si="19"/>
        <v>0</v>
      </c>
      <c r="AM22" s="29"/>
      <c r="AN22" s="30">
        <f t="shared" si="20"/>
        <v>0</v>
      </c>
      <c r="AO22" s="19">
        <f t="shared" si="21"/>
        <v>0</v>
      </c>
      <c r="AP22" s="29"/>
      <c r="AQ22" s="30">
        <f t="shared" si="22"/>
        <v>0</v>
      </c>
      <c r="AR22" s="19">
        <f t="shared" si="23"/>
        <v>0</v>
      </c>
      <c r="AS22" s="24">
        <v>2000</v>
      </c>
      <c r="AT22" s="30">
        <f t="shared" si="24"/>
        <v>1503.7593984962405</v>
      </c>
      <c r="AU22" s="19">
        <f t="shared" si="25"/>
        <v>496.24060150375942</v>
      </c>
      <c r="AV22" s="57">
        <v>2000</v>
      </c>
      <c r="AW22" s="30">
        <f t="shared" si="26"/>
        <v>1503.7593984962405</v>
      </c>
      <c r="AX22" s="19">
        <f t="shared" si="27"/>
        <v>496.24060150375942</v>
      </c>
      <c r="AY22" s="25">
        <f t="shared" si="28"/>
        <v>4000</v>
      </c>
    </row>
    <row r="23" spans="1:51" ht="25.5">
      <c r="A23" s="56">
        <v>43810</v>
      </c>
      <c r="B23" s="24" t="s">
        <v>158</v>
      </c>
      <c r="C23" s="24" t="s">
        <v>159</v>
      </c>
      <c r="D23" s="24">
        <v>2000</v>
      </c>
      <c r="E23" s="24" t="s">
        <v>109</v>
      </c>
      <c r="F23" s="24" t="s">
        <v>137</v>
      </c>
      <c r="G23" s="29" t="s">
        <v>74</v>
      </c>
      <c r="H23" s="29">
        <v>33</v>
      </c>
      <c r="I23" s="30">
        <f t="shared" si="29"/>
        <v>4.0303030303030303</v>
      </c>
      <c r="J23" s="24">
        <v>16000</v>
      </c>
      <c r="K23" s="24"/>
      <c r="L23" s="29">
        <f t="shared" si="1"/>
        <v>5280</v>
      </c>
      <c r="M23" s="29">
        <f t="shared" si="2"/>
        <v>21280</v>
      </c>
      <c r="N23" s="55">
        <f t="shared" si="3"/>
        <v>17280</v>
      </c>
      <c r="O23" s="29"/>
      <c r="P23" s="30">
        <f t="shared" si="4"/>
        <v>0</v>
      </c>
      <c r="Q23" s="30">
        <f t="shared" si="5"/>
        <v>0</v>
      </c>
      <c r="R23" s="29"/>
      <c r="S23" s="30">
        <f t="shared" si="6"/>
        <v>0</v>
      </c>
      <c r="T23" s="19">
        <f t="shared" si="7"/>
        <v>0</v>
      </c>
      <c r="U23" s="9"/>
      <c r="V23" s="30">
        <f t="shared" si="8"/>
        <v>0</v>
      </c>
      <c r="W23" s="19">
        <f t="shared" si="9"/>
        <v>0</v>
      </c>
      <c r="X23" s="29"/>
      <c r="Y23" s="30">
        <f t="shared" si="10"/>
        <v>0</v>
      </c>
      <c r="Z23" s="19">
        <f t="shared" si="11"/>
        <v>0</v>
      </c>
      <c r="AA23" s="29"/>
      <c r="AB23" s="30">
        <f t="shared" si="12"/>
        <v>0</v>
      </c>
      <c r="AC23" s="19">
        <f t="shared" si="13"/>
        <v>0</v>
      </c>
      <c r="AD23" s="29"/>
      <c r="AE23" s="30">
        <f t="shared" si="14"/>
        <v>0</v>
      </c>
      <c r="AF23" s="19">
        <f t="shared" si="15"/>
        <v>0</v>
      </c>
      <c r="AG23" s="29"/>
      <c r="AH23" s="30">
        <f t="shared" si="16"/>
        <v>0</v>
      </c>
      <c r="AI23" s="19">
        <f t="shared" si="17"/>
        <v>0</v>
      </c>
      <c r="AJ23" s="29"/>
      <c r="AK23" s="30">
        <f t="shared" si="18"/>
        <v>0</v>
      </c>
      <c r="AL23" s="19">
        <f t="shared" si="19"/>
        <v>0</v>
      </c>
      <c r="AM23" s="29"/>
      <c r="AN23" s="30">
        <f t="shared" si="20"/>
        <v>0</v>
      </c>
      <c r="AO23" s="19">
        <f t="shared" si="21"/>
        <v>0</v>
      </c>
      <c r="AP23" s="29"/>
      <c r="AQ23" s="30">
        <f t="shared" si="22"/>
        <v>0</v>
      </c>
      <c r="AR23" s="19">
        <f t="shared" si="23"/>
        <v>0</v>
      </c>
      <c r="AS23" s="24">
        <v>2000</v>
      </c>
      <c r="AT23" s="30">
        <f t="shared" si="24"/>
        <v>1503.7593984962405</v>
      </c>
      <c r="AU23" s="19">
        <f t="shared" si="25"/>
        <v>496.24060150375942</v>
      </c>
      <c r="AV23" s="57">
        <v>2000</v>
      </c>
      <c r="AW23" s="30">
        <f t="shared" si="26"/>
        <v>1503.7593984962405</v>
      </c>
      <c r="AX23" s="19">
        <f t="shared" si="27"/>
        <v>496.24060150375942</v>
      </c>
      <c r="AY23" s="25">
        <f t="shared" si="28"/>
        <v>4000</v>
      </c>
    </row>
    <row r="24" spans="1:51">
      <c r="A24" s="56">
        <v>43813</v>
      </c>
      <c r="B24" s="24" t="s">
        <v>98</v>
      </c>
      <c r="C24" s="24" t="s">
        <v>97</v>
      </c>
      <c r="D24" s="24">
        <v>5000</v>
      </c>
      <c r="E24" s="24" t="s">
        <v>99</v>
      </c>
      <c r="F24" s="24" t="s">
        <v>160</v>
      </c>
      <c r="G24" s="29" t="s">
        <v>74</v>
      </c>
      <c r="H24" s="29">
        <v>33</v>
      </c>
      <c r="I24" s="30">
        <f t="shared" si="29"/>
        <v>4.0303030303030303</v>
      </c>
      <c r="J24" s="24">
        <v>43000</v>
      </c>
      <c r="K24" s="24">
        <v>2000</v>
      </c>
      <c r="L24" s="29">
        <f t="shared" si="1"/>
        <v>14190</v>
      </c>
      <c r="M24" s="29">
        <f t="shared" si="2"/>
        <v>57190</v>
      </c>
      <c r="N24" s="55">
        <f t="shared" si="3"/>
        <v>47190</v>
      </c>
      <c r="O24" s="29"/>
      <c r="P24" s="30">
        <f t="shared" si="4"/>
        <v>0</v>
      </c>
      <c r="Q24" s="30">
        <f t="shared" si="5"/>
        <v>0</v>
      </c>
      <c r="R24" s="29"/>
      <c r="S24" s="30">
        <f t="shared" si="6"/>
        <v>0</v>
      </c>
      <c r="T24" s="19">
        <f t="shared" si="7"/>
        <v>0</v>
      </c>
      <c r="U24" s="9"/>
      <c r="V24" s="30">
        <f t="shared" si="8"/>
        <v>0</v>
      </c>
      <c r="W24" s="19">
        <f t="shared" si="9"/>
        <v>0</v>
      </c>
      <c r="X24" s="29"/>
      <c r="Y24" s="30">
        <f t="shared" si="10"/>
        <v>0</v>
      </c>
      <c r="Z24" s="19">
        <f t="shared" si="11"/>
        <v>0</v>
      </c>
      <c r="AA24" s="29"/>
      <c r="AB24" s="30">
        <f t="shared" si="12"/>
        <v>0</v>
      </c>
      <c r="AC24" s="19">
        <f t="shared" si="13"/>
        <v>0</v>
      </c>
      <c r="AD24" s="29"/>
      <c r="AE24" s="30">
        <f t="shared" si="14"/>
        <v>0</v>
      </c>
      <c r="AF24" s="19">
        <f t="shared" si="15"/>
        <v>0</v>
      </c>
      <c r="AG24" s="29"/>
      <c r="AH24" s="30">
        <f t="shared" si="16"/>
        <v>0</v>
      </c>
      <c r="AI24" s="19">
        <f t="shared" si="17"/>
        <v>0</v>
      </c>
      <c r="AJ24" s="29"/>
      <c r="AK24" s="30">
        <f t="shared" si="18"/>
        <v>0</v>
      </c>
      <c r="AL24" s="19">
        <f t="shared" si="19"/>
        <v>0</v>
      </c>
      <c r="AM24" s="29"/>
      <c r="AN24" s="30">
        <f t="shared" si="20"/>
        <v>0</v>
      </c>
      <c r="AO24" s="19">
        <f t="shared" si="21"/>
        <v>0</v>
      </c>
      <c r="AP24" s="29"/>
      <c r="AQ24" s="30">
        <f t="shared" si="22"/>
        <v>0</v>
      </c>
      <c r="AR24" s="19">
        <f t="shared" si="23"/>
        <v>0</v>
      </c>
      <c r="AS24" s="24">
        <v>5000</v>
      </c>
      <c r="AT24" s="30">
        <f t="shared" si="24"/>
        <v>3759.3984962406012</v>
      </c>
      <c r="AU24" s="19">
        <f t="shared" si="25"/>
        <v>1240.6015037593986</v>
      </c>
      <c r="AV24" s="57">
        <v>5000</v>
      </c>
      <c r="AW24" s="30">
        <f t="shared" si="26"/>
        <v>3759.3984962406012</v>
      </c>
      <c r="AX24" s="19">
        <f t="shared" si="27"/>
        <v>1240.6015037593986</v>
      </c>
      <c r="AY24" s="25">
        <f t="shared" si="28"/>
        <v>10000</v>
      </c>
    </row>
    <row r="25" spans="1:51">
      <c r="A25" s="56">
        <v>43810</v>
      </c>
      <c r="B25" s="24" t="s">
        <v>161</v>
      </c>
      <c r="C25" s="24" t="s">
        <v>162</v>
      </c>
      <c r="D25" s="24">
        <v>5000</v>
      </c>
      <c r="E25" s="24" t="s">
        <v>120</v>
      </c>
      <c r="F25" s="24" t="s">
        <v>160</v>
      </c>
      <c r="G25" s="29" t="s">
        <v>74</v>
      </c>
      <c r="H25" s="29">
        <v>33</v>
      </c>
      <c r="I25" s="30">
        <f t="shared" si="29"/>
        <v>4.0303030303030303</v>
      </c>
      <c r="J25" s="24">
        <v>43000</v>
      </c>
      <c r="K25" s="24">
        <v>2000</v>
      </c>
      <c r="L25" s="29">
        <f t="shared" si="1"/>
        <v>14190</v>
      </c>
      <c r="M25" s="29">
        <f t="shared" si="2"/>
        <v>57190</v>
      </c>
      <c r="N25" s="55">
        <f t="shared" si="3"/>
        <v>47190</v>
      </c>
      <c r="O25" s="29"/>
      <c r="P25" s="30">
        <f t="shared" si="4"/>
        <v>0</v>
      </c>
      <c r="Q25" s="30">
        <f t="shared" si="5"/>
        <v>0</v>
      </c>
      <c r="R25" s="29"/>
      <c r="S25" s="30">
        <f t="shared" si="6"/>
        <v>0</v>
      </c>
      <c r="T25" s="19">
        <f t="shared" si="7"/>
        <v>0</v>
      </c>
      <c r="U25" s="9"/>
      <c r="V25" s="30">
        <f t="shared" si="8"/>
        <v>0</v>
      </c>
      <c r="W25" s="19">
        <f t="shared" si="9"/>
        <v>0</v>
      </c>
      <c r="X25" s="29"/>
      <c r="Y25" s="30">
        <f t="shared" si="10"/>
        <v>0</v>
      </c>
      <c r="Z25" s="19">
        <f t="shared" si="11"/>
        <v>0</v>
      </c>
      <c r="AA25" s="29"/>
      <c r="AB25" s="30">
        <f t="shared" si="12"/>
        <v>0</v>
      </c>
      <c r="AC25" s="19">
        <f t="shared" si="13"/>
        <v>0</v>
      </c>
      <c r="AD25" s="29"/>
      <c r="AE25" s="30">
        <f t="shared" si="14"/>
        <v>0</v>
      </c>
      <c r="AF25" s="19">
        <f t="shared" si="15"/>
        <v>0</v>
      </c>
      <c r="AG25" s="29"/>
      <c r="AH25" s="30">
        <f t="shared" si="16"/>
        <v>0</v>
      </c>
      <c r="AI25" s="19">
        <f t="shared" si="17"/>
        <v>0</v>
      </c>
      <c r="AJ25" s="29"/>
      <c r="AK25" s="30">
        <f t="shared" si="18"/>
        <v>0</v>
      </c>
      <c r="AL25" s="19">
        <f t="shared" si="19"/>
        <v>0</v>
      </c>
      <c r="AM25" s="29"/>
      <c r="AN25" s="30">
        <f t="shared" si="20"/>
        <v>0</v>
      </c>
      <c r="AO25" s="19">
        <f t="shared" si="21"/>
        <v>0</v>
      </c>
      <c r="AP25" s="29"/>
      <c r="AQ25" s="30">
        <f t="shared" si="22"/>
        <v>0</v>
      </c>
      <c r="AR25" s="19">
        <f t="shared" si="23"/>
        <v>0</v>
      </c>
      <c r="AS25" s="24">
        <v>5000</v>
      </c>
      <c r="AT25" s="30">
        <f t="shared" si="24"/>
        <v>3759.3984962406012</v>
      </c>
      <c r="AU25" s="19">
        <f t="shared" si="25"/>
        <v>1240.6015037593986</v>
      </c>
      <c r="AV25" s="57">
        <v>5000</v>
      </c>
      <c r="AW25" s="30">
        <f t="shared" si="26"/>
        <v>3759.3984962406012</v>
      </c>
      <c r="AX25" s="19">
        <f t="shared" si="27"/>
        <v>1240.6015037593986</v>
      </c>
      <c r="AY25" s="25">
        <f t="shared" si="28"/>
        <v>10000</v>
      </c>
    </row>
    <row r="26" spans="1:51" ht="25.5">
      <c r="A26" s="56">
        <v>43792</v>
      </c>
      <c r="B26" s="24" t="s">
        <v>163</v>
      </c>
      <c r="C26" s="24" t="s">
        <v>164</v>
      </c>
      <c r="D26" s="24">
        <v>4000</v>
      </c>
      <c r="E26" s="24" t="s">
        <v>109</v>
      </c>
      <c r="F26" s="24" t="s">
        <v>134</v>
      </c>
      <c r="G26" s="29" t="s">
        <v>74</v>
      </c>
      <c r="H26" s="29">
        <v>25</v>
      </c>
      <c r="I26" s="30">
        <f t="shared" si="29"/>
        <v>5</v>
      </c>
      <c r="J26" s="24">
        <v>32600</v>
      </c>
      <c r="K26" s="24"/>
      <c r="L26" s="29">
        <f t="shared" si="1"/>
        <v>8150</v>
      </c>
      <c r="M26" s="29">
        <f t="shared" si="2"/>
        <v>40750</v>
      </c>
      <c r="N26" s="55">
        <f t="shared" si="3"/>
        <v>32750</v>
      </c>
      <c r="O26" s="29"/>
      <c r="P26" s="30">
        <f t="shared" si="4"/>
        <v>0</v>
      </c>
      <c r="Q26" s="30">
        <f t="shared" si="5"/>
        <v>0</v>
      </c>
      <c r="R26" s="29"/>
      <c r="S26" s="30">
        <f t="shared" si="6"/>
        <v>0</v>
      </c>
      <c r="T26" s="19">
        <f t="shared" si="7"/>
        <v>0</v>
      </c>
      <c r="U26" s="9"/>
      <c r="V26" s="30">
        <f t="shared" si="8"/>
        <v>0</v>
      </c>
      <c r="W26" s="19">
        <f t="shared" si="9"/>
        <v>0</v>
      </c>
      <c r="X26" s="29"/>
      <c r="Y26" s="30">
        <f t="shared" si="10"/>
        <v>0</v>
      </c>
      <c r="Z26" s="19">
        <f t="shared" si="11"/>
        <v>0</v>
      </c>
      <c r="AA26" s="29"/>
      <c r="AB26" s="30">
        <f t="shared" si="12"/>
        <v>0</v>
      </c>
      <c r="AC26" s="19">
        <f t="shared" si="13"/>
        <v>0</v>
      </c>
      <c r="AD26" s="29"/>
      <c r="AE26" s="30">
        <f t="shared" si="14"/>
        <v>0</v>
      </c>
      <c r="AF26" s="19">
        <f t="shared" si="15"/>
        <v>0</v>
      </c>
      <c r="AG26" s="29"/>
      <c r="AH26" s="30">
        <f t="shared" si="16"/>
        <v>0</v>
      </c>
      <c r="AI26" s="19">
        <f t="shared" si="17"/>
        <v>0</v>
      </c>
      <c r="AJ26" s="29"/>
      <c r="AK26" s="30">
        <f t="shared" si="18"/>
        <v>0</v>
      </c>
      <c r="AL26" s="19">
        <f t="shared" si="19"/>
        <v>0</v>
      </c>
      <c r="AM26" s="29"/>
      <c r="AN26" s="30">
        <f t="shared" si="20"/>
        <v>0</v>
      </c>
      <c r="AO26" s="19">
        <f t="shared" si="21"/>
        <v>0</v>
      </c>
      <c r="AP26" s="29"/>
      <c r="AQ26" s="30">
        <f t="shared" si="22"/>
        <v>0</v>
      </c>
      <c r="AR26" s="19">
        <f t="shared" si="23"/>
        <v>0</v>
      </c>
      <c r="AS26" s="24">
        <v>4000</v>
      </c>
      <c r="AT26" s="30">
        <f t="shared" si="24"/>
        <v>3200</v>
      </c>
      <c r="AU26" s="19">
        <f t="shared" si="25"/>
        <v>800</v>
      </c>
      <c r="AV26" s="57">
        <v>4000</v>
      </c>
      <c r="AW26" s="30">
        <f t="shared" si="26"/>
        <v>3200</v>
      </c>
      <c r="AX26" s="19">
        <f t="shared" si="27"/>
        <v>800</v>
      </c>
      <c r="AY26" s="25">
        <f t="shared" si="28"/>
        <v>8000</v>
      </c>
    </row>
    <row r="27" spans="1:51">
      <c r="A27" s="45"/>
      <c r="B27" s="29"/>
      <c r="C27" s="29"/>
      <c r="D27" s="54"/>
      <c r="E27" s="29"/>
      <c r="F27" s="29"/>
      <c r="G27" s="29"/>
      <c r="H27" s="29"/>
      <c r="I27" s="30" t="str">
        <f t="shared" si="29"/>
        <v>0</v>
      </c>
      <c r="J27" s="29"/>
      <c r="K27" s="29"/>
      <c r="L27" s="29">
        <f t="shared" si="1"/>
        <v>0</v>
      </c>
      <c r="M27" s="29">
        <f t="shared" si="2"/>
        <v>0</v>
      </c>
      <c r="N27" s="55">
        <f t="shared" si="3"/>
        <v>0</v>
      </c>
      <c r="O27" s="29"/>
      <c r="P27" s="30">
        <f t="shared" si="4"/>
        <v>0</v>
      </c>
      <c r="Q27" s="30" t="str">
        <f t="shared" si="5"/>
        <v>0</v>
      </c>
      <c r="R27" s="29"/>
      <c r="S27" s="30">
        <f t="shared" si="6"/>
        <v>0</v>
      </c>
      <c r="T27" s="19" t="str">
        <f t="shared" si="7"/>
        <v>0</v>
      </c>
      <c r="U27" s="9"/>
      <c r="V27" s="30">
        <f t="shared" si="8"/>
        <v>0</v>
      </c>
      <c r="W27" s="19" t="str">
        <f t="shared" si="9"/>
        <v>0</v>
      </c>
      <c r="X27" s="29"/>
      <c r="Y27" s="30">
        <f t="shared" si="10"/>
        <v>0</v>
      </c>
      <c r="Z27" s="19" t="str">
        <f t="shared" si="11"/>
        <v>0</v>
      </c>
      <c r="AA27" s="29"/>
      <c r="AB27" s="30">
        <f t="shared" si="12"/>
        <v>0</v>
      </c>
      <c r="AC27" s="19" t="str">
        <f t="shared" si="13"/>
        <v>0</v>
      </c>
      <c r="AD27" s="29"/>
      <c r="AE27" s="30">
        <f t="shared" si="14"/>
        <v>0</v>
      </c>
      <c r="AF27" s="19" t="str">
        <f t="shared" si="15"/>
        <v>0</v>
      </c>
      <c r="AG27" s="29"/>
      <c r="AH27" s="30">
        <f t="shared" si="16"/>
        <v>0</v>
      </c>
      <c r="AI27" s="19" t="str">
        <f t="shared" si="17"/>
        <v>0</v>
      </c>
      <c r="AJ27" s="29"/>
      <c r="AK27" s="30">
        <f t="shared" si="18"/>
        <v>0</v>
      </c>
      <c r="AL27" s="19" t="str">
        <f t="shared" si="19"/>
        <v>0</v>
      </c>
      <c r="AM27" s="29"/>
      <c r="AN27" s="30">
        <f t="shared" si="20"/>
        <v>0</v>
      </c>
      <c r="AO27" s="19" t="str">
        <f t="shared" si="21"/>
        <v>0</v>
      </c>
      <c r="AP27" s="29"/>
      <c r="AQ27" s="30">
        <f t="shared" si="22"/>
        <v>0</v>
      </c>
      <c r="AR27" s="19" t="str">
        <f t="shared" si="23"/>
        <v>0</v>
      </c>
      <c r="AS27" s="29"/>
      <c r="AT27" s="30">
        <f t="shared" si="24"/>
        <v>0</v>
      </c>
      <c r="AU27" s="19" t="str">
        <f t="shared" si="25"/>
        <v>0</v>
      </c>
      <c r="AV27" s="29"/>
      <c r="AW27" s="30">
        <f t="shared" si="26"/>
        <v>0</v>
      </c>
      <c r="AX27" s="19" t="str">
        <f t="shared" si="27"/>
        <v>0</v>
      </c>
      <c r="AY27" s="25">
        <f t="shared" si="28"/>
        <v>0</v>
      </c>
    </row>
    <row r="28" spans="1:51">
      <c r="A28" s="45"/>
      <c r="B28" s="29"/>
      <c r="C28" s="29"/>
      <c r="D28" s="54"/>
      <c r="E28" s="29"/>
      <c r="F28" s="29"/>
      <c r="G28" s="29"/>
      <c r="H28" s="29"/>
      <c r="I28" s="30" t="str">
        <f t="shared" si="29"/>
        <v>0</v>
      </c>
      <c r="J28" s="29"/>
      <c r="K28" s="29"/>
      <c r="L28" s="29">
        <f t="shared" si="1"/>
        <v>0</v>
      </c>
      <c r="M28" s="29">
        <f t="shared" si="2"/>
        <v>0</v>
      </c>
      <c r="N28" s="55">
        <f t="shared" si="3"/>
        <v>0</v>
      </c>
      <c r="O28" s="29"/>
      <c r="P28" s="30">
        <f t="shared" si="4"/>
        <v>0</v>
      </c>
      <c r="Q28" s="30" t="str">
        <f t="shared" si="5"/>
        <v>0</v>
      </c>
      <c r="R28" s="29"/>
      <c r="S28" s="30">
        <f t="shared" si="6"/>
        <v>0</v>
      </c>
      <c r="T28" s="19" t="str">
        <f t="shared" si="7"/>
        <v>0</v>
      </c>
      <c r="U28" s="9"/>
      <c r="V28" s="30">
        <f t="shared" si="8"/>
        <v>0</v>
      </c>
      <c r="W28" s="19" t="str">
        <f t="shared" si="9"/>
        <v>0</v>
      </c>
      <c r="X28" s="29"/>
      <c r="Y28" s="30">
        <f t="shared" si="10"/>
        <v>0</v>
      </c>
      <c r="Z28" s="19" t="str">
        <f t="shared" si="11"/>
        <v>0</v>
      </c>
      <c r="AA28" s="29"/>
      <c r="AB28" s="30">
        <f t="shared" si="12"/>
        <v>0</v>
      </c>
      <c r="AC28" s="19" t="str">
        <f t="shared" si="13"/>
        <v>0</v>
      </c>
      <c r="AD28" s="29"/>
      <c r="AE28" s="30">
        <f t="shared" si="14"/>
        <v>0</v>
      </c>
      <c r="AF28" s="19" t="str">
        <f t="shared" si="15"/>
        <v>0</v>
      </c>
      <c r="AG28" s="29"/>
      <c r="AH28" s="30">
        <f t="shared" si="16"/>
        <v>0</v>
      </c>
      <c r="AI28" s="19" t="str">
        <f t="shared" si="17"/>
        <v>0</v>
      </c>
      <c r="AJ28" s="29"/>
      <c r="AK28" s="30">
        <f t="shared" si="18"/>
        <v>0</v>
      </c>
      <c r="AL28" s="19" t="str">
        <f t="shared" si="19"/>
        <v>0</v>
      </c>
      <c r="AM28" s="29"/>
      <c r="AN28" s="30">
        <f t="shared" si="20"/>
        <v>0</v>
      </c>
      <c r="AO28" s="19" t="str">
        <f t="shared" si="21"/>
        <v>0</v>
      </c>
      <c r="AP28" s="29"/>
      <c r="AQ28" s="30">
        <f t="shared" si="22"/>
        <v>0</v>
      </c>
      <c r="AR28" s="19" t="str">
        <f t="shared" si="23"/>
        <v>0</v>
      </c>
      <c r="AS28" s="29"/>
      <c r="AT28" s="30">
        <f t="shared" si="24"/>
        <v>0</v>
      </c>
      <c r="AU28" s="19" t="str">
        <f t="shared" si="25"/>
        <v>0</v>
      </c>
      <c r="AV28" s="29"/>
      <c r="AW28" s="30">
        <f t="shared" si="26"/>
        <v>0</v>
      </c>
      <c r="AX28" s="19" t="str">
        <f t="shared" si="27"/>
        <v>0</v>
      </c>
      <c r="AY28" s="25">
        <f t="shared" si="28"/>
        <v>0</v>
      </c>
    </row>
    <row r="29" spans="1:51">
      <c r="A29" s="45"/>
      <c r="B29" s="29"/>
      <c r="C29" s="29"/>
      <c r="D29" s="54"/>
      <c r="E29" s="29"/>
      <c r="F29" s="29"/>
      <c r="G29" s="29"/>
      <c r="H29" s="29"/>
      <c r="I29" s="30" t="str">
        <f t="shared" si="29"/>
        <v>0</v>
      </c>
      <c r="J29" s="29"/>
      <c r="K29" s="29"/>
      <c r="L29" s="29">
        <f t="shared" si="1"/>
        <v>0</v>
      </c>
      <c r="M29" s="29">
        <f t="shared" si="2"/>
        <v>0</v>
      </c>
      <c r="N29" s="55">
        <f t="shared" si="3"/>
        <v>0</v>
      </c>
      <c r="O29" s="29"/>
      <c r="P29" s="30">
        <f t="shared" si="4"/>
        <v>0</v>
      </c>
      <c r="Q29" s="30" t="str">
        <f t="shared" si="5"/>
        <v>0</v>
      </c>
      <c r="R29" s="29"/>
      <c r="S29" s="30">
        <f t="shared" si="6"/>
        <v>0</v>
      </c>
      <c r="T29" s="19" t="str">
        <f t="shared" si="7"/>
        <v>0</v>
      </c>
      <c r="U29" s="9"/>
      <c r="V29" s="30">
        <f t="shared" si="8"/>
        <v>0</v>
      </c>
      <c r="W29" s="19" t="str">
        <f t="shared" si="9"/>
        <v>0</v>
      </c>
      <c r="X29" s="29"/>
      <c r="Y29" s="30">
        <f t="shared" si="10"/>
        <v>0</v>
      </c>
      <c r="Z29" s="19" t="str">
        <f t="shared" si="11"/>
        <v>0</v>
      </c>
      <c r="AA29" s="29"/>
      <c r="AB29" s="30">
        <f t="shared" si="12"/>
        <v>0</v>
      </c>
      <c r="AC29" s="19" t="str">
        <f t="shared" si="13"/>
        <v>0</v>
      </c>
      <c r="AD29" s="29"/>
      <c r="AE29" s="30">
        <f t="shared" si="14"/>
        <v>0</v>
      </c>
      <c r="AF29" s="19" t="str">
        <f t="shared" si="15"/>
        <v>0</v>
      </c>
      <c r="AG29" s="29"/>
      <c r="AH29" s="30">
        <f t="shared" si="16"/>
        <v>0</v>
      </c>
      <c r="AI29" s="19" t="str">
        <f t="shared" si="17"/>
        <v>0</v>
      </c>
      <c r="AJ29" s="29"/>
      <c r="AK29" s="30">
        <f t="shared" si="18"/>
        <v>0</v>
      </c>
      <c r="AL29" s="19" t="str">
        <f t="shared" si="19"/>
        <v>0</v>
      </c>
      <c r="AM29" s="29"/>
      <c r="AN29" s="30">
        <f t="shared" si="20"/>
        <v>0</v>
      </c>
      <c r="AO29" s="19" t="str">
        <f t="shared" si="21"/>
        <v>0</v>
      </c>
      <c r="AP29" s="29"/>
      <c r="AQ29" s="30">
        <f t="shared" si="22"/>
        <v>0</v>
      </c>
      <c r="AR29" s="19" t="str">
        <f t="shared" si="23"/>
        <v>0</v>
      </c>
      <c r="AS29" s="29"/>
      <c r="AT29" s="30">
        <f t="shared" si="24"/>
        <v>0</v>
      </c>
      <c r="AU29" s="19" t="str">
        <f t="shared" si="25"/>
        <v>0</v>
      </c>
      <c r="AV29" s="29"/>
      <c r="AW29" s="30">
        <f t="shared" si="26"/>
        <v>0</v>
      </c>
      <c r="AX29" s="19" t="str">
        <f t="shared" si="27"/>
        <v>0</v>
      </c>
      <c r="AY29" s="25">
        <f t="shared" si="28"/>
        <v>0</v>
      </c>
    </row>
    <row r="30" spans="1:51">
      <c r="A30" s="45"/>
      <c r="B30" s="29"/>
      <c r="C30" s="29"/>
      <c r="D30" s="54"/>
      <c r="E30" s="29"/>
      <c r="F30" s="29"/>
      <c r="G30" s="29"/>
      <c r="H30" s="29"/>
      <c r="I30" s="30" t="str">
        <f t="shared" si="29"/>
        <v>0</v>
      </c>
      <c r="J30" s="29"/>
      <c r="K30" s="29"/>
      <c r="L30" s="29">
        <f t="shared" si="1"/>
        <v>0</v>
      </c>
      <c r="M30" s="29">
        <f t="shared" si="2"/>
        <v>0</v>
      </c>
      <c r="N30" s="55">
        <f t="shared" si="3"/>
        <v>0</v>
      </c>
      <c r="O30" s="29"/>
      <c r="P30" s="30">
        <f t="shared" si="4"/>
        <v>0</v>
      </c>
      <c r="Q30" s="30" t="str">
        <f t="shared" si="5"/>
        <v>0</v>
      </c>
      <c r="R30" s="29"/>
      <c r="S30" s="30">
        <f t="shared" si="6"/>
        <v>0</v>
      </c>
      <c r="T30" s="19" t="str">
        <f t="shared" si="7"/>
        <v>0</v>
      </c>
      <c r="U30" s="9"/>
      <c r="V30" s="30">
        <f t="shared" si="8"/>
        <v>0</v>
      </c>
      <c r="W30" s="19" t="str">
        <f t="shared" si="9"/>
        <v>0</v>
      </c>
      <c r="X30" s="29"/>
      <c r="Y30" s="30">
        <f t="shared" si="10"/>
        <v>0</v>
      </c>
      <c r="Z30" s="19" t="str">
        <f t="shared" si="11"/>
        <v>0</v>
      </c>
      <c r="AA30" s="29"/>
      <c r="AB30" s="30">
        <f t="shared" si="12"/>
        <v>0</v>
      </c>
      <c r="AC30" s="19" t="str">
        <f t="shared" si="13"/>
        <v>0</v>
      </c>
      <c r="AD30" s="29"/>
      <c r="AE30" s="30">
        <f t="shared" si="14"/>
        <v>0</v>
      </c>
      <c r="AF30" s="19" t="str">
        <f t="shared" si="15"/>
        <v>0</v>
      </c>
      <c r="AG30" s="29"/>
      <c r="AH30" s="30">
        <f t="shared" si="16"/>
        <v>0</v>
      </c>
      <c r="AI30" s="19" t="str">
        <f t="shared" si="17"/>
        <v>0</v>
      </c>
      <c r="AJ30" s="29"/>
      <c r="AK30" s="30">
        <f t="shared" si="18"/>
        <v>0</v>
      </c>
      <c r="AL30" s="19" t="str">
        <f t="shared" si="19"/>
        <v>0</v>
      </c>
      <c r="AM30" s="29"/>
      <c r="AN30" s="30">
        <f t="shared" si="20"/>
        <v>0</v>
      </c>
      <c r="AO30" s="19" t="str">
        <f t="shared" si="21"/>
        <v>0</v>
      </c>
      <c r="AP30" s="29"/>
      <c r="AQ30" s="30">
        <f t="shared" si="22"/>
        <v>0</v>
      </c>
      <c r="AR30" s="19" t="str">
        <f t="shared" si="23"/>
        <v>0</v>
      </c>
      <c r="AS30" s="29"/>
      <c r="AT30" s="30">
        <f t="shared" si="24"/>
        <v>0</v>
      </c>
      <c r="AU30" s="19" t="str">
        <f t="shared" si="25"/>
        <v>0</v>
      </c>
      <c r="AV30" s="29"/>
      <c r="AW30" s="30">
        <f t="shared" si="26"/>
        <v>0</v>
      </c>
      <c r="AX30" s="19" t="str">
        <f t="shared" si="27"/>
        <v>0</v>
      </c>
      <c r="AY30" s="25">
        <f t="shared" si="28"/>
        <v>0</v>
      </c>
    </row>
    <row r="31" spans="1:51">
      <c r="A31" s="45"/>
      <c r="B31" s="29"/>
      <c r="C31" s="29"/>
      <c r="D31" s="54"/>
      <c r="E31" s="29"/>
      <c r="F31" s="29"/>
      <c r="G31" s="29"/>
      <c r="H31" s="29"/>
      <c r="I31" s="30" t="str">
        <f t="shared" si="29"/>
        <v>0</v>
      </c>
      <c r="J31" s="29"/>
      <c r="K31" s="29"/>
      <c r="L31" s="29">
        <f t="shared" si="1"/>
        <v>0</v>
      </c>
      <c r="M31" s="29">
        <f t="shared" si="2"/>
        <v>0</v>
      </c>
      <c r="N31" s="55">
        <f t="shared" si="3"/>
        <v>0</v>
      </c>
      <c r="O31" s="29"/>
      <c r="P31" s="30">
        <f t="shared" si="4"/>
        <v>0</v>
      </c>
      <c r="Q31" s="30" t="str">
        <f t="shared" si="5"/>
        <v>0</v>
      </c>
      <c r="R31" s="29"/>
      <c r="S31" s="30">
        <f t="shared" si="6"/>
        <v>0</v>
      </c>
      <c r="T31" s="19" t="str">
        <f t="shared" si="7"/>
        <v>0</v>
      </c>
      <c r="U31" s="9"/>
      <c r="V31" s="30">
        <f t="shared" si="8"/>
        <v>0</v>
      </c>
      <c r="W31" s="19" t="str">
        <f t="shared" si="9"/>
        <v>0</v>
      </c>
      <c r="X31" s="29"/>
      <c r="Y31" s="30">
        <f t="shared" si="10"/>
        <v>0</v>
      </c>
      <c r="Z31" s="19" t="str">
        <f t="shared" si="11"/>
        <v>0</v>
      </c>
      <c r="AA31" s="29"/>
      <c r="AB31" s="30">
        <f t="shared" si="12"/>
        <v>0</v>
      </c>
      <c r="AC31" s="19" t="str">
        <f t="shared" si="13"/>
        <v>0</v>
      </c>
      <c r="AD31" s="29"/>
      <c r="AE31" s="30">
        <f t="shared" si="14"/>
        <v>0</v>
      </c>
      <c r="AF31" s="19" t="str">
        <f t="shared" si="15"/>
        <v>0</v>
      </c>
      <c r="AG31" s="29"/>
      <c r="AH31" s="30">
        <f t="shared" si="16"/>
        <v>0</v>
      </c>
      <c r="AI31" s="19" t="str">
        <f t="shared" si="17"/>
        <v>0</v>
      </c>
      <c r="AJ31" s="29"/>
      <c r="AK31" s="30">
        <f t="shared" si="18"/>
        <v>0</v>
      </c>
      <c r="AL31" s="19" t="str">
        <f t="shared" si="19"/>
        <v>0</v>
      </c>
      <c r="AM31" s="29"/>
      <c r="AN31" s="30">
        <f t="shared" si="20"/>
        <v>0</v>
      </c>
      <c r="AO31" s="19" t="str">
        <f t="shared" si="21"/>
        <v>0</v>
      </c>
      <c r="AP31" s="29"/>
      <c r="AQ31" s="30">
        <f t="shared" si="22"/>
        <v>0</v>
      </c>
      <c r="AR31" s="19" t="str">
        <f t="shared" si="23"/>
        <v>0</v>
      </c>
      <c r="AS31" s="29"/>
      <c r="AT31" s="30">
        <f t="shared" si="24"/>
        <v>0</v>
      </c>
      <c r="AU31" s="19" t="str">
        <f t="shared" si="25"/>
        <v>0</v>
      </c>
      <c r="AV31" s="29"/>
      <c r="AW31" s="30">
        <f t="shared" si="26"/>
        <v>0</v>
      </c>
      <c r="AX31" s="19" t="str">
        <f t="shared" si="27"/>
        <v>0</v>
      </c>
      <c r="AY31" s="25">
        <f t="shared" si="28"/>
        <v>0</v>
      </c>
    </row>
    <row r="32" spans="1:51">
      <c r="A32" s="45"/>
      <c r="B32" s="29"/>
      <c r="C32" s="29"/>
      <c r="D32" s="54"/>
      <c r="E32" s="29"/>
      <c r="F32" s="29"/>
      <c r="G32" s="29"/>
      <c r="H32" s="29"/>
      <c r="I32" s="30" t="str">
        <f t="shared" si="29"/>
        <v>0</v>
      </c>
      <c r="J32" s="29"/>
      <c r="K32" s="29"/>
      <c r="L32" s="29">
        <f t="shared" si="1"/>
        <v>0</v>
      </c>
      <c r="M32" s="29">
        <f t="shared" si="2"/>
        <v>0</v>
      </c>
      <c r="N32" s="55">
        <f t="shared" si="3"/>
        <v>0</v>
      </c>
      <c r="O32" s="29"/>
      <c r="P32" s="30">
        <f t="shared" si="4"/>
        <v>0</v>
      </c>
      <c r="Q32" s="30" t="str">
        <f t="shared" si="5"/>
        <v>0</v>
      </c>
      <c r="R32" s="29"/>
      <c r="S32" s="30">
        <f t="shared" si="6"/>
        <v>0</v>
      </c>
      <c r="T32" s="19" t="str">
        <f t="shared" si="7"/>
        <v>0</v>
      </c>
      <c r="U32" s="9"/>
      <c r="V32" s="30">
        <f t="shared" si="8"/>
        <v>0</v>
      </c>
      <c r="W32" s="19" t="str">
        <f t="shared" si="9"/>
        <v>0</v>
      </c>
      <c r="X32" s="29"/>
      <c r="Y32" s="30">
        <f t="shared" si="10"/>
        <v>0</v>
      </c>
      <c r="Z32" s="19" t="str">
        <f t="shared" si="11"/>
        <v>0</v>
      </c>
      <c r="AA32" s="29"/>
      <c r="AB32" s="30">
        <f t="shared" si="12"/>
        <v>0</v>
      </c>
      <c r="AC32" s="19" t="str">
        <f t="shared" si="13"/>
        <v>0</v>
      </c>
      <c r="AD32" s="29"/>
      <c r="AE32" s="30">
        <f t="shared" si="14"/>
        <v>0</v>
      </c>
      <c r="AF32" s="19" t="str">
        <f t="shared" si="15"/>
        <v>0</v>
      </c>
      <c r="AG32" s="29"/>
      <c r="AH32" s="30">
        <f t="shared" si="16"/>
        <v>0</v>
      </c>
      <c r="AI32" s="19" t="str">
        <f t="shared" si="17"/>
        <v>0</v>
      </c>
      <c r="AJ32" s="29"/>
      <c r="AK32" s="30">
        <f t="shared" si="18"/>
        <v>0</v>
      </c>
      <c r="AL32" s="19" t="str">
        <f t="shared" si="19"/>
        <v>0</v>
      </c>
      <c r="AM32" s="29"/>
      <c r="AN32" s="30">
        <f t="shared" si="20"/>
        <v>0</v>
      </c>
      <c r="AO32" s="19" t="str">
        <f t="shared" si="21"/>
        <v>0</v>
      </c>
      <c r="AP32" s="29"/>
      <c r="AQ32" s="30">
        <f t="shared" si="22"/>
        <v>0</v>
      </c>
      <c r="AR32" s="19" t="str">
        <f t="shared" si="23"/>
        <v>0</v>
      </c>
      <c r="AS32" s="29"/>
      <c r="AT32" s="30">
        <f t="shared" si="24"/>
        <v>0</v>
      </c>
      <c r="AU32" s="19" t="str">
        <f t="shared" si="25"/>
        <v>0</v>
      </c>
      <c r="AV32" s="29"/>
      <c r="AW32" s="30">
        <f t="shared" si="26"/>
        <v>0</v>
      </c>
      <c r="AX32" s="19" t="str">
        <f t="shared" si="27"/>
        <v>0</v>
      </c>
      <c r="AY32" s="25">
        <f t="shared" si="28"/>
        <v>0</v>
      </c>
    </row>
    <row r="33" spans="1:51">
      <c r="A33" s="45"/>
      <c r="B33" s="29"/>
      <c r="C33" s="29"/>
      <c r="D33" s="54"/>
      <c r="E33" s="29"/>
      <c r="F33" s="29"/>
      <c r="G33" s="29"/>
      <c r="H33" s="29"/>
      <c r="I33" s="30" t="str">
        <f t="shared" si="29"/>
        <v>0</v>
      </c>
      <c r="J33" s="29"/>
      <c r="K33" s="29"/>
      <c r="L33" s="29">
        <f t="shared" si="1"/>
        <v>0</v>
      </c>
      <c r="M33" s="29">
        <f t="shared" si="2"/>
        <v>0</v>
      </c>
      <c r="N33" s="55">
        <f t="shared" si="3"/>
        <v>0</v>
      </c>
      <c r="O33" s="29"/>
      <c r="P33" s="30">
        <f t="shared" si="4"/>
        <v>0</v>
      </c>
      <c r="Q33" s="30" t="str">
        <f t="shared" si="5"/>
        <v>0</v>
      </c>
      <c r="R33" s="29"/>
      <c r="S33" s="30">
        <f t="shared" si="6"/>
        <v>0</v>
      </c>
      <c r="T33" s="19" t="str">
        <f t="shared" si="7"/>
        <v>0</v>
      </c>
      <c r="U33" s="9"/>
      <c r="V33" s="30">
        <f t="shared" si="8"/>
        <v>0</v>
      </c>
      <c r="W33" s="19" t="str">
        <f t="shared" si="9"/>
        <v>0</v>
      </c>
      <c r="X33" s="29"/>
      <c r="Y33" s="30">
        <f t="shared" si="10"/>
        <v>0</v>
      </c>
      <c r="Z33" s="19" t="str">
        <f t="shared" si="11"/>
        <v>0</v>
      </c>
      <c r="AA33" s="29"/>
      <c r="AB33" s="30">
        <f t="shared" si="12"/>
        <v>0</v>
      </c>
      <c r="AC33" s="19" t="str">
        <f t="shared" si="13"/>
        <v>0</v>
      </c>
      <c r="AD33" s="29"/>
      <c r="AE33" s="30">
        <f t="shared" si="14"/>
        <v>0</v>
      </c>
      <c r="AF33" s="19" t="str">
        <f t="shared" si="15"/>
        <v>0</v>
      </c>
      <c r="AG33" s="29"/>
      <c r="AH33" s="30">
        <f t="shared" si="16"/>
        <v>0</v>
      </c>
      <c r="AI33" s="19" t="str">
        <f t="shared" si="17"/>
        <v>0</v>
      </c>
      <c r="AJ33" s="29"/>
      <c r="AK33" s="30">
        <f t="shared" si="18"/>
        <v>0</v>
      </c>
      <c r="AL33" s="19" t="str">
        <f t="shared" si="19"/>
        <v>0</v>
      </c>
      <c r="AM33" s="29"/>
      <c r="AN33" s="30">
        <f t="shared" si="20"/>
        <v>0</v>
      </c>
      <c r="AO33" s="19" t="str">
        <f t="shared" si="21"/>
        <v>0</v>
      </c>
      <c r="AP33" s="29"/>
      <c r="AQ33" s="30">
        <f t="shared" si="22"/>
        <v>0</v>
      </c>
      <c r="AR33" s="19" t="str">
        <f t="shared" si="23"/>
        <v>0</v>
      </c>
      <c r="AS33" s="29"/>
      <c r="AT33" s="30">
        <f t="shared" si="24"/>
        <v>0</v>
      </c>
      <c r="AU33" s="19" t="str">
        <f t="shared" si="25"/>
        <v>0</v>
      </c>
      <c r="AV33" s="29"/>
      <c r="AW33" s="30">
        <f t="shared" si="26"/>
        <v>0</v>
      </c>
      <c r="AX33" s="19" t="str">
        <f t="shared" si="27"/>
        <v>0</v>
      </c>
      <c r="AY33" s="25">
        <f t="shared" si="28"/>
        <v>0</v>
      </c>
    </row>
    <row r="34" spans="1:51">
      <c r="A34" s="50" t="s">
        <v>86</v>
      </c>
      <c r="B34" s="51" t="s">
        <v>87</v>
      </c>
      <c r="C34" s="61"/>
      <c r="D34" s="13"/>
      <c r="H34" s="52" t="s">
        <v>12</v>
      </c>
      <c r="I34" s="10"/>
      <c r="J34" s="10">
        <f>SUM(J3:J33)</f>
        <v>1032540</v>
      </c>
      <c r="K34" s="11">
        <f>SUM(K3:K33)</f>
        <v>10400</v>
      </c>
      <c r="L34" s="11">
        <f>SUM(L3:L33)</f>
        <v>338130.2</v>
      </c>
      <c r="M34" s="11">
        <f>SUM(M3:M33)</f>
        <v>1370670.2</v>
      </c>
      <c r="N34" s="17">
        <f>SUM(Table35[Column13])</f>
        <v>1109670.2</v>
      </c>
      <c r="O34" s="10">
        <f>SUM(O3:O33)</f>
        <v>0</v>
      </c>
      <c r="P34" s="10"/>
      <c r="Q34" s="10"/>
      <c r="R34" s="10">
        <f>SUM(R3:R33)</f>
        <v>0</v>
      </c>
      <c r="S34" s="10"/>
      <c r="T34" s="11"/>
      <c r="U34" s="11">
        <f>SUM(U3:U33)</f>
        <v>0</v>
      </c>
      <c r="V34" s="11"/>
      <c r="W34" s="11"/>
      <c r="X34" s="11">
        <f>SUM(X3:X33)</f>
        <v>0</v>
      </c>
      <c r="Y34" s="11"/>
      <c r="Z34" s="11"/>
      <c r="AA34" s="11">
        <f>SUM(AA3:AA33)</f>
        <v>0</v>
      </c>
      <c r="AB34" s="11"/>
      <c r="AC34" s="11"/>
      <c r="AD34" s="11">
        <f>SUM(AD3:AD33)</f>
        <v>0</v>
      </c>
      <c r="AE34" s="11"/>
      <c r="AF34" s="11"/>
      <c r="AG34" s="11">
        <f>SUM(AG3:AG33)</f>
        <v>0</v>
      </c>
      <c r="AH34" s="11"/>
      <c r="AI34" s="11"/>
      <c r="AJ34" s="11">
        <f>SUM(AJ3:AJ33)</f>
        <v>0</v>
      </c>
      <c r="AK34" s="11"/>
      <c r="AL34" s="11"/>
      <c r="AM34" s="11">
        <f>SUM(AM3:AM33)</f>
        <v>0</v>
      </c>
      <c r="AN34" s="11"/>
      <c r="AO34" s="11"/>
      <c r="AP34" s="11">
        <f>SUM(AP3:AP33)</f>
        <v>34000</v>
      </c>
      <c r="AQ34" s="11"/>
      <c r="AR34" s="11"/>
      <c r="AS34" s="11">
        <f>SUM(AS3:AS33)</f>
        <v>103000</v>
      </c>
      <c r="AT34" s="11"/>
      <c r="AU34" s="11"/>
      <c r="AV34" s="11">
        <f>SUM(AV3:AV33)</f>
        <v>124000</v>
      </c>
      <c r="AW34" s="11"/>
      <c r="AX34" s="11"/>
      <c r="AY34" s="11"/>
    </row>
    <row r="35" spans="1:51" ht="17.25" customHeight="1">
      <c r="A35" s="48">
        <v>1</v>
      </c>
      <c r="B35" s="49" t="s">
        <v>77</v>
      </c>
      <c r="C35" s="62"/>
      <c r="D35" s="13"/>
      <c r="H35" s="52" t="s">
        <v>14</v>
      </c>
      <c r="I35" s="10"/>
      <c r="J35" s="11"/>
      <c r="K35" s="11"/>
      <c r="L35" s="11"/>
      <c r="M35" s="11"/>
      <c r="N35" s="17"/>
      <c r="O35" s="11">
        <f>SUM(P3:P7)</f>
        <v>0</v>
      </c>
      <c r="P35" s="11"/>
      <c r="Q35" s="11"/>
      <c r="R35" s="11">
        <f>SUM(S3:S33)</f>
        <v>0</v>
      </c>
      <c r="S35" s="11"/>
      <c r="T35" s="11"/>
      <c r="U35" s="11">
        <f>SUM(V3:V33)</f>
        <v>0</v>
      </c>
      <c r="V35" s="11"/>
      <c r="W35" s="11"/>
      <c r="X35" s="11">
        <f>SUM(Y3:Y7)</f>
        <v>0</v>
      </c>
      <c r="Y35" s="11"/>
      <c r="Z35" s="11"/>
      <c r="AA35" s="11">
        <f>SUM(AB3:AB33)</f>
        <v>0</v>
      </c>
      <c r="AB35" s="11"/>
      <c r="AC35" s="11"/>
      <c r="AD35" s="11">
        <f>SUM(AE3:AE7)</f>
        <v>0</v>
      </c>
      <c r="AE35" s="11"/>
      <c r="AF35" s="11"/>
      <c r="AG35" s="11">
        <f>SUM(AH3:AH33)</f>
        <v>0</v>
      </c>
      <c r="AH35" s="11"/>
      <c r="AI35" s="11"/>
      <c r="AJ35" s="11">
        <f>SUM(AK3:AK7)</f>
        <v>0</v>
      </c>
      <c r="AK35" s="11"/>
      <c r="AL35" s="11"/>
      <c r="AM35" s="11">
        <f>SUM(AN3:AN33)</f>
        <v>0</v>
      </c>
      <c r="AN35" s="11"/>
      <c r="AO35" s="11"/>
      <c r="AP35" s="11">
        <f>SUM(AQ3:AQ33)</f>
        <v>25563.909774436092</v>
      </c>
      <c r="AQ35" s="11"/>
      <c r="AR35" s="11"/>
      <c r="AS35" s="11">
        <f>SUM(AT3:AT33)</f>
        <v>77636.090225563894</v>
      </c>
      <c r="AT35" s="11"/>
      <c r="AU35" s="11"/>
      <c r="AV35" s="11">
        <f>SUM(AW3:AW33)</f>
        <v>93425.563909774428</v>
      </c>
      <c r="AW35" s="11"/>
      <c r="AX35" s="11"/>
      <c r="AY35" s="11"/>
    </row>
    <row r="36" spans="1:51">
      <c r="A36" s="48">
        <v>2</v>
      </c>
      <c r="B36" s="49" t="s">
        <v>88</v>
      </c>
      <c r="C36" s="62"/>
      <c r="D36" s="13"/>
      <c r="H36" s="52" t="s">
        <v>16</v>
      </c>
      <c r="I36" s="10"/>
      <c r="J36" s="11"/>
      <c r="K36" s="11"/>
      <c r="L36" s="11"/>
      <c r="M36" s="11"/>
      <c r="N36" s="17"/>
      <c r="O36" s="11">
        <f>SUM(Q3:Q33)</f>
        <v>0</v>
      </c>
      <c r="P36" s="11"/>
      <c r="Q36" s="11"/>
      <c r="R36" s="11">
        <f>SUM(T3:T33)</f>
        <v>0</v>
      </c>
      <c r="S36" s="11"/>
      <c r="T36" s="11"/>
      <c r="U36" s="11">
        <f>SUM(W3:W33)</f>
        <v>0</v>
      </c>
      <c r="V36" s="11"/>
      <c r="W36" s="11"/>
      <c r="X36" s="11">
        <f>SUM(Z3:Z33)</f>
        <v>0</v>
      </c>
      <c r="Y36" s="11"/>
      <c r="Z36" s="11"/>
      <c r="AA36" s="11">
        <f>SUM(AC3:AC33)</f>
        <v>0</v>
      </c>
      <c r="AB36" s="11"/>
      <c r="AC36" s="11"/>
      <c r="AD36" s="11">
        <f>SUM(AF3:AF33)</f>
        <v>0</v>
      </c>
      <c r="AE36" s="11"/>
      <c r="AF36" s="11"/>
      <c r="AG36" s="11">
        <f>SUM(AI3:AI33)</f>
        <v>0</v>
      </c>
      <c r="AH36" s="11"/>
      <c r="AI36" s="11"/>
      <c r="AJ36" s="11">
        <f>SUM(AL3:AL33)</f>
        <v>0</v>
      </c>
      <c r="AK36" s="11"/>
      <c r="AL36" s="11"/>
      <c r="AM36" s="11">
        <f>SUM(AO3:AO33)</f>
        <v>0</v>
      </c>
      <c r="AN36" s="11"/>
      <c r="AO36" s="11"/>
      <c r="AP36" s="11">
        <f>SUM(AR3:AR33)</f>
        <v>8436.0902255639103</v>
      </c>
      <c r="AQ36" s="11"/>
      <c r="AR36" s="11"/>
      <c r="AS36" s="11">
        <f>SUM(AU3:AU33)</f>
        <v>25363.909774436088</v>
      </c>
      <c r="AT36" s="11"/>
      <c r="AU36" s="11"/>
      <c r="AV36" s="11">
        <f>SUM(AX3:AX33)</f>
        <v>30574.436090225561</v>
      </c>
      <c r="AW36" s="11"/>
      <c r="AX36" s="11"/>
      <c r="AY36" s="11"/>
    </row>
    <row r="37" spans="1:51">
      <c r="A37" s="48">
        <v>3</v>
      </c>
      <c r="B37" s="9" t="s">
        <v>89</v>
      </c>
      <c r="C37" s="63"/>
      <c r="H37" s="153" t="s">
        <v>89</v>
      </c>
      <c r="I37" s="153"/>
      <c r="J37" s="153"/>
      <c r="K37" s="153"/>
      <c r="L37" s="154" t="s">
        <v>202</v>
      </c>
      <c r="M37" s="155"/>
      <c r="N37" s="156"/>
      <c r="O37" s="53">
        <f>SUMIF(Table35[Column52],H37,Table35[Column15])</f>
        <v>0</v>
      </c>
      <c r="P37" s="53"/>
      <c r="Q37" s="53"/>
      <c r="R37" s="53">
        <f>SUMIF(Table35[Column52],H37,Table35[Column18])</f>
        <v>0</v>
      </c>
      <c r="S37" s="53"/>
      <c r="T37" s="53"/>
      <c r="U37" s="53">
        <f>SUMIF(Table35[Column52],H37,Table35[Column21])</f>
        <v>0</v>
      </c>
      <c r="V37" s="53"/>
      <c r="W37" s="53"/>
      <c r="X37" s="53">
        <f>SUMIF(Table35[Column52],H37,Table35[Column24])</f>
        <v>0</v>
      </c>
      <c r="Y37" s="53"/>
      <c r="Z37" s="53"/>
      <c r="AA37" s="53">
        <f>SUMIF(Table35[Column52],H37,Table35[Column27])</f>
        <v>0</v>
      </c>
      <c r="AB37" s="53"/>
      <c r="AC37" s="53"/>
      <c r="AD37" s="53">
        <f>SUMIF(Table35[Column52],H37,Table35[Column30])</f>
        <v>0</v>
      </c>
      <c r="AE37" s="53"/>
      <c r="AF37" s="53"/>
      <c r="AG37" s="53">
        <f>SUMIF(Table35[Column52],H37,Table35[Column33])</f>
        <v>0</v>
      </c>
      <c r="AH37" s="53"/>
      <c r="AI37" s="53"/>
      <c r="AJ37" s="53">
        <f>SUMIF(Table35[Column52],H37,Table35[Column36])</f>
        <v>0</v>
      </c>
      <c r="AK37" s="53"/>
      <c r="AL37" s="53"/>
      <c r="AM37" s="53">
        <f>SUMIF(Table35[Column52],H37,Table35[Column39])</f>
        <v>0</v>
      </c>
      <c r="AN37" s="53"/>
      <c r="AO37" s="53"/>
      <c r="AP37" s="53">
        <f>SUMIF(Table35[Column52],H37,Table35[Column42])</f>
        <v>0</v>
      </c>
      <c r="AQ37" s="53"/>
      <c r="AR37" s="53"/>
      <c r="AS37" s="53">
        <f>SUMIF(Table35[Column52],H37,Table35[Column45])</f>
        <v>0</v>
      </c>
      <c r="AT37" s="53"/>
      <c r="AU37" s="53"/>
      <c r="AV37" s="53">
        <f>SUMIF(Table35[Column52],H37,Table35[Column48])</f>
        <v>0</v>
      </c>
      <c r="AW37" s="53"/>
      <c r="AX37" s="53"/>
      <c r="AY37" s="53"/>
    </row>
    <row r="38" spans="1:51">
      <c r="A38" s="48">
        <v>4</v>
      </c>
      <c r="B38" s="9" t="s">
        <v>91</v>
      </c>
      <c r="C38" s="63"/>
      <c r="L38" s="154" t="s">
        <v>205</v>
      </c>
      <c r="M38" s="155"/>
      <c r="N38" s="156"/>
      <c r="O38" s="53">
        <f>SUMIF(Table35[Column52],H37,Table35[Column16])</f>
        <v>0</v>
      </c>
      <c r="P38" s="53"/>
      <c r="Q38" s="53"/>
      <c r="R38" s="53">
        <f>SUMIF(Table35[Column52],H37,Table35[Column19])</f>
        <v>0</v>
      </c>
      <c r="S38" s="53"/>
      <c r="T38" s="53"/>
      <c r="U38" s="53">
        <f>SUMIF(Table35[Column52],H37,Table35[Column22])</f>
        <v>0</v>
      </c>
      <c r="V38" s="53"/>
      <c r="W38" s="53"/>
      <c r="X38" s="53">
        <f>SUMIF(Table35[Column52],H37,Table35[Column25])</f>
        <v>0</v>
      </c>
      <c r="Y38" s="53"/>
      <c r="Z38" s="53"/>
      <c r="AA38" s="53">
        <f>SUMIF(Table35[Column52],H37,Table35[Column28])</f>
        <v>0</v>
      </c>
      <c r="AB38" s="53"/>
      <c r="AC38" s="53"/>
      <c r="AD38" s="53">
        <f>SUMIF(Table35[Column52],H37,Table35[Column31])</f>
        <v>0</v>
      </c>
      <c r="AE38" s="53"/>
      <c r="AF38" s="53"/>
      <c r="AG38" s="53">
        <f>SUMIF(Table35[Column52],H37,Table35[Column34])</f>
        <v>0</v>
      </c>
      <c r="AH38" s="53"/>
      <c r="AI38" s="53"/>
      <c r="AJ38" s="53">
        <f>SUMIF(Table35[Column52],H37,Table35[Column37])</f>
        <v>0</v>
      </c>
      <c r="AK38" s="53"/>
      <c r="AL38" s="53"/>
      <c r="AM38" s="53">
        <f>SUMIF(Table35[Column52],H37,Table35[Column40])</f>
        <v>0</v>
      </c>
      <c r="AN38" s="53"/>
      <c r="AO38" s="53"/>
      <c r="AP38" s="53">
        <f>SUMIF(Table35[Column52],H37,Table35[Column43])</f>
        <v>0</v>
      </c>
      <c r="AQ38" s="53"/>
      <c r="AR38" s="53"/>
      <c r="AS38" s="53">
        <f>SUMIF(Table35[Column52],H37,Table35[Column46])</f>
        <v>0</v>
      </c>
      <c r="AT38" s="53"/>
      <c r="AU38" s="53"/>
      <c r="AV38" s="53">
        <f>SUMIF(Table35[Column52],H37,Table35[Column49])</f>
        <v>0</v>
      </c>
      <c r="AW38" s="53"/>
      <c r="AX38" s="53"/>
      <c r="AY38" s="53"/>
    </row>
    <row r="39" spans="1:51">
      <c r="B39" s="47" t="s">
        <v>90</v>
      </c>
      <c r="C39" s="60"/>
      <c r="L39" s="154" t="s">
        <v>204</v>
      </c>
      <c r="M39" s="155"/>
      <c r="N39" s="156"/>
      <c r="O39" s="53">
        <f>SUMIF(Table35[Column52],H37,Table35[Column17])</f>
        <v>0</v>
      </c>
      <c r="P39" s="53"/>
      <c r="Q39" s="53"/>
      <c r="R39" s="53">
        <f>SUMIF(Table35[Column52],H37,Table35[Column20])</f>
        <v>0</v>
      </c>
      <c r="S39" s="53"/>
      <c r="T39" s="53"/>
      <c r="U39" s="53">
        <f>SUMIF(Table35[Column52],H37,Table35[Column23])</f>
        <v>0</v>
      </c>
      <c r="V39" s="53"/>
      <c r="W39" s="53"/>
      <c r="X39" s="53">
        <f>SUMIF(Table35[Column52],H37,Table35[Column26])</f>
        <v>0</v>
      </c>
      <c r="Y39" s="53"/>
      <c r="Z39" s="53"/>
      <c r="AA39" s="53">
        <f>SUMIF(Table35[Column52],H37,Table35[Column29])</f>
        <v>0</v>
      </c>
      <c r="AB39" s="53"/>
      <c r="AC39" s="53"/>
      <c r="AD39" s="53">
        <f>SUMIF(Table35[Column52],H37,Table35[Column32])</f>
        <v>0</v>
      </c>
      <c r="AE39" s="53"/>
      <c r="AF39" s="53"/>
      <c r="AG39" s="53">
        <f>SUMIF(Table35[Column52],H37,Table35[Column35])</f>
        <v>0</v>
      </c>
      <c r="AH39" s="53"/>
      <c r="AI39" s="53"/>
      <c r="AJ39" s="53">
        <f>SUMIF(Table35[Column52],H37,Table35[Column38])</f>
        <v>0</v>
      </c>
      <c r="AK39" s="53"/>
      <c r="AL39" s="53"/>
      <c r="AM39" s="53">
        <f>SUMIF(Table35[Column52],H37,Table35[Column41])</f>
        <v>0</v>
      </c>
      <c r="AN39" s="53"/>
      <c r="AO39" s="53"/>
      <c r="AP39" s="53">
        <f>SUMIF(Table35[Column52],H37,Table35[Column44])</f>
        <v>0</v>
      </c>
      <c r="AQ39" s="53"/>
      <c r="AR39" s="53"/>
      <c r="AS39" s="53">
        <f>SUMIF(Table35[Column52],H37,Table35[Column47])</f>
        <v>0</v>
      </c>
      <c r="AT39" s="53"/>
      <c r="AU39" s="53"/>
      <c r="AV39" s="53">
        <f>SUMIF(Table35[Column52],H37,Table35[Column50])</f>
        <v>0</v>
      </c>
      <c r="AW39" s="53"/>
      <c r="AX39" s="53"/>
      <c r="AY39" s="53"/>
    </row>
    <row r="40" spans="1:51">
      <c r="L40" s="152" t="s">
        <v>93</v>
      </c>
      <c r="M40" s="152"/>
      <c r="N40" s="59">
        <f>SUMIF(Table35[Column52],H37,Table35[Column8])</f>
        <v>0</v>
      </c>
    </row>
    <row r="41" spans="1:51">
      <c r="L41" s="152" t="s">
        <v>94</v>
      </c>
      <c r="M41" s="152"/>
      <c r="N41" s="59">
        <f>SUMIF(Table35[Column52],H37,Table35[Column10])</f>
        <v>0</v>
      </c>
    </row>
    <row r="42" spans="1:51">
      <c r="L42" s="152" t="s">
        <v>96</v>
      </c>
      <c r="M42" s="152"/>
      <c r="N42" s="59">
        <f>SUMIF(Table35[Column52],H37,Table35[Column11])</f>
        <v>0</v>
      </c>
    </row>
    <row r="43" spans="1:51">
      <c r="L43" s="152" t="s">
        <v>92</v>
      </c>
      <c r="M43" s="152"/>
      <c r="N43" s="59">
        <f>SUMIF(Table35[Column52],H37,Table35[Column12])</f>
        <v>0</v>
      </c>
    </row>
    <row r="44" spans="1:51">
      <c r="L44" s="152" t="s">
        <v>95</v>
      </c>
      <c r="M44" s="152"/>
      <c r="N44" s="59">
        <f>SUMIF(Table35[Column52],H37,Table35[Column13])</f>
        <v>0</v>
      </c>
    </row>
  </sheetData>
  <mergeCells count="9">
    <mergeCell ref="L42:M42"/>
    <mergeCell ref="L43:M43"/>
    <mergeCell ref="L44:M44"/>
    <mergeCell ref="H37:K37"/>
    <mergeCell ref="L37:N37"/>
    <mergeCell ref="L38:N38"/>
    <mergeCell ref="L39:N39"/>
    <mergeCell ref="L40:M40"/>
    <mergeCell ref="L41:M41"/>
  </mergeCells>
  <dataValidations count="1">
    <dataValidation type="list" allowBlank="1" showInputMessage="1" showErrorMessage="1" sqref="H37:K37 G3:G33">
      <formula1>$B$35:$B$38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Y128"/>
  <sheetViews>
    <sheetView workbookViewId="0">
      <pane xSplit="17" ySplit="5" topLeftCell="X115" activePane="bottomRight" state="frozen"/>
      <selection pane="topRight" activeCell="R1" sqref="R1"/>
      <selection pane="bottomLeft" activeCell="A6" sqref="A6"/>
      <selection pane="bottomRight" activeCell="H121" sqref="H121:K121"/>
    </sheetView>
  </sheetViews>
  <sheetFormatPr defaultRowHeight="15"/>
  <cols>
    <col min="1" max="1" width="7.5703125" style="46" customWidth="1"/>
    <col min="2" max="2" width="20.85546875" customWidth="1"/>
    <col min="3" max="3" width="12.7109375" customWidth="1"/>
    <col min="4" max="4" width="6.42578125" customWidth="1"/>
    <col min="5" max="5" width="14.140625" customWidth="1"/>
    <col min="6" max="6" width="11.140625" customWidth="1"/>
    <col min="7" max="7" width="11.5703125" customWidth="1"/>
    <col min="8" max="8" width="9.140625" customWidth="1"/>
    <col min="9" max="9" width="10.28515625" hidden="1" customWidth="1"/>
    <col min="10" max="10" width="9.28515625" customWidth="1"/>
    <col min="11" max="11" width="7.7109375" customWidth="1"/>
    <col min="12" max="12" width="9" customWidth="1"/>
    <col min="13" max="13" width="8.85546875" customWidth="1"/>
    <col min="14" max="14" width="9.140625" customWidth="1"/>
    <col min="15" max="15" width="9.28515625" customWidth="1"/>
    <col min="16" max="17" width="8.42578125" hidden="1" customWidth="1"/>
    <col min="18" max="18" width="8.7109375" customWidth="1"/>
    <col min="19" max="19" width="11.28515625" hidden="1" customWidth="1"/>
    <col min="20" max="20" width="12" hidden="1" customWidth="1"/>
    <col min="21" max="21" width="9.28515625" style="129" customWidth="1"/>
    <col min="22" max="22" width="11.28515625" style="129" hidden="1" customWidth="1"/>
    <col min="23" max="23" width="12" style="129" hidden="1" customWidth="1"/>
    <col min="24" max="24" width="9.42578125" style="129" customWidth="1"/>
    <col min="25" max="25" width="11.28515625" hidden="1" customWidth="1"/>
    <col min="26" max="26" width="12" hidden="1" customWidth="1"/>
    <col min="27" max="27" width="9.42578125" customWidth="1"/>
    <col min="28" max="28" width="11.28515625" hidden="1" customWidth="1"/>
    <col min="29" max="29" width="12" hidden="1" customWidth="1"/>
    <col min="30" max="30" width="8.85546875" customWidth="1"/>
    <col min="31" max="31" width="11.28515625" hidden="1" customWidth="1"/>
    <col min="32" max="32" width="12" hidden="1" customWidth="1"/>
    <col min="33" max="33" width="9.140625" customWidth="1"/>
    <col min="34" max="34" width="11.28515625" hidden="1" customWidth="1"/>
    <col min="35" max="35" width="12" hidden="1" customWidth="1"/>
    <col min="36" max="36" width="9.7109375" customWidth="1"/>
    <col min="37" max="37" width="11.28515625" hidden="1" customWidth="1"/>
    <col min="38" max="38" width="12" hidden="1" customWidth="1"/>
    <col min="39" max="39" width="9" customWidth="1"/>
    <col min="40" max="40" width="11.28515625" hidden="1" customWidth="1"/>
    <col min="41" max="41" width="12" hidden="1" customWidth="1"/>
    <col min="42" max="42" width="9" customWidth="1"/>
    <col min="43" max="43" width="11.28515625" hidden="1" customWidth="1"/>
    <col min="44" max="44" width="12" hidden="1" customWidth="1"/>
    <col min="45" max="45" width="9.42578125" customWidth="1"/>
    <col min="46" max="46" width="11.28515625" hidden="1" customWidth="1"/>
    <col min="47" max="47" width="12" hidden="1" customWidth="1"/>
    <col min="48" max="48" width="9.140625" customWidth="1"/>
    <col min="49" max="49" width="11.28515625" hidden="1" customWidth="1"/>
    <col min="50" max="50" width="12" hidden="1" customWidth="1"/>
    <col min="51" max="51" width="10.28515625" customWidth="1"/>
  </cols>
  <sheetData>
    <row r="1" spans="1:51" ht="45">
      <c r="A1" s="43" t="s">
        <v>6</v>
      </c>
      <c r="B1" s="10" t="s">
        <v>7</v>
      </c>
      <c r="C1" s="10" t="s">
        <v>15</v>
      </c>
      <c r="D1" s="10" t="s">
        <v>73</v>
      </c>
      <c r="E1" s="10" t="s">
        <v>9</v>
      </c>
      <c r="F1" s="10" t="s">
        <v>8</v>
      </c>
      <c r="G1" s="10" t="s">
        <v>85</v>
      </c>
      <c r="H1" s="10" t="s">
        <v>227</v>
      </c>
      <c r="I1" s="10" t="s">
        <v>19</v>
      </c>
      <c r="J1" s="10" t="s">
        <v>10</v>
      </c>
      <c r="K1" s="10" t="s">
        <v>41</v>
      </c>
      <c r="L1" s="10" t="s">
        <v>17</v>
      </c>
      <c r="M1" s="10" t="s">
        <v>11</v>
      </c>
      <c r="N1" s="16" t="s">
        <v>13</v>
      </c>
      <c r="O1" s="12">
        <v>43831</v>
      </c>
      <c r="P1" s="12" t="s">
        <v>40</v>
      </c>
      <c r="Q1" s="12" t="s">
        <v>16</v>
      </c>
      <c r="R1" s="12">
        <v>43862</v>
      </c>
      <c r="S1" s="12" t="s">
        <v>40</v>
      </c>
      <c r="T1" s="12" t="s">
        <v>16</v>
      </c>
      <c r="U1" s="118">
        <v>43891</v>
      </c>
      <c r="V1" s="118" t="s">
        <v>40</v>
      </c>
      <c r="W1" s="118" t="s">
        <v>16</v>
      </c>
      <c r="X1" s="118">
        <v>43922</v>
      </c>
      <c r="Y1" s="12" t="s">
        <v>40</v>
      </c>
      <c r="Z1" s="12" t="s">
        <v>16</v>
      </c>
      <c r="AA1" s="12">
        <v>43952</v>
      </c>
      <c r="AB1" s="12" t="s">
        <v>40</v>
      </c>
      <c r="AC1" s="12" t="s">
        <v>16</v>
      </c>
      <c r="AD1" s="12">
        <v>43983</v>
      </c>
      <c r="AE1" s="12" t="s">
        <v>40</v>
      </c>
      <c r="AF1" s="12" t="s">
        <v>16</v>
      </c>
      <c r="AG1" s="12">
        <v>44013</v>
      </c>
      <c r="AH1" s="12" t="s">
        <v>40</v>
      </c>
      <c r="AI1" s="12" t="s">
        <v>16</v>
      </c>
      <c r="AJ1" s="12">
        <v>44044</v>
      </c>
      <c r="AK1" s="12" t="s">
        <v>40</v>
      </c>
      <c r="AL1" s="12" t="s">
        <v>16</v>
      </c>
      <c r="AM1" s="12">
        <v>44075</v>
      </c>
      <c r="AN1" s="12" t="s">
        <v>40</v>
      </c>
      <c r="AO1" s="12" t="s">
        <v>16</v>
      </c>
      <c r="AP1" s="12">
        <v>44105</v>
      </c>
      <c r="AQ1" s="12" t="s">
        <v>40</v>
      </c>
      <c r="AR1" s="12" t="s">
        <v>16</v>
      </c>
      <c r="AS1" s="12">
        <v>44136</v>
      </c>
      <c r="AT1" s="12" t="s">
        <v>40</v>
      </c>
      <c r="AU1" s="12" t="s">
        <v>16</v>
      </c>
      <c r="AV1" s="12">
        <v>44166</v>
      </c>
      <c r="AW1" s="12" t="s">
        <v>40</v>
      </c>
      <c r="AX1" s="12" t="s">
        <v>16</v>
      </c>
      <c r="AY1" s="12" t="s">
        <v>12</v>
      </c>
    </row>
    <row r="2" spans="1:51" ht="24" hidden="1">
      <c r="A2" s="44" t="s">
        <v>20</v>
      </c>
      <c r="B2" s="20" t="s">
        <v>21</v>
      </c>
      <c r="C2" s="20" t="s">
        <v>22</v>
      </c>
      <c r="D2" s="20" t="s">
        <v>83</v>
      </c>
      <c r="E2" s="20" t="s">
        <v>23</v>
      </c>
      <c r="F2" s="20" t="s">
        <v>24</v>
      </c>
      <c r="G2" s="20" t="s">
        <v>84</v>
      </c>
      <c r="H2" s="20" t="s">
        <v>25</v>
      </c>
      <c r="I2" s="21" t="s">
        <v>26</v>
      </c>
      <c r="J2" s="20" t="s">
        <v>27</v>
      </c>
      <c r="K2" s="20" t="s">
        <v>28</v>
      </c>
      <c r="L2" s="20" t="s">
        <v>29</v>
      </c>
      <c r="M2" s="20" t="s">
        <v>30</v>
      </c>
      <c r="N2" s="22" t="s">
        <v>31</v>
      </c>
      <c r="O2" s="20" t="s">
        <v>32</v>
      </c>
      <c r="P2" s="21" t="s">
        <v>33</v>
      </c>
      <c r="Q2" s="21" t="s">
        <v>34</v>
      </c>
      <c r="R2" s="20" t="s">
        <v>35</v>
      </c>
      <c r="S2" s="21" t="s">
        <v>36</v>
      </c>
      <c r="T2" s="23" t="s">
        <v>37</v>
      </c>
      <c r="U2" s="119" t="s">
        <v>38</v>
      </c>
      <c r="V2" s="120" t="s">
        <v>39</v>
      </c>
      <c r="W2" s="125" t="s">
        <v>44</v>
      </c>
      <c r="X2" s="119" t="s">
        <v>45</v>
      </c>
      <c r="Y2" s="21" t="s">
        <v>46</v>
      </c>
      <c r="Z2" s="23" t="s">
        <v>47</v>
      </c>
      <c r="AA2" s="20" t="s">
        <v>48</v>
      </c>
      <c r="AB2" s="21" t="s">
        <v>49</v>
      </c>
      <c r="AC2" s="23" t="s">
        <v>50</v>
      </c>
      <c r="AD2" s="20" t="s">
        <v>51</v>
      </c>
      <c r="AE2" s="21" t="s">
        <v>52</v>
      </c>
      <c r="AF2" s="23" t="s">
        <v>53</v>
      </c>
      <c r="AG2" s="20" t="s">
        <v>54</v>
      </c>
      <c r="AH2" s="21" t="s">
        <v>55</v>
      </c>
      <c r="AI2" s="23" t="s">
        <v>56</v>
      </c>
      <c r="AJ2" s="20" t="s">
        <v>57</v>
      </c>
      <c r="AK2" s="21" t="s">
        <v>58</v>
      </c>
      <c r="AL2" s="23" t="s">
        <v>59</v>
      </c>
      <c r="AM2" s="20" t="s">
        <v>60</v>
      </c>
      <c r="AN2" s="21" t="s">
        <v>61</v>
      </c>
      <c r="AO2" s="23" t="s">
        <v>62</v>
      </c>
      <c r="AP2" s="20" t="s">
        <v>63</v>
      </c>
      <c r="AQ2" s="21" t="s">
        <v>64</v>
      </c>
      <c r="AR2" s="23" t="s">
        <v>65</v>
      </c>
      <c r="AS2" s="20" t="s">
        <v>66</v>
      </c>
      <c r="AT2" s="21" t="s">
        <v>67</v>
      </c>
      <c r="AU2" s="23" t="s">
        <v>68</v>
      </c>
      <c r="AV2" s="20" t="s">
        <v>69</v>
      </c>
      <c r="AW2" s="21" t="s">
        <v>70</v>
      </c>
      <c r="AX2" s="23" t="s">
        <v>71</v>
      </c>
      <c r="AY2" s="26" t="s">
        <v>72</v>
      </c>
    </row>
    <row r="3" spans="1:51" ht="30" customHeight="1">
      <c r="A3" s="56">
        <v>43770</v>
      </c>
      <c r="B3" s="24" t="s">
        <v>98</v>
      </c>
      <c r="C3" s="24" t="s">
        <v>97</v>
      </c>
      <c r="D3" s="24">
        <v>4000</v>
      </c>
      <c r="E3" s="24" t="s">
        <v>99</v>
      </c>
      <c r="F3" s="24" t="s">
        <v>100</v>
      </c>
      <c r="G3" s="14" t="s">
        <v>74</v>
      </c>
      <c r="H3" s="24">
        <v>33</v>
      </c>
      <c r="I3" s="18">
        <f t="shared" ref="I3" si="0">IFERROR(M3/L3,"0")</f>
        <v>4.0303030303030303</v>
      </c>
      <c r="J3" s="24">
        <v>35000</v>
      </c>
      <c r="K3" s="14"/>
      <c r="L3" s="14">
        <f t="shared" ref="L3:L43" si="1">H3/100*J3</f>
        <v>11550</v>
      </c>
      <c r="M3" s="14">
        <f t="shared" ref="M3:M43" si="2">J3+L3</f>
        <v>46550</v>
      </c>
      <c r="N3" s="28">
        <f>M3-(AY3+'2019'!AY3)</f>
        <v>14550</v>
      </c>
      <c r="O3" s="14">
        <v>4000</v>
      </c>
      <c r="P3" s="18">
        <f t="shared" ref="P3:P43" si="3">IFERROR(O3-Q3,"0")</f>
        <v>3007.5187969924809</v>
      </c>
      <c r="Q3" s="18">
        <f t="shared" ref="Q3:Q43" si="4">IFERROR(O3/I3,"0")</f>
        <v>992.48120300751884</v>
      </c>
      <c r="R3" s="14">
        <v>4000</v>
      </c>
      <c r="S3" s="18">
        <f t="shared" ref="S3:S43" si="5">IFERROR(R3-T3,"0")</f>
        <v>3007.5187969924809</v>
      </c>
      <c r="T3" s="19">
        <f t="shared" ref="T3:T43" si="6">IFERROR(R3/I3,"0")</f>
        <v>992.48120300751884</v>
      </c>
      <c r="U3" s="127">
        <v>4000</v>
      </c>
      <c r="V3" s="121">
        <f t="shared" ref="V3:V43" si="7">IFERROR(U3-W3,"0")</f>
        <v>3007.5187969924809</v>
      </c>
      <c r="W3" s="126">
        <f t="shared" ref="W3:W43" si="8">IFERROR(U3/I3,"0")</f>
        <v>992.48120300751884</v>
      </c>
      <c r="X3" s="122">
        <v>4000</v>
      </c>
      <c r="Y3" s="18">
        <f t="shared" ref="Y3:Y43" si="9">IFERROR(X3-Z3,"0")</f>
        <v>3007.5187969924809</v>
      </c>
      <c r="Z3" s="19">
        <f t="shared" ref="Z3:Z43" si="10">IFERROR(X3/I3,"0")</f>
        <v>992.48120300751884</v>
      </c>
      <c r="AA3" s="14">
        <v>4000</v>
      </c>
      <c r="AB3" s="18">
        <f t="shared" ref="AB3:AB43" si="11">IFERROR(AA3-AC3,"0")</f>
        <v>3007.5187969924809</v>
      </c>
      <c r="AC3" s="19">
        <f t="shared" ref="AC3:AC43" si="12">IFERROR(AA3/I3,"0")</f>
        <v>992.48120300751884</v>
      </c>
      <c r="AD3" s="14"/>
      <c r="AE3" s="18">
        <f t="shared" ref="AE3:AE43" si="13">IFERROR(AD3-AF3,"0")</f>
        <v>0</v>
      </c>
      <c r="AF3" s="19">
        <f t="shared" ref="AF3:AF43" si="14">IFERROR(AD3/I3,"0")</f>
        <v>0</v>
      </c>
      <c r="AG3" s="14"/>
      <c r="AH3" s="18">
        <f t="shared" ref="AH3:AH43" si="15">IFERROR(AG3-AI3,"0")</f>
        <v>0</v>
      </c>
      <c r="AI3" s="19">
        <f t="shared" ref="AI3:AI43" si="16">IFERROR(AG3/I3,"0")</f>
        <v>0</v>
      </c>
      <c r="AJ3" s="14"/>
      <c r="AK3" s="18">
        <f t="shared" ref="AK3:AK43" si="17">IFERROR(AJ3-AL3,"0")</f>
        <v>0</v>
      </c>
      <c r="AL3" s="19">
        <f t="shared" ref="AL3:AL43" si="18">IFERROR(AJ3/I3,"0")</f>
        <v>0</v>
      </c>
      <c r="AM3" s="14"/>
      <c r="AN3" s="18">
        <f t="shared" ref="AN3:AN43" si="19">IFERROR(AM3-AO3,"0")</f>
        <v>0</v>
      </c>
      <c r="AO3" s="19">
        <f t="shared" ref="AO3:AO43" si="20">IFERROR(AM3/I3,"0")</f>
        <v>0</v>
      </c>
      <c r="AP3" s="14"/>
      <c r="AQ3" s="18">
        <f t="shared" ref="AQ3:AQ43" si="21">IFERROR(AP3-AR3,"0")</f>
        <v>0</v>
      </c>
      <c r="AR3" s="19">
        <f t="shared" ref="AR3:AR43" si="22">IFERROR(AP3/I3,"0")</f>
        <v>0</v>
      </c>
      <c r="AS3" s="14"/>
      <c r="AT3" s="18">
        <f t="shared" ref="AT3:AT43" si="23">IFERROR(AS3-AU3,"0")</f>
        <v>0</v>
      </c>
      <c r="AU3" s="19">
        <f t="shared" ref="AU3:AU43" si="24">IFERROR(AS3/I3,"0")</f>
        <v>0</v>
      </c>
      <c r="AV3" s="14"/>
      <c r="AW3" s="18">
        <f t="shared" ref="AW3:AW43" si="25">IFERROR(AV3-AX3,"0")</f>
        <v>0</v>
      </c>
      <c r="AX3" s="19">
        <f t="shared" ref="AX3:AX43" si="26">IFERROR(AV3/I3,"0")</f>
        <v>0</v>
      </c>
      <c r="AY3" s="25">
        <f t="shared" ref="AY3:AY43" si="27">O3+R3+U3+X3+AA3+AD3+AG3+AJ3+AM3+AP3+AS3+AV3</f>
        <v>20000</v>
      </c>
    </row>
    <row r="4" spans="1:51" ht="15" customHeight="1">
      <c r="A4" s="56">
        <v>43770</v>
      </c>
      <c r="B4" s="24" t="s">
        <v>101</v>
      </c>
      <c r="C4" s="24" t="s">
        <v>102</v>
      </c>
      <c r="D4" s="24">
        <v>4000</v>
      </c>
      <c r="E4" s="24" t="s">
        <v>103</v>
      </c>
      <c r="F4" s="24" t="s">
        <v>100</v>
      </c>
      <c r="G4" s="29" t="s">
        <v>74</v>
      </c>
      <c r="H4" s="24">
        <v>33</v>
      </c>
      <c r="I4" s="30">
        <f t="shared" ref="I4:I43" si="28">IFERROR(M4/L4,"0")</f>
        <v>4.0303030303030303</v>
      </c>
      <c r="J4" s="24">
        <v>35000</v>
      </c>
      <c r="K4" s="29"/>
      <c r="L4" s="29">
        <f t="shared" si="1"/>
        <v>11550</v>
      </c>
      <c r="M4" s="29">
        <f t="shared" si="2"/>
        <v>46550</v>
      </c>
      <c r="N4" s="55">
        <f>M4-(AY4+'2019'!AY4)</f>
        <v>10550</v>
      </c>
      <c r="O4" s="29">
        <v>4000</v>
      </c>
      <c r="P4" s="30">
        <f t="shared" si="3"/>
        <v>3007.5187969924809</v>
      </c>
      <c r="Q4" s="30">
        <f t="shared" si="4"/>
        <v>992.48120300751884</v>
      </c>
      <c r="R4" s="29">
        <v>4000</v>
      </c>
      <c r="S4" s="30">
        <f t="shared" si="5"/>
        <v>3007.5187969924809</v>
      </c>
      <c r="T4" s="19">
        <f t="shared" si="6"/>
        <v>992.48120300751884</v>
      </c>
      <c r="U4" s="127">
        <v>4000</v>
      </c>
      <c r="V4" s="121">
        <f t="shared" si="7"/>
        <v>3007.5187969924809</v>
      </c>
      <c r="W4" s="126">
        <f t="shared" si="8"/>
        <v>992.48120300751884</v>
      </c>
      <c r="X4" s="122">
        <v>4000</v>
      </c>
      <c r="Y4" s="30">
        <f t="shared" si="9"/>
        <v>3007.5187969924809</v>
      </c>
      <c r="Z4" s="19">
        <f t="shared" si="10"/>
        <v>992.48120300751884</v>
      </c>
      <c r="AA4" s="117">
        <v>4000</v>
      </c>
      <c r="AB4" s="30">
        <f t="shared" si="11"/>
        <v>3007.5187969924809</v>
      </c>
      <c r="AC4" s="19">
        <f t="shared" si="12"/>
        <v>992.48120300751884</v>
      </c>
      <c r="AD4" s="29">
        <v>4000</v>
      </c>
      <c r="AE4" s="30">
        <f t="shared" si="13"/>
        <v>3007.5187969924809</v>
      </c>
      <c r="AF4" s="19">
        <f t="shared" si="14"/>
        <v>992.48120300751884</v>
      </c>
      <c r="AG4" s="29">
        <v>4000</v>
      </c>
      <c r="AH4" s="30">
        <f t="shared" si="15"/>
        <v>3007.5187969924809</v>
      </c>
      <c r="AI4" s="19">
        <f t="shared" si="16"/>
        <v>992.48120300751884</v>
      </c>
      <c r="AJ4" s="29"/>
      <c r="AK4" s="30">
        <f t="shared" si="17"/>
        <v>0</v>
      </c>
      <c r="AL4" s="19">
        <f t="shared" si="18"/>
        <v>0</v>
      </c>
      <c r="AM4" s="29"/>
      <c r="AN4" s="30">
        <f t="shared" si="19"/>
        <v>0</v>
      </c>
      <c r="AO4" s="19">
        <f t="shared" si="20"/>
        <v>0</v>
      </c>
      <c r="AP4" s="29"/>
      <c r="AQ4" s="30">
        <f t="shared" si="21"/>
        <v>0</v>
      </c>
      <c r="AR4" s="19">
        <f t="shared" si="22"/>
        <v>0</v>
      </c>
      <c r="AS4" s="29"/>
      <c r="AT4" s="30">
        <f t="shared" si="23"/>
        <v>0</v>
      </c>
      <c r="AU4" s="19">
        <f t="shared" si="24"/>
        <v>0</v>
      </c>
      <c r="AV4" s="29"/>
      <c r="AW4" s="30">
        <f t="shared" si="25"/>
        <v>0</v>
      </c>
      <c r="AX4" s="19">
        <f t="shared" si="26"/>
        <v>0</v>
      </c>
      <c r="AY4" s="25">
        <f t="shared" si="27"/>
        <v>28000</v>
      </c>
    </row>
    <row r="5" spans="1:51" ht="30" customHeight="1">
      <c r="A5" s="56">
        <v>43772</v>
      </c>
      <c r="B5" s="24" t="s">
        <v>104</v>
      </c>
      <c r="C5" s="24" t="s">
        <v>105</v>
      </c>
      <c r="D5" s="24">
        <v>2000</v>
      </c>
      <c r="E5" s="24" t="s">
        <v>106</v>
      </c>
      <c r="F5" s="24" t="s">
        <v>107</v>
      </c>
      <c r="G5" s="29" t="s">
        <v>74</v>
      </c>
      <c r="H5" s="24">
        <v>33</v>
      </c>
      <c r="I5" s="30">
        <f t="shared" si="28"/>
        <v>4.0303030303030303</v>
      </c>
      <c r="J5" s="24">
        <v>16000</v>
      </c>
      <c r="K5" s="29"/>
      <c r="L5" s="29">
        <f t="shared" si="1"/>
        <v>5280</v>
      </c>
      <c r="M5" s="29">
        <f t="shared" si="2"/>
        <v>21280</v>
      </c>
      <c r="N5" s="55">
        <f>M5-(AY5+'2019'!AY5)</f>
        <v>5280</v>
      </c>
      <c r="O5" s="29">
        <v>2000</v>
      </c>
      <c r="P5" s="30">
        <f t="shared" si="3"/>
        <v>1503.7593984962405</v>
      </c>
      <c r="Q5" s="30">
        <f t="shared" si="4"/>
        <v>496.24060150375942</v>
      </c>
      <c r="R5" s="29">
        <v>2000</v>
      </c>
      <c r="S5" s="30">
        <f t="shared" si="5"/>
        <v>1503.7593984962405</v>
      </c>
      <c r="T5" s="19">
        <f t="shared" si="6"/>
        <v>496.24060150375942</v>
      </c>
      <c r="U5" s="127">
        <v>2000</v>
      </c>
      <c r="V5" s="121">
        <f t="shared" si="7"/>
        <v>1503.7593984962405</v>
      </c>
      <c r="W5" s="126">
        <f t="shared" si="8"/>
        <v>496.24060150375942</v>
      </c>
      <c r="X5" s="122">
        <v>2000</v>
      </c>
      <c r="Y5" s="30">
        <f t="shared" si="9"/>
        <v>1503.7593984962405</v>
      </c>
      <c r="Z5" s="19">
        <f t="shared" si="10"/>
        <v>496.24060150375942</v>
      </c>
      <c r="AA5" s="29">
        <v>2000</v>
      </c>
      <c r="AB5" s="30">
        <f t="shared" si="11"/>
        <v>1503.7593984962405</v>
      </c>
      <c r="AC5" s="19">
        <f t="shared" si="12"/>
        <v>496.24060150375942</v>
      </c>
      <c r="AD5" s="29">
        <v>2000</v>
      </c>
      <c r="AE5" s="30">
        <f t="shared" si="13"/>
        <v>1503.7593984962405</v>
      </c>
      <c r="AF5" s="19">
        <f t="shared" si="14"/>
        <v>496.24060150375942</v>
      </c>
      <c r="AG5" s="29"/>
      <c r="AH5" s="30">
        <f t="shared" si="15"/>
        <v>0</v>
      </c>
      <c r="AI5" s="19">
        <f t="shared" si="16"/>
        <v>0</v>
      </c>
      <c r="AJ5" s="29"/>
      <c r="AK5" s="30">
        <f t="shared" si="17"/>
        <v>0</v>
      </c>
      <c r="AL5" s="19">
        <f t="shared" si="18"/>
        <v>0</v>
      </c>
      <c r="AM5" s="29"/>
      <c r="AN5" s="30">
        <f t="shared" si="19"/>
        <v>0</v>
      </c>
      <c r="AO5" s="19">
        <f t="shared" si="20"/>
        <v>0</v>
      </c>
      <c r="AP5" s="29"/>
      <c r="AQ5" s="30">
        <f t="shared" si="21"/>
        <v>0</v>
      </c>
      <c r="AR5" s="19">
        <f t="shared" si="22"/>
        <v>0</v>
      </c>
      <c r="AS5" s="29"/>
      <c r="AT5" s="30">
        <f t="shared" si="23"/>
        <v>0</v>
      </c>
      <c r="AU5" s="19">
        <f t="shared" si="24"/>
        <v>0</v>
      </c>
      <c r="AV5" s="29"/>
      <c r="AW5" s="30">
        <f t="shared" si="25"/>
        <v>0</v>
      </c>
      <c r="AX5" s="19">
        <f t="shared" si="26"/>
        <v>0</v>
      </c>
      <c r="AY5" s="25">
        <f t="shared" si="27"/>
        <v>12000</v>
      </c>
    </row>
    <row r="6" spans="1:51" ht="25.5">
      <c r="A6" s="56">
        <v>43774</v>
      </c>
      <c r="B6" s="24" t="s">
        <v>108</v>
      </c>
      <c r="C6" s="24"/>
      <c r="D6" s="24">
        <v>5000</v>
      </c>
      <c r="E6" s="24" t="s">
        <v>109</v>
      </c>
      <c r="F6" s="24" t="s">
        <v>228</v>
      </c>
      <c r="G6" s="29" t="s">
        <v>74</v>
      </c>
      <c r="H6" s="24">
        <v>33</v>
      </c>
      <c r="I6" s="30">
        <f t="shared" si="28"/>
        <v>4.0303030303030303</v>
      </c>
      <c r="J6" s="24">
        <f>23500+15940</f>
        <v>39440</v>
      </c>
      <c r="K6" s="29"/>
      <c r="L6" s="29">
        <f t="shared" si="1"/>
        <v>13015.2</v>
      </c>
      <c r="M6" s="29">
        <f t="shared" si="2"/>
        <v>52455.199999999997</v>
      </c>
      <c r="N6" s="58">
        <f>M6-(AY6+'2019'!AY6)</f>
        <v>17455.199999999997</v>
      </c>
      <c r="O6" s="29">
        <v>5000</v>
      </c>
      <c r="P6" s="30">
        <f t="shared" si="3"/>
        <v>3759.3984962406012</v>
      </c>
      <c r="Q6" s="30">
        <f t="shared" si="4"/>
        <v>1240.6015037593986</v>
      </c>
      <c r="R6" s="29">
        <v>5000</v>
      </c>
      <c r="S6" s="30">
        <f t="shared" si="5"/>
        <v>3759.3984962406012</v>
      </c>
      <c r="T6" s="19">
        <f t="shared" si="6"/>
        <v>1240.6015037593986</v>
      </c>
      <c r="U6" s="127">
        <v>5000</v>
      </c>
      <c r="V6" s="121">
        <f t="shared" si="7"/>
        <v>3759.3984962406012</v>
      </c>
      <c r="W6" s="126">
        <f t="shared" si="8"/>
        <v>1240.6015037593986</v>
      </c>
      <c r="X6" s="122"/>
      <c r="Y6" s="30">
        <f t="shared" si="9"/>
        <v>0</v>
      </c>
      <c r="Z6" s="19">
        <f t="shared" si="10"/>
        <v>0</v>
      </c>
      <c r="AA6" s="29"/>
      <c r="AB6" s="30">
        <f t="shared" si="11"/>
        <v>0</v>
      </c>
      <c r="AC6" s="19">
        <f t="shared" si="12"/>
        <v>0</v>
      </c>
      <c r="AD6" s="29">
        <v>5000</v>
      </c>
      <c r="AE6" s="30">
        <f t="shared" si="13"/>
        <v>3759.3984962406012</v>
      </c>
      <c r="AF6" s="19">
        <f t="shared" si="14"/>
        <v>1240.6015037593986</v>
      </c>
      <c r="AG6" s="29">
        <v>5000</v>
      </c>
      <c r="AH6" s="30">
        <f t="shared" si="15"/>
        <v>3759.3984962406012</v>
      </c>
      <c r="AI6" s="19">
        <f t="shared" si="16"/>
        <v>1240.6015037593986</v>
      </c>
      <c r="AJ6" s="29"/>
      <c r="AK6" s="30">
        <f t="shared" si="17"/>
        <v>0</v>
      </c>
      <c r="AL6" s="19">
        <f t="shared" si="18"/>
        <v>0</v>
      </c>
      <c r="AM6" s="29"/>
      <c r="AN6" s="30">
        <f t="shared" si="19"/>
        <v>0</v>
      </c>
      <c r="AO6" s="19">
        <f t="shared" si="20"/>
        <v>0</v>
      </c>
      <c r="AP6" s="29"/>
      <c r="AQ6" s="30">
        <f t="shared" si="21"/>
        <v>0</v>
      </c>
      <c r="AR6" s="19">
        <f t="shared" si="22"/>
        <v>0</v>
      </c>
      <c r="AS6" s="29"/>
      <c r="AT6" s="30">
        <f t="shared" si="23"/>
        <v>0</v>
      </c>
      <c r="AU6" s="19">
        <f t="shared" si="24"/>
        <v>0</v>
      </c>
      <c r="AV6" s="29"/>
      <c r="AW6" s="30">
        <f t="shared" si="25"/>
        <v>0</v>
      </c>
      <c r="AX6" s="19">
        <f t="shared" si="26"/>
        <v>0</v>
      </c>
      <c r="AY6" s="25">
        <f t="shared" si="27"/>
        <v>25000</v>
      </c>
    </row>
    <row r="7" spans="1:51" ht="38.25">
      <c r="A7" s="56">
        <v>43775</v>
      </c>
      <c r="B7" s="24" t="s">
        <v>111</v>
      </c>
      <c r="C7" s="24" t="s">
        <v>112</v>
      </c>
      <c r="D7" s="24">
        <v>4500</v>
      </c>
      <c r="E7" s="24" t="s">
        <v>113</v>
      </c>
      <c r="F7" s="24" t="s">
        <v>114</v>
      </c>
      <c r="G7" s="29" t="s">
        <v>74</v>
      </c>
      <c r="H7" s="24">
        <v>33</v>
      </c>
      <c r="I7" s="30">
        <f t="shared" si="28"/>
        <v>4.0303030303030303</v>
      </c>
      <c r="J7" s="24">
        <v>38000</v>
      </c>
      <c r="K7" s="29"/>
      <c r="L7" s="29">
        <f t="shared" si="1"/>
        <v>12540</v>
      </c>
      <c r="M7" s="29">
        <f t="shared" si="2"/>
        <v>50540</v>
      </c>
      <c r="N7" s="55">
        <f>M7-(AY7+'2019'!AY7)</f>
        <v>18540</v>
      </c>
      <c r="O7" s="29">
        <v>3000</v>
      </c>
      <c r="P7" s="30">
        <f t="shared" si="3"/>
        <v>2255.6390977443607</v>
      </c>
      <c r="Q7" s="30">
        <f t="shared" si="4"/>
        <v>744.36090225563908</v>
      </c>
      <c r="R7" s="29">
        <v>3000</v>
      </c>
      <c r="S7" s="30">
        <f t="shared" si="5"/>
        <v>2255.6390977443607</v>
      </c>
      <c r="T7" s="19">
        <f t="shared" si="6"/>
        <v>744.36090225563908</v>
      </c>
      <c r="U7" s="127">
        <v>3000</v>
      </c>
      <c r="V7" s="121">
        <f t="shared" si="7"/>
        <v>2255.6390977443607</v>
      </c>
      <c r="W7" s="126">
        <f t="shared" si="8"/>
        <v>744.36090225563908</v>
      </c>
      <c r="X7" s="122">
        <v>3000</v>
      </c>
      <c r="Y7" s="30">
        <f t="shared" si="9"/>
        <v>2255.6390977443607</v>
      </c>
      <c r="Z7" s="19">
        <f t="shared" si="10"/>
        <v>744.36090225563908</v>
      </c>
      <c r="AA7" s="29">
        <v>3000</v>
      </c>
      <c r="AB7" s="30">
        <f t="shared" si="11"/>
        <v>2255.6390977443607</v>
      </c>
      <c r="AC7" s="19">
        <f t="shared" si="12"/>
        <v>744.36090225563908</v>
      </c>
      <c r="AD7" s="29">
        <v>3000</v>
      </c>
      <c r="AE7" s="30">
        <f t="shared" si="13"/>
        <v>2255.6390977443607</v>
      </c>
      <c r="AF7" s="19">
        <f t="shared" si="14"/>
        <v>744.36090225563908</v>
      </c>
      <c r="AG7" s="29">
        <v>3000</v>
      </c>
      <c r="AH7" s="30">
        <f t="shared" si="15"/>
        <v>2255.6390977443607</v>
      </c>
      <c r="AI7" s="19">
        <f t="shared" si="16"/>
        <v>744.36090225563908</v>
      </c>
      <c r="AJ7" s="29"/>
      <c r="AK7" s="30">
        <f t="shared" si="17"/>
        <v>0</v>
      </c>
      <c r="AL7" s="19">
        <f t="shared" si="18"/>
        <v>0</v>
      </c>
      <c r="AM7" s="29"/>
      <c r="AN7" s="30">
        <f t="shared" si="19"/>
        <v>0</v>
      </c>
      <c r="AO7" s="19">
        <f t="shared" si="20"/>
        <v>0</v>
      </c>
      <c r="AP7" s="29"/>
      <c r="AQ7" s="30">
        <f t="shared" si="21"/>
        <v>0</v>
      </c>
      <c r="AR7" s="19">
        <f t="shared" si="22"/>
        <v>0</v>
      </c>
      <c r="AS7" s="29"/>
      <c r="AT7" s="30">
        <f t="shared" si="23"/>
        <v>0</v>
      </c>
      <c r="AU7" s="19">
        <f t="shared" si="24"/>
        <v>0</v>
      </c>
      <c r="AV7" s="29"/>
      <c r="AW7" s="30">
        <f t="shared" si="25"/>
        <v>0</v>
      </c>
      <c r="AX7" s="19">
        <f t="shared" si="26"/>
        <v>0</v>
      </c>
      <c r="AY7" s="25">
        <f t="shared" si="27"/>
        <v>21000</v>
      </c>
    </row>
    <row r="8" spans="1:51" ht="38.25">
      <c r="A8" s="56">
        <v>43778</v>
      </c>
      <c r="B8" s="24" t="s">
        <v>115</v>
      </c>
      <c r="C8" s="24" t="s">
        <v>116</v>
      </c>
      <c r="D8" s="24">
        <v>3500</v>
      </c>
      <c r="E8" s="24" t="s">
        <v>113</v>
      </c>
      <c r="F8" s="24" t="s">
        <v>117</v>
      </c>
      <c r="G8" s="29" t="s">
        <v>74</v>
      </c>
      <c r="H8" s="24">
        <v>33</v>
      </c>
      <c r="I8" s="30">
        <f t="shared" si="28"/>
        <v>4.0303030303030303</v>
      </c>
      <c r="J8" s="24">
        <v>29500</v>
      </c>
      <c r="K8" s="29"/>
      <c r="L8" s="29">
        <f t="shared" si="1"/>
        <v>9735</v>
      </c>
      <c r="M8" s="29">
        <f t="shared" si="2"/>
        <v>39235</v>
      </c>
      <c r="N8" s="55">
        <f>M8-(AY8+'2019'!AY8)</f>
        <v>9235</v>
      </c>
      <c r="O8" s="29">
        <v>3000</v>
      </c>
      <c r="P8" s="30">
        <f t="shared" si="3"/>
        <v>2255.6390977443607</v>
      </c>
      <c r="Q8" s="30">
        <f t="shared" si="4"/>
        <v>744.36090225563908</v>
      </c>
      <c r="R8" s="29">
        <v>3000</v>
      </c>
      <c r="S8" s="30">
        <f t="shared" si="5"/>
        <v>2255.6390977443607</v>
      </c>
      <c r="T8" s="19">
        <f t="shared" si="6"/>
        <v>744.36090225563908</v>
      </c>
      <c r="U8" s="127">
        <v>3000</v>
      </c>
      <c r="V8" s="121">
        <f t="shared" si="7"/>
        <v>2255.6390977443607</v>
      </c>
      <c r="W8" s="126">
        <f t="shared" si="8"/>
        <v>744.36090225563908</v>
      </c>
      <c r="X8" s="122">
        <v>3000</v>
      </c>
      <c r="Y8" s="30">
        <f t="shared" si="9"/>
        <v>2255.6390977443607</v>
      </c>
      <c r="Z8" s="19">
        <f t="shared" si="10"/>
        <v>744.36090225563908</v>
      </c>
      <c r="AA8" s="29">
        <v>3000</v>
      </c>
      <c r="AB8" s="30">
        <f t="shared" si="11"/>
        <v>2255.6390977443607</v>
      </c>
      <c r="AC8" s="19">
        <f t="shared" si="12"/>
        <v>744.36090225563908</v>
      </c>
      <c r="AD8" s="29">
        <v>3000</v>
      </c>
      <c r="AE8" s="30">
        <f t="shared" si="13"/>
        <v>2255.6390977443607</v>
      </c>
      <c r="AF8" s="19">
        <f t="shared" si="14"/>
        <v>744.36090225563908</v>
      </c>
      <c r="AG8" s="29">
        <v>3000</v>
      </c>
      <c r="AH8" s="30">
        <f t="shared" si="15"/>
        <v>2255.6390977443607</v>
      </c>
      <c r="AI8" s="19">
        <f t="shared" si="16"/>
        <v>744.36090225563908</v>
      </c>
      <c r="AJ8" s="29"/>
      <c r="AK8" s="30">
        <f t="shared" si="17"/>
        <v>0</v>
      </c>
      <c r="AL8" s="19">
        <f t="shared" si="18"/>
        <v>0</v>
      </c>
      <c r="AM8" s="29"/>
      <c r="AN8" s="30">
        <f t="shared" si="19"/>
        <v>0</v>
      </c>
      <c r="AO8" s="19">
        <f t="shared" si="20"/>
        <v>0</v>
      </c>
      <c r="AP8" s="29"/>
      <c r="AQ8" s="30">
        <f t="shared" si="21"/>
        <v>0</v>
      </c>
      <c r="AR8" s="19">
        <f t="shared" si="22"/>
        <v>0</v>
      </c>
      <c r="AS8" s="29"/>
      <c r="AT8" s="30">
        <f t="shared" si="23"/>
        <v>0</v>
      </c>
      <c r="AU8" s="19">
        <f t="shared" si="24"/>
        <v>0</v>
      </c>
      <c r="AV8" s="29"/>
      <c r="AW8" s="30">
        <f t="shared" si="25"/>
        <v>0</v>
      </c>
      <c r="AX8" s="19">
        <f t="shared" si="26"/>
        <v>0</v>
      </c>
      <c r="AY8" s="25">
        <f t="shared" si="27"/>
        <v>21000</v>
      </c>
    </row>
    <row r="9" spans="1:51" ht="25.5">
      <c r="A9" s="56">
        <v>43787</v>
      </c>
      <c r="B9" s="24" t="s">
        <v>118</v>
      </c>
      <c r="C9" s="24" t="s">
        <v>119</v>
      </c>
      <c r="D9" s="24">
        <v>3500</v>
      </c>
      <c r="E9" s="24" t="s">
        <v>120</v>
      </c>
      <c r="F9" s="24" t="s">
        <v>100</v>
      </c>
      <c r="G9" s="29" t="s">
        <v>74</v>
      </c>
      <c r="H9" s="24">
        <v>33</v>
      </c>
      <c r="I9" s="30">
        <f t="shared" si="28"/>
        <v>4.0303030303030303</v>
      </c>
      <c r="J9" s="24">
        <v>31000</v>
      </c>
      <c r="K9" s="29"/>
      <c r="L9" s="29">
        <f t="shared" si="1"/>
        <v>10230</v>
      </c>
      <c r="M9" s="29">
        <f t="shared" si="2"/>
        <v>41230</v>
      </c>
      <c r="N9" s="55">
        <f>M9-(AY9+'2019'!AY9)</f>
        <v>9730</v>
      </c>
      <c r="O9" s="29">
        <v>3500</v>
      </c>
      <c r="P9" s="30">
        <f t="shared" si="3"/>
        <v>2631.5789473684208</v>
      </c>
      <c r="Q9" s="30">
        <f t="shared" si="4"/>
        <v>868.42105263157896</v>
      </c>
      <c r="R9" s="29">
        <v>3500</v>
      </c>
      <c r="S9" s="30">
        <f t="shared" si="5"/>
        <v>2631.5789473684208</v>
      </c>
      <c r="T9" s="19">
        <f t="shared" si="6"/>
        <v>868.42105263157896</v>
      </c>
      <c r="U9" s="127">
        <v>3500</v>
      </c>
      <c r="V9" s="121">
        <f t="shared" si="7"/>
        <v>2631.5789473684208</v>
      </c>
      <c r="W9" s="126">
        <f t="shared" si="8"/>
        <v>868.42105263157896</v>
      </c>
      <c r="X9" s="122">
        <v>3500</v>
      </c>
      <c r="Y9" s="30">
        <f t="shared" si="9"/>
        <v>2631.5789473684208</v>
      </c>
      <c r="Z9" s="19">
        <f t="shared" si="10"/>
        <v>868.42105263157896</v>
      </c>
      <c r="AA9" s="29">
        <v>3500</v>
      </c>
      <c r="AB9" s="30">
        <f t="shared" si="11"/>
        <v>2631.5789473684208</v>
      </c>
      <c r="AC9" s="19">
        <f t="shared" si="12"/>
        <v>868.42105263157896</v>
      </c>
      <c r="AD9" s="29">
        <v>3500</v>
      </c>
      <c r="AE9" s="30">
        <f t="shared" si="13"/>
        <v>2631.5789473684208</v>
      </c>
      <c r="AF9" s="19">
        <f t="shared" si="14"/>
        <v>868.42105263157896</v>
      </c>
      <c r="AG9" s="29">
        <v>3500</v>
      </c>
      <c r="AH9" s="30">
        <f t="shared" si="15"/>
        <v>2631.5789473684208</v>
      </c>
      <c r="AI9" s="19">
        <f t="shared" si="16"/>
        <v>868.42105263157896</v>
      </c>
      <c r="AJ9" s="29"/>
      <c r="AK9" s="30">
        <f t="shared" si="17"/>
        <v>0</v>
      </c>
      <c r="AL9" s="19">
        <f t="shared" si="18"/>
        <v>0</v>
      </c>
      <c r="AM9" s="29"/>
      <c r="AN9" s="30">
        <f t="shared" si="19"/>
        <v>0</v>
      </c>
      <c r="AO9" s="19">
        <f t="shared" si="20"/>
        <v>0</v>
      </c>
      <c r="AP9" s="29"/>
      <c r="AQ9" s="30">
        <f t="shared" si="21"/>
        <v>0</v>
      </c>
      <c r="AR9" s="19">
        <f t="shared" si="22"/>
        <v>0</v>
      </c>
      <c r="AS9" s="29"/>
      <c r="AT9" s="30">
        <f t="shared" si="23"/>
        <v>0</v>
      </c>
      <c r="AU9" s="19">
        <f t="shared" si="24"/>
        <v>0</v>
      </c>
      <c r="AV9" s="29"/>
      <c r="AW9" s="30">
        <f t="shared" si="25"/>
        <v>0</v>
      </c>
      <c r="AX9" s="19">
        <f t="shared" si="26"/>
        <v>0</v>
      </c>
      <c r="AY9" s="25">
        <f t="shared" si="27"/>
        <v>24500</v>
      </c>
    </row>
    <row r="10" spans="1:51" ht="25.5">
      <c r="A10" s="56">
        <v>43788</v>
      </c>
      <c r="B10" s="24" t="s">
        <v>42</v>
      </c>
      <c r="C10" s="24" t="s">
        <v>121</v>
      </c>
      <c r="D10" s="24">
        <v>3500</v>
      </c>
      <c r="E10" s="24" t="s">
        <v>122</v>
      </c>
      <c r="F10" s="24" t="s">
        <v>117</v>
      </c>
      <c r="G10" s="29" t="s">
        <v>74</v>
      </c>
      <c r="H10" s="24">
        <v>33</v>
      </c>
      <c r="I10" s="30">
        <f t="shared" si="28"/>
        <v>4.0303030303030303</v>
      </c>
      <c r="J10" s="24">
        <v>29000</v>
      </c>
      <c r="K10" s="29"/>
      <c r="L10" s="29">
        <f t="shared" si="1"/>
        <v>9570</v>
      </c>
      <c r="M10" s="29">
        <f t="shared" si="2"/>
        <v>38570</v>
      </c>
      <c r="N10" s="55">
        <f>M10-(AY10+'2019'!AY10)</f>
        <v>14070</v>
      </c>
      <c r="O10" s="29">
        <v>3500</v>
      </c>
      <c r="P10" s="30">
        <f t="shared" si="3"/>
        <v>2631.5789473684208</v>
      </c>
      <c r="Q10" s="30">
        <f t="shared" si="4"/>
        <v>868.42105263157896</v>
      </c>
      <c r="R10" s="29">
        <v>3500</v>
      </c>
      <c r="S10" s="30">
        <f t="shared" si="5"/>
        <v>2631.5789473684208</v>
      </c>
      <c r="T10" s="19">
        <f t="shared" si="6"/>
        <v>868.42105263157896</v>
      </c>
      <c r="U10" s="127">
        <v>3500</v>
      </c>
      <c r="V10" s="121">
        <f t="shared" si="7"/>
        <v>2631.5789473684208</v>
      </c>
      <c r="W10" s="126">
        <f t="shared" si="8"/>
        <v>868.42105263157896</v>
      </c>
      <c r="X10" s="122">
        <v>3500</v>
      </c>
      <c r="Y10" s="30">
        <f t="shared" si="9"/>
        <v>2631.5789473684208</v>
      </c>
      <c r="Z10" s="19">
        <f t="shared" si="10"/>
        <v>868.42105263157896</v>
      </c>
      <c r="AA10" s="29">
        <v>3500</v>
      </c>
      <c r="AB10" s="30">
        <f t="shared" si="11"/>
        <v>2631.5789473684208</v>
      </c>
      <c r="AC10" s="19">
        <f t="shared" si="12"/>
        <v>868.42105263157896</v>
      </c>
      <c r="AD10" s="29"/>
      <c r="AE10" s="30">
        <f t="shared" si="13"/>
        <v>0</v>
      </c>
      <c r="AF10" s="19">
        <f t="shared" si="14"/>
        <v>0</v>
      </c>
      <c r="AG10" s="29"/>
      <c r="AH10" s="30">
        <f t="shared" si="15"/>
        <v>0</v>
      </c>
      <c r="AI10" s="19">
        <f t="shared" si="16"/>
        <v>0</v>
      </c>
      <c r="AJ10" s="29"/>
      <c r="AK10" s="30">
        <f t="shared" si="17"/>
        <v>0</v>
      </c>
      <c r="AL10" s="19">
        <f t="shared" si="18"/>
        <v>0</v>
      </c>
      <c r="AM10" s="29"/>
      <c r="AN10" s="30">
        <f t="shared" si="19"/>
        <v>0</v>
      </c>
      <c r="AO10" s="19">
        <f t="shared" si="20"/>
        <v>0</v>
      </c>
      <c r="AP10" s="29"/>
      <c r="AQ10" s="30">
        <f t="shared" si="21"/>
        <v>0</v>
      </c>
      <c r="AR10" s="19">
        <f t="shared" si="22"/>
        <v>0</v>
      </c>
      <c r="AS10" s="29"/>
      <c r="AT10" s="30">
        <f t="shared" si="23"/>
        <v>0</v>
      </c>
      <c r="AU10" s="19">
        <f t="shared" si="24"/>
        <v>0</v>
      </c>
      <c r="AV10" s="29"/>
      <c r="AW10" s="30">
        <f t="shared" si="25"/>
        <v>0</v>
      </c>
      <c r="AX10" s="19">
        <f t="shared" si="26"/>
        <v>0</v>
      </c>
      <c r="AY10" s="25">
        <f t="shared" si="27"/>
        <v>17500</v>
      </c>
    </row>
    <row r="11" spans="1:51" ht="25.5">
      <c r="A11" s="56">
        <v>43791</v>
      </c>
      <c r="B11" s="24" t="s">
        <v>43</v>
      </c>
      <c r="C11" s="24"/>
      <c r="D11" s="24">
        <v>10000</v>
      </c>
      <c r="E11" s="24" t="s">
        <v>120</v>
      </c>
      <c r="F11" s="24" t="s">
        <v>123</v>
      </c>
      <c r="G11" s="29" t="s">
        <v>74</v>
      </c>
      <c r="H11" s="24">
        <v>33</v>
      </c>
      <c r="I11" s="30">
        <f t="shared" si="28"/>
        <v>4.0303030303030303</v>
      </c>
      <c r="J11" s="24">
        <v>80500</v>
      </c>
      <c r="K11" s="29"/>
      <c r="L11" s="29">
        <f t="shared" si="1"/>
        <v>26565</v>
      </c>
      <c r="M11" s="29">
        <f t="shared" si="2"/>
        <v>107065</v>
      </c>
      <c r="N11" s="55">
        <f>M11-(AY11+'2019'!AY11)</f>
        <v>32065</v>
      </c>
      <c r="O11" s="29"/>
      <c r="P11" s="30">
        <f t="shared" si="3"/>
        <v>0</v>
      </c>
      <c r="Q11" s="30">
        <f t="shared" si="4"/>
        <v>0</v>
      </c>
      <c r="R11" s="29"/>
      <c r="S11" s="30">
        <f t="shared" si="5"/>
        <v>0</v>
      </c>
      <c r="T11" s="19">
        <f t="shared" si="6"/>
        <v>0</v>
      </c>
      <c r="U11" s="127"/>
      <c r="V11" s="121">
        <f t="shared" si="7"/>
        <v>0</v>
      </c>
      <c r="W11" s="126">
        <f t="shared" si="8"/>
        <v>0</v>
      </c>
      <c r="X11" s="122"/>
      <c r="Y11" s="30">
        <f t="shared" si="9"/>
        <v>0</v>
      </c>
      <c r="Z11" s="19">
        <f t="shared" si="10"/>
        <v>0</v>
      </c>
      <c r="AA11" s="29">
        <v>10000</v>
      </c>
      <c r="AB11" s="30">
        <f t="shared" si="11"/>
        <v>7518.7969924812023</v>
      </c>
      <c r="AC11" s="19">
        <f t="shared" si="12"/>
        <v>2481.2030075187972</v>
      </c>
      <c r="AD11" s="29">
        <v>10000</v>
      </c>
      <c r="AE11" s="30">
        <f t="shared" si="13"/>
        <v>7518.7969924812023</v>
      </c>
      <c r="AF11" s="19">
        <f t="shared" si="14"/>
        <v>2481.2030075187972</v>
      </c>
      <c r="AG11" s="29">
        <v>10000</v>
      </c>
      <c r="AH11" s="30">
        <f t="shared" si="15"/>
        <v>7518.7969924812023</v>
      </c>
      <c r="AI11" s="19">
        <f t="shared" si="16"/>
        <v>2481.2030075187972</v>
      </c>
      <c r="AJ11" s="29"/>
      <c r="AK11" s="30">
        <f t="shared" si="17"/>
        <v>0</v>
      </c>
      <c r="AL11" s="19">
        <f t="shared" si="18"/>
        <v>0</v>
      </c>
      <c r="AM11" s="29"/>
      <c r="AN11" s="30">
        <f t="shared" si="19"/>
        <v>0</v>
      </c>
      <c r="AO11" s="19">
        <f t="shared" si="20"/>
        <v>0</v>
      </c>
      <c r="AP11" s="29"/>
      <c r="AQ11" s="30">
        <f t="shared" si="21"/>
        <v>0</v>
      </c>
      <c r="AR11" s="19">
        <f t="shared" si="22"/>
        <v>0</v>
      </c>
      <c r="AS11" s="29"/>
      <c r="AT11" s="30">
        <f t="shared" si="23"/>
        <v>0</v>
      </c>
      <c r="AU11" s="19">
        <f t="shared" si="24"/>
        <v>0</v>
      </c>
      <c r="AV11" s="29"/>
      <c r="AW11" s="30">
        <f t="shared" si="25"/>
        <v>0</v>
      </c>
      <c r="AX11" s="19">
        <f t="shared" si="26"/>
        <v>0</v>
      </c>
      <c r="AY11" s="25">
        <f t="shared" si="27"/>
        <v>30000</v>
      </c>
    </row>
    <row r="12" spans="1:51" ht="24">
      <c r="A12" s="56">
        <v>43794</v>
      </c>
      <c r="B12" s="24" t="s">
        <v>124</v>
      </c>
      <c r="C12" s="24" t="s">
        <v>125</v>
      </c>
      <c r="D12" s="24">
        <v>5000</v>
      </c>
      <c r="E12" s="24" t="s">
        <v>126</v>
      </c>
      <c r="F12" s="24" t="s">
        <v>127</v>
      </c>
      <c r="G12" s="29" t="s">
        <v>74</v>
      </c>
      <c r="H12" s="24">
        <v>33</v>
      </c>
      <c r="I12" s="30">
        <f t="shared" si="28"/>
        <v>4.0303030303030303</v>
      </c>
      <c r="J12" s="24">
        <v>43000</v>
      </c>
      <c r="K12" s="29"/>
      <c r="L12" s="29">
        <f t="shared" si="1"/>
        <v>14190</v>
      </c>
      <c r="M12" s="29">
        <f t="shared" si="2"/>
        <v>57190</v>
      </c>
      <c r="N12" s="55">
        <f>M12-(AY12+'2019'!AY12)</f>
        <v>10000</v>
      </c>
      <c r="O12" s="29">
        <v>5000</v>
      </c>
      <c r="P12" s="30">
        <f t="shared" si="3"/>
        <v>3759.3984962406012</v>
      </c>
      <c r="Q12" s="30">
        <f t="shared" si="4"/>
        <v>1240.6015037593986</v>
      </c>
      <c r="R12" s="29">
        <v>5000</v>
      </c>
      <c r="S12" s="30">
        <f t="shared" si="5"/>
        <v>3759.3984962406012</v>
      </c>
      <c r="T12" s="19">
        <f t="shared" si="6"/>
        <v>1240.6015037593986</v>
      </c>
      <c r="U12" s="127">
        <v>5000</v>
      </c>
      <c r="V12" s="121">
        <f t="shared" si="7"/>
        <v>3759.3984962406012</v>
      </c>
      <c r="W12" s="126">
        <f t="shared" si="8"/>
        <v>1240.6015037593986</v>
      </c>
      <c r="X12" s="122">
        <v>5000</v>
      </c>
      <c r="Y12" s="30">
        <f t="shared" si="9"/>
        <v>3759.3984962406012</v>
      </c>
      <c r="Z12" s="19">
        <f t="shared" si="10"/>
        <v>1240.6015037593986</v>
      </c>
      <c r="AA12" s="29">
        <v>5000</v>
      </c>
      <c r="AB12" s="30">
        <f t="shared" si="11"/>
        <v>3759.3984962406012</v>
      </c>
      <c r="AC12" s="19">
        <f t="shared" si="12"/>
        <v>1240.6015037593986</v>
      </c>
      <c r="AD12" s="29">
        <v>7190</v>
      </c>
      <c r="AE12" s="30">
        <f t="shared" si="13"/>
        <v>5406.0150375939847</v>
      </c>
      <c r="AF12" s="19">
        <f t="shared" si="14"/>
        <v>1783.984962406015</v>
      </c>
      <c r="AG12" s="29">
        <v>5000</v>
      </c>
      <c r="AH12" s="30">
        <f t="shared" si="15"/>
        <v>3759.3984962406012</v>
      </c>
      <c r="AI12" s="19">
        <f t="shared" si="16"/>
        <v>1240.6015037593986</v>
      </c>
      <c r="AJ12" s="29"/>
      <c r="AK12" s="30">
        <f t="shared" si="17"/>
        <v>0</v>
      </c>
      <c r="AL12" s="19">
        <f t="shared" si="18"/>
        <v>0</v>
      </c>
      <c r="AM12" s="29"/>
      <c r="AN12" s="30">
        <f t="shared" si="19"/>
        <v>0</v>
      </c>
      <c r="AO12" s="19">
        <f t="shared" si="20"/>
        <v>0</v>
      </c>
      <c r="AP12" s="29"/>
      <c r="AQ12" s="30">
        <f t="shared" si="21"/>
        <v>0</v>
      </c>
      <c r="AR12" s="19">
        <f t="shared" si="22"/>
        <v>0</v>
      </c>
      <c r="AS12" s="29"/>
      <c r="AT12" s="30">
        <f t="shared" si="23"/>
        <v>0</v>
      </c>
      <c r="AU12" s="19">
        <f t="shared" si="24"/>
        <v>0</v>
      </c>
      <c r="AV12" s="29"/>
      <c r="AW12" s="30">
        <f t="shared" si="25"/>
        <v>0</v>
      </c>
      <c r="AX12" s="19">
        <f t="shared" si="26"/>
        <v>0</v>
      </c>
      <c r="AY12" s="25">
        <f t="shared" si="27"/>
        <v>37190</v>
      </c>
    </row>
    <row r="13" spans="1:51" ht="38.25">
      <c r="A13" s="56">
        <v>43794</v>
      </c>
      <c r="B13" s="24" t="s">
        <v>128</v>
      </c>
      <c r="C13" s="24" t="s">
        <v>129</v>
      </c>
      <c r="D13" s="24">
        <v>25000</v>
      </c>
      <c r="E13" s="24" t="s">
        <v>120</v>
      </c>
      <c r="F13" s="24" t="s">
        <v>130</v>
      </c>
      <c r="G13" s="29" t="s">
        <v>74</v>
      </c>
      <c r="H13" s="24">
        <v>33</v>
      </c>
      <c r="I13" s="30">
        <f t="shared" si="28"/>
        <v>4.0303030303030303</v>
      </c>
      <c r="J13" s="24">
        <v>228000</v>
      </c>
      <c r="K13" s="29"/>
      <c r="L13" s="29">
        <f t="shared" si="1"/>
        <v>75240</v>
      </c>
      <c r="M13" s="29">
        <f t="shared" si="2"/>
        <v>303240</v>
      </c>
      <c r="N13" s="55">
        <f>M13-(AY13+'2019'!AY13)</f>
        <v>178240</v>
      </c>
      <c r="O13" s="29">
        <v>25000</v>
      </c>
      <c r="P13" s="30">
        <f t="shared" si="3"/>
        <v>18796.992481203008</v>
      </c>
      <c r="Q13" s="30">
        <f t="shared" si="4"/>
        <v>6203.0075187969924</v>
      </c>
      <c r="R13" s="29">
        <v>25000</v>
      </c>
      <c r="S13" s="30">
        <f t="shared" si="5"/>
        <v>18796.992481203008</v>
      </c>
      <c r="T13" s="19">
        <f t="shared" si="6"/>
        <v>6203.0075187969924</v>
      </c>
      <c r="U13" s="127"/>
      <c r="V13" s="121">
        <f t="shared" si="7"/>
        <v>0</v>
      </c>
      <c r="W13" s="126">
        <f t="shared" si="8"/>
        <v>0</v>
      </c>
      <c r="X13" s="122"/>
      <c r="Y13" s="30">
        <f t="shared" si="9"/>
        <v>0</v>
      </c>
      <c r="Z13" s="19">
        <f t="shared" si="10"/>
        <v>0</v>
      </c>
      <c r="AA13" s="29">
        <v>25000</v>
      </c>
      <c r="AB13" s="30">
        <f t="shared" si="11"/>
        <v>18796.992481203008</v>
      </c>
      <c r="AC13" s="19">
        <f t="shared" si="12"/>
        <v>6203.0075187969924</v>
      </c>
      <c r="AD13" s="29"/>
      <c r="AE13" s="30">
        <f t="shared" si="13"/>
        <v>0</v>
      </c>
      <c r="AF13" s="19">
        <f t="shared" si="14"/>
        <v>0</v>
      </c>
      <c r="AG13" s="29"/>
      <c r="AH13" s="30">
        <f t="shared" si="15"/>
        <v>0</v>
      </c>
      <c r="AI13" s="19">
        <f t="shared" si="16"/>
        <v>0</v>
      </c>
      <c r="AJ13" s="29"/>
      <c r="AK13" s="30">
        <f t="shared" si="17"/>
        <v>0</v>
      </c>
      <c r="AL13" s="19">
        <f t="shared" si="18"/>
        <v>0</v>
      </c>
      <c r="AM13" s="29"/>
      <c r="AN13" s="30">
        <f t="shared" si="19"/>
        <v>0</v>
      </c>
      <c r="AO13" s="19">
        <f t="shared" si="20"/>
        <v>0</v>
      </c>
      <c r="AP13" s="29"/>
      <c r="AQ13" s="30">
        <f t="shared" si="21"/>
        <v>0</v>
      </c>
      <c r="AR13" s="19">
        <f t="shared" si="22"/>
        <v>0</v>
      </c>
      <c r="AS13" s="29"/>
      <c r="AT13" s="30">
        <f t="shared" si="23"/>
        <v>0</v>
      </c>
      <c r="AU13" s="19">
        <f t="shared" si="24"/>
        <v>0</v>
      </c>
      <c r="AV13" s="29"/>
      <c r="AW13" s="30">
        <f t="shared" si="25"/>
        <v>0</v>
      </c>
      <c r="AX13" s="19">
        <f t="shared" si="26"/>
        <v>0</v>
      </c>
      <c r="AY13" s="25">
        <f t="shared" si="27"/>
        <v>75000</v>
      </c>
    </row>
    <row r="14" spans="1:51" ht="25.5">
      <c r="A14" s="56">
        <v>43796</v>
      </c>
      <c r="B14" s="24" t="s">
        <v>131</v>
      </c>
      <c r="C14" s="24" t="s">
        <v>132</v>
      </c>
      <c r="D14" s="24">
        <v>5000</v>
      </c>
      <c r="E14" s="24" t="s">
        <v>133</v>
      </c>
      <c r="F14" s="24" t="s">
        <v>134</v>
      </c>
      <c r="G14" s="29" t="s">
        <v>74</v>
      </c>
      <c r="H14" s="24">
        <v>33</v>
      </c>
      <c r="I14" s="30">
        <f t="shared" si="28"/>
        <v>4.0303030303030303</v>
      </c>
      <c r="J14" s="24">
        <v>43000</v>
      </c>
      <c r="K14" s="29"/>
      <c r="L14" s="29">
        <f t="shared" si="1"/>
        <v>14190</v>
      </c>
      <c r="M14" s="29">
        <f t="shared" si="2"/>
        <v>57190</v>
      </c>
      <c r="N14" s="55">
        <f>M14-(AY14+'2019'!AY14)</f>
        <v>13190</v>
      </c>
      <c r="O14" s="29">
        <v>5000</v>
      </c>
      <c r="P14" s="30">
        <f t="shared" si="3"/>
        <v>3759.3984962406012</v>
      </c>
      <c r="Q14" s="30">
        <f t="shared" si="4"/>
        <v>1240.6015037593986</v>
      </c>
      <c r="R14" s="29">
        <v>5000</v>
      </c>
      <c r="S14" s="30">
        <f t="shared" si="5"/>
        <v>3759.3984962406012</v>
      </c>
      <c r="T14" s="19">
        <f t="shared" si="6"/>
        <v>1240.6015037593986</v>
      </c>
      <c r="U14" s="127">
        <v>5000</v>
      </c>
      <c r="V14" s="121">
        <f t="shared" si="7"/>
        <v>3759.3984962406012</v>
      </c>
      <c r="W14" s="126">
        <f t="shared" si="8"/>
        <v>1240.6015037593986</v>
      </c>
      <c r="X14" s="122">
        <v>5000</v>
      </c>
      <c r="Y14" s="30">
        <f t="shared" si="9"/>
        <v>3759.3984962406012</v>
      </c>
      <c r="Z14" s="19">
        <f t="shared" si="10"/>
        <v>1240.6015037593986</v>
      </c>
      <c r="AA14" s="29"/>
      <c r="AB14" s="30">
        <f t="shared" si="11"/>
        <v>0</v>
      </c>
      <c r="AC14" s="19">
        <f t="shared" si="12"/>
        <v>0</v>
      </c>
      <c r="AD14" s="29">
        <v>7000</v>
      </c>
      <c r="AE14" s="30">
        <f t="shared" si="13"/>
        <v>5263.1578947368416</v>
      </c>
      <c r="AF14" s="19">
        <f t="shared" si="14"/>
        <v>1736.8421052631579</v>
      </c>
      <c r="AG14" s="29">
        <v>7000</v>
      </c>
      <c r="AH14" s="30">
        <f t="shared" si="15"/>
        <v>5263.1578947368416</v>
      </c>
      <c r="AI14" s="19">
        <f t="shared" si="16"/>
        <v>1736.8421052631579</v>
      </c>
      <c r="AJ14" s="29"/>
      <c r="AK14" s="30">
        <f t="shared" si="17"/>
        <v>0</v>
      </c>
      <c r="AL14" s="19">
        <f t="shared" si="18"/>
        <v>0</v>
      </c>
      <c r="AM14" s="29"/>
      <c r="AN14" s="30">
        <f t="shared" si="19"/>
        <v>0</v>
      </c>
      <c r="AO14" s="19">
        <f t="shared" si="20"/>
        <v>0</v>
      </c>
      <c r="AP14" s="29"/>
      <c r="AQ14" s="30">
        <f t="shared" si="21"/>
        <v>0</v>
      </c>
      <c r="AR14" s="19">
        <f t="shared" si="22"/>
        <v>0</v>
      </c>
      <c r="AS14" s="29"/>
      <c r="AT14" s="30">
        <f t="shared" si="23"/>
        <v>0</v>
      </c>
      <c r="AU14" s="19">
        <f t="shared" si="24"/>
        <v>0</v>
      </c>
      <c r="AV14" s="29"/>
      <c r="AW14" s="30">
        <f t="shared" si="25"/>
        <v>0</v>
      </c>
      <c r="AX14" s="19">
        <f t="shared" si="26"/>
        <v>0</v>
      </c>
      <c r="AY14" s="25">
        <f t="shared" si="27"/>
        <v>34000</v>
      </c>
    </row>
    <row r="15" spans="1:51" ht="24">
      <c r="A15" s="56">
        <v>43801</v>
      </c>
      <c r="B15" s="24" t="s">
        <v>135</v>
      </c>
      <c r="C15" s="24" t="s">
        <v>136</v>
      </c>
      <c r="D15" s="24">
        <v>2000</v>
      </c>
      <c r="E15" s="24" t="s">
        <v>126</v>
      </c>
      <c r="F15" s="24" t="s">
        <v>137</v>
      </c>
      <c r="G15" s="29" t="s">
        <v>74</v>
      </c>
      <c r="H15" s="24">
        <v>33</v>
      </c>
      <c r="I15" s="30">
        <f t="shared" si="28"/>
        <v>4.0303030303030303</v>
      </c>
      <c r="J15" s="24">
        <v>16000</v>
      </c>
      <c r="K15" s="29"/>
      <c r="L15" s="29">
        <f t="shared" si="1"/>
        <v>5280</v>
      </c>
      <c r="M15" s="29">
        <f t="shared" si="2"/>
        <v>21280</v>
      </c>
      <c r="N15" s="55">
        <f>M15-(AY15+'2019'!AY15)</f>
        <v>9280</v>
      </c>
      <c r="O15" s="29">
        <v>2000</v>
      </c>
      <c r="P15" s="30">
        <f t="shared" si="3"/>
        <v>1503.7593984962405</v>
      </c>
      <c r="Q15" s="30">
        <f t="shared" si="4"/>
        <v>496.24060150375942</v>
      </c>
      <c r="R15" s="29">
        <v>2000</v>
      </c>
      <c r="S15" s="30">
        <f t="shared" si="5"/>
        <v>1503.7593984962405</v>
      </c>
      <c r="T15" s="19">
        <f t="shared" si="6"/>
        <v>496.24060150375942</v>
      </c>
      <c r="U15" s="127">
        <v>2000</v>
      </c>
      <c r="V15" s="121">
        <f t="shared" si="7"/>
        <v>1503.7593984962405</v>
      </c>
      <c r="W15" s="126">
        <f t="shared" si="8"/>
        <v>496.24060150375942</v>
      </c>
      <c r="X15" s="122">
        <v>2000</v>
      </c>
      <c r="Y15" s="30">
        <f t="shared" si="9"/>
        <v>1503.7593984962405</v>
      </c>
      <c r="Z15" s="19">
        <f t="shared" si="10"/>
        <v>496.24060150375942</v>
      </c>
      <c r="AA15" s="29">
        <v>2000</v>
      </c>
      <c r="AB15" s="30">
        <f t="shared" si="11"/>
        <v>1503.7593984962405</v>
      </c>
      <c r="AC15" s="19">
        <f t="shared" si="12"/>
        <v>496.24060150375942</v>
      </c>
      <c r="AD15" s="29"/>
      <c r="AE15" s="30">
        <f t="shared" si="13"/>
        <v>0</v>
      </c>
      <c r="AF15" s="19">
        <f t="shared" si="14"/>
        <v>0</v>
      </c>
      <c r="AG15" s="29"/>
      <c r="AH15" s="30">
        <f t="shared" si="15"/>
        <v>0</v>
      </c>
      <c r="AI15" s="19">
        <f t="shared" si="16"/>
        <v>0</v>
      </c>
      <c r="AJ15" s="29"/>
      <c r="AK15" s="30">
        <f t="shared" si="17"/>
        <v>0</v>
      </c>
      <c r="AL15" s="19">
        <f t="shared" si="18"/>
        <v>0</v>
      </c>
      <c r="AM15" s="29"/>
      <c r="AN15" s="30">
        <f t="shared" si="19"/>
        <v>0</v>
      </c>
      <c r="AO15" s="19">
        <f t="shared" si="20"/>
        <v>0</v>
      </c>
      <c r="AP15" s="29"/>
      <c r="AQ15" s="30">
        <f t="shared" si="21"/>
        <v>0</v>
      </c>
      <c r="AR15" s="19">
        <f t="shared" si="22"/>
        <v>0</v>
      </c>
      <c r="AS15" s="29"/>
      <c r="AT15" s="30">
        <f t="shared" si="23"/>
        <v>0</v>
      </c>
      <c r="AU15" s="19">
        <f t="shared" si="24"/>
        <v>0</v>
      </c>
      <c r="AV15" s="29"/>
      <c r="AW15" s="30">
        <f t="shared" si="25"/>
        <v>0</v>
      </c>
      <c r="AX15" s="19">
        <f t="shared" si="26"/>
        <v>0</v>
      </c>
      <c r="AY15" s="25">
        <f t="shared" si="27"/>
        <v>10000</v>
      </c>
    </row>
    <row r="16" spans="1:51" ht="24">
      <c r="A16" s="56">
        <v>43801</v>
      </c>
      <c r="B16" s="24" t="s">
        <v>138</v>
      </c>
      <c r="C16" s="24" t="s">
        <v>139</v>
      </c>
      <c r="D16" s="24">
        <v>2000</v>
      </c>
      <c r="E16" s="24" t="s">
        <v>109</v>
      </c>
      <c r="F16" s="24" t="s">
        <v>137</v>
      </c>
      <c r="G16" s="29" t="s">
        <v>74</v>
      </c>
      <c r="H16" s="24">
        <v>33</v>
      </c>
      <c r="I16" s="30">
        <f t="shared" si="28"/>
        <v>4.0303030303030303</v>
      </c>
      <c r="J16" s="24">
        <v>16000</v>
      </c>
      <c r="K16" s="29"/>
      <c r="L16" s="29">
        <f t="shared" si="1"/>
        <v>5280</v>
      </c>
      <c r="M16" s="29">
        <f t="shared" si="2"/>
        <v>21280</v>
      </c>
      <c r="N16" s="55">
        <f>M16-(AY16+'2019'!AY16)</f>
        <v>5280</v>
      </c>
      <c r="O16" s="29">
        <v>2000</v>
      </c>
      <c r="P16" s="30">
        <f t="shared" si="3"/>
        <v>1503.7593984962405</v>
      </c>
      <c r="Q16" s="30">
        <f t="shared" si="4"/>
        <v>496.24060150375942</v>
      </c>
      <c r="R16" s="29">
        <v>2000</v>
      </c>
      <c r="S16" s="30">
        <f t="shared" si="5"/>
        <v>1503.7593984962405</v>
      </c>
      <c r="T16" s="19">
        <f t="shared" si="6"/>
        <v>496.24060150375942</v>
      </c>
      <c r="U16" s="127">
        <v>2000</v>
      </c>
      <c r="V16" s="121">
        <f t="shared" si="7"/>
        <v>1503.7593984962405</v>
      </c>
      <c r="W16" s="126">
        <f t="shared" si="8"/>
        <v>496.24060150375942</v>
      </c>
      <c r="X16" s="122">
        <v>2000</v>
      </c>
      <c r="Y16" s="30">
        <f t="shared" si="9"/>
        <v>1503.7593984962405</v>
      </c>
      <c r="Z16" s="19">
        <f t="shared" si="10"/>
        <v>496.24060150375942</v>
      </c>
      <c r="AA16" s="29">
        <v>2000</v>
      </c>
      <c r="AB16" s="30">
        <f t="shared" si="11"/>
        <v>1503.7593984962405</v>
      </c>
      <c r="AC16" s="19">
        <f t="shared" si="12"/>
        <v>496.24060150375942</v>
      </c>
      <c r="AD16" s="29">
        <v>2000</v>
      </c>
      <c r="AE16" s="30">
        <f t="shared" si="13"/>
        <v>1503.7593984962405</v>
      </c>
      <c r="AF16" s="19">
        <f t="shared" si="14"/>
        <v>496.24060150375942</v>
      </c>
      <c r="AG16" s="29"/>
      <c r="AH16" s="30">
        <f t="shared" si="15"/>
        <v>0</v>
      </c>
      <c r="AI16" s="19">
        <f t="shared" si="16"/>
        <v>0</v>
      </c>
      <c r="AJ16" s="29"/>
      <c r="AK16" s="30">
        <f t="shared" si="17"/>
        <v>0</v>
      </c>
      <c r="AL16" s="19">
        <f t="shared" si="18"/>
        <v>0</v>
      </c>
      <c r="AM16" s="29"/>
      <c r="AN16" s="30">
        <f t="shared" si="19"/>
        <v>0</v>
      </c>
      <c r="AO16" s="19">
        <f t="shared" si="20"/>
        <v>0</v>
      </c>
      <c r="AP16" s="29"/>
      <c r="AQ16" s="30">
        <f t="shared" si="21"/>
        <v>0</v>
      </c>
      <c r="AR16" s="19">
        <f t="shared" si="22"/>
        <v>0</v>
      </c>
      <c r="AS16" s="29"/>
      <c r="AT16" s="30">
        <f t="shared" si="23"/>
        <v>0</v>
      </c>
      <c r="AU16" s="19">
        <f t="shared" si="24"/>
        <v>0</v>
      </c>
      <c r="AV16" s="29"/>
      <c r="AW16" s="30">
        <f t="shared" si="25"/>
        <v>0</v>
      </c>
      <c r="AX16" s="19">
        <f t="shared" si="26"/>
        <v>0</v>
      </c>
      <c r="AY16" s="25">
        <f t="shared" si="27"/>
        <v>12000</v>
      </c>
    </row>
    <row r="17" spans="1:51" ht="25.5">
      <c r="A17" s="56">
        <v>43802</v>
      </c>
      <c r="B17" s="24" t="s">
        <v>165</v>
      </c>
      <c r="C17" s="24" t="s">
        <v>141</v>
      </c>
      <c r="D17" s="24">
        <v>2000</v>
      </c>
      <c r="E17" s="24" t="s">
        <v>109</v>
      </c>
      <c r="F17" s="24" t="s">
        <v>142</v>
      </c>
      <c r="G17" s="29" t="s">
        <v>74</v>
      </c>
      <c r="H17" s="24">
        <v>33</v>
      </c>
      <c r="I17" s="30">
        <f t="shared" si="28"/>
        <v>4.0303030303030303</v>
      </c>
      <c r="J17" s="24">
        <v>18000</v>
      </c>
      <c r="K17" s="29"/>
      <c r="L17" s="29">
        <f t="shared" si="1"/>
        <v>5940</v>
      </c>
      <c r="M17" s="29">
        <f t="shared" si="2"/>
        <v>23940</v>
      </c>
      <c r="N17" s="55">
        <f>M17-(AY17+'2019'!AY17)</f>
        <v>9940</v>
      </c>
      <c r="O17" s="29">
        <v>2000</v>
      </c>
      <c r="P17" s="30">
        <f t="shared" si="3"/>
        <v>1503.7593984962405</v>
      </c>
      <c r="Q17" s="30">
        <f t="shared" si="4"/>
        <v>496.24060150375942</v>
      </c>
      <c r="R17" s="29">
        <v>2000</v>
      </c>
      <c r="S17" s="30">
        <f t="shared" si="5"/>
        <v>1503.7593984962405</v>
      </c>
      <c r="T17" s="19">
        <f t="shared" si="6"/>
        <v>496.24060150375942</v>
      </c>
      <c r="U17" s="127">
        <v>2000</v>
      </c>
      <c r="V17" s="121">
        <f t="shared" si="7"/>
        <v>1503.7593984962405</v>
      </c>
      <c r="W17" s="126">
        <f t="shared" si="8"/>
        <v>496.24060150375942</v>
      </c>
      <c r="X17" s="122"/>
      <c r="Y17" s="30">
        <f t="shared" si="9"/>
        <v>0</v>
      </c>
      <c r="Z17" s="19">
        <f t="shared" si="10"/>
        <v>0</v>
      </c>
      <c r="AA17" s="29">
        <v>2000</v>
      </c>
      <c r="AB17" s="30">
        <f t="shared" si="11"/>
        <v>1503.7593984962405</v>
      </c>
      <c r="AC17" s="19">
        <f t="shared" si="12"/>
        <v>496.24060150375942</v>
      </c>
      <c r="AD17" s="29">
        <v>2000</v>
      </c>
      <c r="AE17" s="30">
        <f t="shared" si="13"/>
        <v>1503.7593984962405</v>
      </c>
      <c r="AF17" s="19">
        <f t="shared" si="14"/>
        <v>496.24060150375942</v>
      </c>
      <c r="AG17" s="29">
        <v>2000</v>
      </c>
      <c r="AH17" s="30">
        <f t="shared" si="15"/>
        <v>1503.7593984962405</v>
      </c>
      <c r="AI17" s="19">
        <f t="shared" si="16"/>
        <v>496.24060150375942</v>
      </c>
      <c r="AJ17" s="29"/>
      <c r="AK17" s="30">
        <f t="shared" si="17"/>
        <v>0</v>
      </c>
      <c r="AL17" s="19">
        <f t="shared" si="18"/>
        <v>0</v>
      </c>
      <c r="AM17" s="29"/>
      <c r="AN17" s="30">
        <f t="shared" si="19"/>
        <v>0</v>
      </c>
      <c r="AO17" s="19">
        <f t="shared" si="20"/>
        <v>0</v>
      </c>
      <c r="AP17" s="29"/>
      <c r="AQ17" s="30">
        <f t="shared" si="21"/>
        <v>0</v>
      </c>
      <c r="AR17" s="19">
        <f t="shared" si="22"/>
        <v>0</v>
      </c>
      <c r="AS17" s="29"/>
      <c r="AT17" s="30">
        <f t="shared" si="23"/>
        <v>0</v>
      </c>
      <c r="AU17" s="19">
        <f t="shared" si="24"/>
        <v>0</v>
      </c>
      <c r="AV17" s="29"/>
      <c r="AW17" s="30">
        <f t="shared" si="25"/>
        <v>0</v>
      </c>
      <c r="AX17" s="19">
        <f t="shared" si="26"/>
        <v>0</v>
      </c>
      <c r="AY17" s="25">
        <f t="shared" si="27"/>
        <v>12000</v>
      </c>
    </row>
    <row r="18" spans="1:51" ht="51">
      <c r="A18" s="56">
        <v>43802</v>
      </c>
      <c r="B18" s="24" t="s">
        <v>143</v>
      </c>
      <c r="C18" s="24" t="s">
        <v>144</v>
      </c>
      <c r="D18" s="24">
        <v>6000</v>
      </c>
      <c r="E18" s="24" t="s">
        <v>145</v>
      </c>
      <c r="F18" s="24" t="s">
        <v>146</v>
      </c>
      <c r="G18" s="29" t="s">
        <v>74</v>
      </c>
      <c r="H18" s="24">
        <v>33</v>
      </c>
      <c r="I18" s="30">
        <f t="shared" si="28"/>
        <v>4.0303030303030303</v>
      </c>
      <c r="J18" s="24">
        <v>51000</v>
      </c>
      <c r="K18" s="29"/>
      <c r="L18" s="29">
        <f t="shared" si="1"/>
        <v>16830</v>
      </c>
      <c r="M18" s="29">
        <f t="shared" si="2"/>
        <v>67830</v>
      </c>
      <c r="N18" s="55">
        <f>M18-(AY18+'2019'!AY18)</f>
        <v>19830</v>
      </c>
      <c r="O18" s="29">
        <v>6000</v>
      </c>
      <c r="P18" s="30">
        <f t="shared" si="3"/>
        <v>4511.2781954887214</v>
      </c>
      <c r="Q18" s="30">
        <f t="shared" si="4"/>
        <v>1488.7218045112782</v>
      </c>
      <c r="R18" s="29">
        <v>6000</v>
      </c>
      <c r="S18" s="30">
        <f t="shared" si="5"/>
        <v>4511.2781954887214</v>
      </c>
      <c r="T18" s="19">
        <f t="shared" si="6"/>
        <v>1488.7218045112782</v>
      </c>
      <c r="U18" s="127"/>
      <c r="V18" s="121">
        <f t="shared" si="7"/>
        <v>0</v>
      </c>
      <c r="W18" s="126">
        <f t="shared" si="8"/>
        <v>0</v>
      </c>
      <c r="X18" s="122">
        <v>6000</v>
      </c>
      <c r="Y18" s="30">
        <f t="shared" si="9"/>
        <v>4511.2781954887214</v>
      </c>
      <c r="Z18" s="19">
        <f t="shared" si="10"/>
        <v>1488.7218045112782</v>
      </c>
      <c r="AA18" s="29">
        <v>6000</v>
      </c>
      <c r="AB18" s="30">
        <f t="shared" si="11"/>
        <v>4511.2781954887214</v>
      </c>
      <c r="AC18" s="19">
        <f t="shared" si="12"/>
        <v>1488.7218045112782</v>
      </c>
      <c r="AD18" s="29">
        <v>6000</v>
      </c>
      <c r="AE18" s="30">
        <f t="shared" si="13"/>
        <v>4511.2781954887214</v>
      </c>
      <c r="AF18" s="19">
        <f t="shared" si="14"/>
        <v>1488.7218045112782</v>
      </c>
      <c r="AG18" s="29">
        <v>6000</v>
      </c>
      <c r="AH18" s="30">
        <f t="shared" si="15"/>
        <v>4511.2781954887214</v>
      </c>
      <c r="AI18" s="19">
        <f t="shared" si="16"/>
        <v>1488.7218045112782</v>
      </c>
      <c r="AJ18" s="29"/>
      <c r="AK18" s="30">
        <f t="shared" si="17"/>
        <v>0</v>
      </c>
      <c r="AL18" s="19">
        <f t="shared" si="18"/>
        <v>0</v>
      </c>
      <c r="AM18" s="29"/>
      <c r="AN18" s="30">
        <f t="shared" si="19"/>
        <v>0</v>
      </c>
      <c r="AO18" s="19">
        <f t="shared" si="20"/>
        <v>0</v>
      </c>
      <c r="AP18" s="29"/>
      <c r="AQ18" s="30">
        <f t="shared" si="21"/>
        <v>0</v>
      </c>
      <c r="AR18" s="19">
        <f t="shared" si="22"/>
        <v>0</v>
      </c>
      <c r="AS18" s="29"/>
      <c r="AT18" s="30">
        <f t="shared" si="23"/>
        <v>0</v>
      </c>
      <c r="AU18" s="19">
        <f t="shared" si="24"/>
        <v>0</v>
      </c>
      <c r="AV18" s="29"/>
      <c r="AW18" s="30">
        <f t="shared" si="25"/>
        <v>0</v>
      </c>
      <c r="AX18" s="19">
        <f t="shared" si="26"/>
        <v>0</v>
      </c>
      <c r="AY18" s="25">
        <f t="shared" si="27"/>
        <v>36000</v>
      </c>
    </row>
    <row r="19" spans="1:51" ht="25.5">
      <c r="A19" s="56">
        <v>43805</v>
      </c>
      <c r="B19" s="24" t="s">
        <v>147</v>
      </c>
      <c r="C19" s="24" t="s">
        <v>148</v>
      </c>
      <c r="D19" s="24">
        <v>6000</v>
      </c>
      <c r="E19" s="24" t="s">
        <v>109</v>
      </c>
      <c r="F19" s="24" t="s">
        <v>149</v>
      </c>
      <c r="G19" s="29" t="s">
        <v>74</v>
      </c>
      <c r="H19" s="24">
        <v>33</v>
      </c>
      <c r="I19" s="30">
        <f t="shared" si="28"/>
        <v>4.0303030303030303</v>
      </c>
      <c r="J19" s="24">
        <v>52000</v>
      </c>
      <c r="K19" s="29"/>
      <c r="L19" s="29">
        <f t="shared" si="1"/>
        <v>17160</v>
      </c>
      <c r="M19" s="29">
        <f t="shared" si="2"/>
        <v>69160</v>
      </c>
      <c r="N19" s="55">
        <f>M19-(AY19+'2019'!AY19)</f>
        <v>21160</v>
      </c>
      <c r="O19" s="29">
        <v>6000</v>
      </c>
      <c r="P19" s="30">
        <f t="shared" si="3"/>
        <v>4511.2781954887214</v>
      </c>
      <c r="Q19" s="30">
        <f t="shared" si="4"/>
        <v>1488.7218045112782</v>
      </c>
      <c r="R19" s="29">
        <v>6000</v>
      </c>
      <c r="S19" s="30">
        <f t="shared" si="5"/>
        <v>4511.2781954887214</v>
      </c>
      <c r="T19" s="19">
        <f t="shared" si="6"/>
        <v>1488.7218045112782</v>
      </c>
      <c r="U19" s="127">
        <v>6000</v>
      </c>
      <c r="V19" s="121">
        <f t="shared" si="7"/>
        <v>4511.2781954887214</v>
      </c>
      <c r="W19" s="126">
        <f t="shared" si="8"/>
        <v>1488.7218045112782</v>
      </c>
      <c r="X19" s="122">
        <v>3000</v>
      </c>
      <c r="Y19" s="30">
        <f t="shared" si="9"/>
        <v>2255.6390977443607</v>
      </c>
      <c r="Z19" s="19">
        <f t="shared" si="10"/>
        <v>744.36090225563908</v>
      </c>
      <c r="AA19" s="29">
        <v>9000</v>
      </c>
      <c r="AB19" s="30">
        <f t="shared" si="11"/>
        <v>6766.9172932330821</v>
      </c>
      <c r="AC19" s="19">
        <f t="shared" si="12"/>
        <v>2233.0827067669175</v>
      </c>
      <c r="AD19" s="29">
        <v>6000</v>
      </c>
      <c r="AE19" s="30">
        <f t="shared" si="13"/>
        <v>4511.2781954887214</v>
      </c>
      <c r="AF19" s="19">
        <f t="shared" si="14"/>
        <v>1488.7218045112782</v>
      </c>
      <c r="AG19" s="29"/>
      <c r="AH19" s="30">
        <f t="shared" si="15"/>
        <v>0</v>
      </c>
      <c r="AI19" s="19">
        <f t="shared" si="16"/>
        <v>0</v>
      </c>
      <c r="AJ19" s="29"/>
      <c r="AK19" s="30">
        <f t="shared" si="17"/>
        <v>0</v>
      </c>
      <c r="AL19" s="19">
        <f t="shared" si="18"/>
        <v>0</v>
      </c>
      <c r="AM19" s="29"/>
      <c r="AN19" s="30">
        <f t="shared" si="19"/>
        <v>0</v>
      </c>
      <c r="AO19" s="19">
        <f t="shared" si="20"/>
        <v>0</v>
      </c>
      <c r="AP19" s="29"/>
      <c r="AQ19" s="30">
        <f t="shared" si="21"/>
        <v>0</v>
      </c>
      <c r="AR19" s="19">
        <f t="shared" si="22"/>
        <v>0</v>
      </c>
      <c r="AS19" s="29"/>
      <c r="AT19" s="30">
        <f t="shared" si="23"/>
        <v>0</v>
      </c>
      <c r="AU19" s="19">
        <f t="shared" si="24"/>
        <v>0</v>
      </c>
      <c r="AV19" s="29"/>
      <c r="AW19" s="30">
        <f t="shared" si="25"/>
        <v>0</v>
      </c>
      <c r="AX19" s="19">
        <f t="shared" si="26"/>
        <v>0</v>
      </c>
      <c r="AY19" s="25">
        <f t="shared" si="27"/>
        <v>36000</v>
      </c>
    </row>
    <row r="20" spans="1:51" ht="24">
      <c r="A20" s="56">
        <v>43806</v>
      </c>
      <c r="B20" s="24" t="s">
        <v>150</v>
      </c>
      <c r="C20" s="24" t="s">
        <v>151</v>
      </c>
      <c r="D20" s="24">
        <v>5000</v>
      </c>
      <c r="E20" s="24" t="s">
        <v>120</v>
      </c>
      <c r="F20" s="24" t="s">
        <v>152</v>
      </c>
      <c r="G20" s="29" t="s">
        <v>74</v>
      </c>
      <c r="H20" s="24">
        <v>33</v>
      </c>
      <c r="I20" s="30">
        <f t="shared" si="28"/>
        <v>4.0303030303030303</v>
      </c>
      <c r="J20" s="24">
        <v>43000</v>
      </c>
      <c r="K20" s="29"/>
      <c r="L20" s="29">
        <f t="shared" si="1"/>
        <v>14190</v>
      </c>
      <c r="M20" s="29">
        <f t="shared" si="2"/>
        <v>57190</v>
      </c>
      <c r="N20" s="55">
        <f>M20-(AY20+'2019'!AY20)</f>
        <v>12190</v>
      </c>
      <c r="O20" s="29">
        <v>5000</v>
      </c>
      <c r="P20" s="30">
        <f t="shared" si="3"/>
        <v>3759.3984962406012</v>
      </c>
      <c r="Q20" s="30">
        <f t="shared" si="4"/>
        <v>1240.6015037593986</v>
      </c>
      <c r="R20" s="29">
        <v>5000</v>
      </c>
      <c r="S20" s="30">
        <f t="shared" si="5"/>
        <v>3759.3984962406012</v>
      </c>
      <c r="T20" s="19">
        <f t="shared" si="6"/>
        <v>1240.6015037593986</v>
      </c>
      <c r="U20" s="127">
        <v>5000</v>
      </c>
      <c r="V20" s="121">
        <f t="shared" si="7"/>
        <v>3759.3984962406012</v>
      </c>
      <c r="W20" s="126">
        <f t="shared" si="8"/>
        <v>1240.6015037593986</v>
      </c>
      <c r="X20" s="122">
        <v>5000</v>
      </c>
      <c r="Y20" s="30">
        <f t="shared" si="9"/>
        <v>3759.3984962406012</v>
      </c>
      <c r="Z20" s="19">
        <f t="shared" si="10"/>
        <v>1240.6015037593986</v>
      </c>
      <c r="AA20" s="29">
        <v>5000</v>
      </c>
      <c r="AB20" s="30">
        <f t="shared" si="11"/>
        <v>3759.3984962406012</v>
      </c>
      <c r="AC20" s="19">
        <f t="shared" si="12"/>
        <v>1240.6015037593986</v>
      </c>
      <c r="AD20" s="29">
        <v>5000</v>
      </c>
      <c r="AE20" s="30">
        <f t="shared" si="13"/>
        <v>3759.3984962406012</v>
      </c>
      <c r="AF20" s="19">
        <f t="shared" si="14"/>
        <v>1240.6015037593986</v>
      </c>
      <c r="AG20" s="29">
        <v>5000</v>
      </c>
      <c r="AH20" s="30">
        <f t="shared" si="15"/>
        <v>3759.3984962406012</v>
      </c>
      <c r="AI20" s="19">
        <f t="shared" si="16"/>
        <v>1240.6015037593986</v>
      </c>
      <c r="AJ20" s="29"/>
      <c r="AK20" s="30">
        <f t="shared" si="17"/>
        <v>0</v>
      </c>
      <c r="AL20" s="19">
        <f t="shared" si="18"/>
        <v>0</v>
      </c>
      <c r="AM20" s="29"/>
      <c r="AN20" s="30">
        <f t="shared" si="19"/>
        <v>0</v>
      </c>
      <c r="AO20" s="19">
        <f t="shared" si="20"/>
        <v>0</v>
      </c>
      <c r="AP20" s="29"/>
      <c r="AQ20" s="30">
        <f t="shared" si="21"/>
        <v>0</v>
      </c>
      <c r="AR20" s="19">
        <f t="shared" si="22"/>
        <v>0</v>
      </c>
      <c r="AS20" s="29"/>
      <c r="AT20" s="30">
        <f t="shared" si="23"/>
        <v>0</v>
      </c>
      <c r="AU20" s="19">
        <f t="shared" si="24"/>
        <v>0</v>
      </c>
      <c r="AV20" s="29"/>
      <c r="AW20" s="30">
        <f t="shared" si="25"/>
        <v>0</v>
      </c>
      <c r="AX20" s="19">
        <f t="shared" si="26"/>
        <v>0</v>
      </c>
      <c r="AY20" s="25">
        <f t="shared" si="27"/>
        <v>35000</v>
      </c>
    </row>
    <row r="21" spans="1:51" ht="24">
      <c r="A21" s="56">
        <v>43810</v>
      </c>
      <c r="B21" s="24" t="s">
        <v>153</v>
      </c>
      <c r="C21" s="24" t="s">
        <v>154</v>
      </c>
      <c r="D21" s="24">
        <v>4500</v>
      </c>
      <c r="E21" s="24" t="s">
        <v>126</v>
      </c>
      <c r="F21" s="24" t="s">
        <v>155</v>
      </c>
      <c r="G21" s="29" t="s">
        <v>74</v>
      </c>
      <c r="H21" s="24">
        <v>33</v>
      </c>
      <c r="I21" s="30">
        <f t="shared" si="28"/>
        <v>4.0303030303030303</v>
      </c>
      <c r="J21" s="24">
        <v>38500</v>
      </c>
      <c r="K21" s="29"/>
      <c r="L21" s="29">
        <f t="shared" si="1"/>
        <v>12705</v>
      </c>
      <c r="M21" s="29">
        <f t="shared" si="2"/>
        <v>51205</v>
      </c>
      <c r="N21" s="55">
        <f>M21-(AY21+'2019'!AY21)</f>
        <v>46705</v>
      </c>
      <c r="O21" s="29"/>
      <c r="P21" s="30">
        <f t="shared" si="3"/>
        <v>0</v>
      </c>
      <c r="Q21" s="30">
        <f t="shared" si="4"/>
        <v>0</v>
      </c>
      <c r="R21" s="29">
        <v>4500</v>
      </c>
      <c r="S21" s="30">
        <f t="shared" si="5"/>
        <v>3383.458646616541</v>
      </c>
      <c r="T21" s="19">
        <f t="shared" si="6"/>
        <v>1116.5413533834587</v>
      </c>
      <c r="U21" s="127"/>
      <c r="V21" s="121">
        <f t="shared" si="7"/>
        <v>0</v>
      </c>
      <c r="W21" s="126">
        <f t="shared" si="8"/>
        <v>0</v>
      </c>
      <c r="X21" s="122"/>
      <c r="Y21" s="30">
        <f t="shared" si="9"/>
        <v>0</v>
      </c>
      <c r="Z21" s="19">
        <f t="shared" si="10"/>
        <v>0</v>
      </c>
      <c r="AA21" s="29"/>
      <c r="AB21" s="30">
        <f t="shared" si="11"/>
        <v>0</v>
      </c>
      <c r="AC21" s="19">
        <f t="shared" si="12"/>
        <v>0</v>
      </c>
      <c r="AD21" s="29"/>
      <c r="AE21" s="30">
        <f t="shared" si="13"/>
        <v>0</v>
      </c>
      <c r="AF21" s="19">
        <f t="shared" si="14"/>
        <v>0</v>
      </c>
      <c r="AG21" s="29"/>
      <c r="AH21" s="30">
        <f t="shared" si="15"/>
        <v>0</v>
      </c>
      <c r="AI21" s="19">
        <f t="shared" si="16"/>
        <v>0</v>
      </c>
      <c r="AJ21" s="29"/>
      <c r="AK21" s="30">
        <f t="shared" si="17"/>
        <v>0</v>
      </c>
      <c r="AL21" s="19">
        <f t="shared" si="18"/>
        <v>0</v>
      </c>
      <c r="AM21" s="29"/>
      <c r="AN21" s="30">
        <f t="shared" si="19"/>
        <v>0</v>
      </c>
      <c r="AO21" s="19">
        <f t="shared" si="20"/>
        <v>0</v>
      </c>
      <c r="AP21" s="29"/>
      <c r="AQ21" s="30">
        <f t="shared" si="21"/>
        <v>0</v>
      </c>
      <c r="AR21" s="19">
        <f t="shared" si="22"/>
        <v>0</v>
      </c>
      <c r="AS21" s="29"/>
      <c r="AT21" s="30">
        <f t="shared" si="23"/>
        <v>0</v>
      </c>
      <c r="AU21" s="19">
        <f t="shared" si="24"/>
        <v>0</v>
      </c>
      <c r="AV21" s="29"/>
      <c r="AW21" s="30">
        <f t="shared" si="25"/>
        <v>0</v>
      </c>
      <c r="AX21" s="19">
        <f t="shared" si="26"/>
        <v>0</v>
      </c>
      <c r="AY21" s="25">
        <f t="shared" si="27"/>
        <v>4500</v>
      </c>
    </row>
    <row r="22" spans="1:51" ht="25.5">
      <c r="A22" s="56">
        <v>43810</v>
      </c>
      <c r="B22" s="24" t="s">
        <v>156</v>
      </c>
      <c r="C22" s="24" t="s">
        <v>157</v>
      </c>
      <c r="D22" s="24">
        <v>2000</v>
      </c>
      <c r="E22" s="24" t="s">
        <v>109</v>
      </c>
      <c r="F22" s="24" t="s">
        <v>137</v>
      </c>
      <c r="G22" s="29" t="s">
        <v>74</v>
      </c>
      <c r="H22" s="24">
        <v>33</v>
      </c>
      <c r="I22" s="30">
        <f t="shared" si="28"/>
        <v>4.0303030303030303</v>
      </c>
      <c r="J22" s="24">
        <v>16000</v>
      </c>
      <c r="K22" s="29"/>
      <c r="L22" s="29">
        <f t="shared" si="1"/>
        <v>5280</v>
      </c>
      <c r="M22" s="29">
        <f t="shared" si="2"/>
        <v>21280</v>
      </c>
      <c r="N22" s="55">
        <f>M22-(AY22+'2019'!AY22)</f>
        <v>3280</v>
      </c>
      <c r="O22" s="29">
        <v>2000</v>
      </c>
      <c r="P22" s="30">
        <f t="shared" si="3"/>
        <v>1503.7593984962405</v>
      </c>
      <c r="Q22" s="30">
        <f t="shared" si="4"/>
        <v>496.24060150375942</v>
      </c>
      <c r="R22" s="29">
        <v>2000</v>
      </c>
      <c r="S22" s="30">
        <f t="shared" si="5"/>
        <v>1503.7593984962405</v>
      </c>
      <c r="T22" s="19">
        <f t="shared" si="6"/>
        <v>496.24060150375942</v>
      </c>
      <c r="U22" s="127">
        <v>2000</v>
      </c>
      <c r="V22" s="121">
        <f t="shared" si="7"/>
        <v>1503.7593984962405</v>
      </c>
      <c r="W22" s="126">
        <f t="shared" si="8"/>
        <v>496.24060150375942</v>
      </c>
      <c r="X22" s="122">
        <v>2000</v>
      </c>
      <c r="Y22" s="30">
        <f t="shared" si="9"/>
        <v>1503.7593984962405</v>
      </c>
      <c r="Z22" s="19">
        <f t="shared" si="10"/>
        <v>496.24060150375942</v>
      </c>
      <c r="AA22" s="29">
        <v>2000</v>
      </c>
      <c r="AB22" s="30">
        <f t="shared" si="11"/>
        <v>1503.7593984962405</v>
      </c>
      <c r="AC22" s="19">
        <f t="shared" si="12"/>
        <v>496.24060150375942</v>
      </c>
      <c r="AD22" s="29">
        <v>2000</v>
      </c>
      <c r="AE22" s="30">
        <f t="shared" si="13"/>
        <v>1503.7593984962405</v>
      </c>
      <c r="AF22" s="19">
        <f t="shared" si="14"/>
        <v>496.24060150375942</v>
      </c>
      <c r="AG22" s="29">
        <v>2000</v>
      </c>
      <c r="AH22" s="30">
        <f t="shared" si="15"/>
        <v>1503.7593984962405</v>
      </c>
      <c r="AI22" s="19">
        <f t="shared" si="16"/>
        <v>496.24060150375942</v>
      </c>
      <c r="AJ22" s="29"/>
      <c r="AK22" s="30">
        <f t="shared" si="17"/>
        <v>0</v>
      </c>
      <c r="AL22" s="19">
        <f t="shared" si="18"/>
        <v>0</v>
      </c>
      <c r="AM22" s="29"/>
      <c r="AN22" s="30">
        <f t="shared" si="19"/>
        <v>0</v>
      </c>
      <c r="AO22" s="19">
        <f t="shared" si="20"/>
        <v>0</v>
      </c>
      <c r="AP22" s="29"/>
      <c r="AQ22" s="30">
        <f t="shared" si="21"/>
        <v>0</v>
      </c>
      <c r="AR22" s="19">
        <f t="shared" si="22"/>
        <v>0</v>
      </c>
      <c r="AS22" s="29"/>
      <c r="AT22" s="30">
        <f t="shared" si="23"/>
        <v>0</v>
      </c>
      <c r="AU22" s="19">
        <f t="shared" si="24"/>
        <v>0</v>
      </c>
      <c r="AV22" s="29"/>
      <c r="AW22" s="30">
        <f t="shared" si="25"/>
        <v>0</v>
      </c>
      <c r="AX22" s="19">
        <f t="shared" si="26"/>
        <v>0</v>
      </c>
      <c r="AY22" s="25">
        <f t="shared" si="27"/>
        <v>14000</v>
      </c>
    </row>
    <row r="23" spans="1:51" ht="25.5">
      <c r="A23" s="56">
        <v>43810</v>
      </c>
      <c r="B23" s="24" t="s">
        <v>158</v>
      </c>
      <c r="C23" s="24" t="s">
        <v>159</v>
      </c>
      <c r="D23" s="24">
        <v>2000</v>
      </c>
      <c r="E23" s="24" t="s">
        <v>109</v>
      </c>
      <c r="F23" s="24" t="s">
        <v>137</v>
      </c>
      <c r="G23" s="29" t="s">
        <v>74</v>
      </c>
      <c r="H23" s="24">
        <v>33</v>
      </c>
      <c r="I23" s="30">
        <f t="shared" si="28"/>
        <v>4.0303030303030303</v>
      </c>
      <c r="J23" s="24">
        <v>16000</v>
      </c>
      <c r="K23" s="29"/>
      <c r="L23" s="29">
        <f t="shared" si="1"/>
        <v>5280</v>
      </c>
      <c r="M23" s="29">
        <f t="shared" si="2"/>
        <v>21280</v>
      </c>
      <c r="N23" s="55">
        <f>M23-(AY23+'2019'!AY23)</f>
        <v>3280</v>
      </c>
      <c r="O23" s="29">
        <v>2000</v>
      </c>
      <c r="P23" s="30">
        <f t="shared" si="3"/>
        <v>1503.7593984962405</v>
      </c>
      <c r="Q23" s="30">
        <f t="shared" si="4"/>
        <v>496.24060150375942</v>
      </c>
      <c r="R23" s="29">
        <v>2000</v>
      </c>
      <c r="S23" s="30">
        <f t="shared" si="5"/>
        <v>1503.7593984962405</v>
      </c>
      <c r="T23" s="19">
        <f t="shared" si="6"/>
        <v>496.24060150375942</v>
      </c>
      <c r="U23" s="127">
        <v>2000</v>
      </c>
      <c r="V23" s="121">
        <f t="shared" si="7"/>
        <v>1503.7593984962405</v>
      </c>
      <c r="W23" s="126">
        <f t="shared" si="8"/>
        <v>496.24060150375942</v>
      </c>
      <c r="X23" s="122">
        <v>2000</v>
      </c>
      <c r="Y23" s="30">
        <f t="shared" si="9"/>
        <v>1503.7593984962405</v>
      </c>
      <c r="Z23" s="19">
        <f t="shared" si="10"/>
        <v>496.24060150375942</v>
      </c>
      <c r="AA23" s="29">
        <v>2000</v>
      </c>
      <c r="AB23" s="30">
        <f t="shared" si="11"/>
        <v>1503.7593984962405</v>
      </c>
      <c r="AC23" s="19">
        <f t="shared" si="12"/>
        <v>496.24060150375942</v>
      </c>
      <c r="AD23" s="29">
        <v>2000</v>
      </c>
      <c r="AE23" s="30">
        <f t="shared" si="13"/>
        <v>1503.7593984962405</v>
      </c>
      <c r="AF23" s="19">
        <f t="shared" si="14"/>
        <v>496.24060150375942</v>
      </c>
      <c r="AG23" s="29">
        <v>2000</v>
      </c>
      <c r="AH23" s="30">
        <f t="shared" si="15"/>
        <v>1503.7593984962405</v>
      </c>
      <c r="AI23" s="19">
        <f t="shared" si="16"/>
        <v>496.24060150375942</v>
      </c>
      <c r="AJ23" s="29"/>
      <c r="AK23" s="30">
        <f t="shared" si="17"/>
        <v>0</v>
      </c>
      <c r="AL23" s="19">
        <f t="shared" si="18"/>
        <v>0</v>
      </c>
      <c r="AM23" s="29"/>
      <c r="AN23" s="30">
        <f t="shared" si="19"/>
        <v>0</v>
      </c>
      <c r="AO23" s="19">
        <f t="shared" si="20"/>
        <v>0</v>
      </c>
      <c r="AP23" s="29"/>
      <c r="AQ23" s="30">
        <f t="shared" si="21"/>
        <v>0</v>
      </c>
      <c r="AR23" s="19">
        <f t="shared" si="22"/>
        <v>0</v>
      </c>
      <c r="AS23" s="29"/>
      <c r="AT23" s="30">
        <f t="shared" si="23"/>
        <v>0</v>
      </c>
      <c r="AU23" s="19">
        <f t="shared" si="24"/>
        <v>0</v>
      </c>
      <c r="AV23" s="29"/>
      <c r="AW23" s="30">
        <f t="shared" si="25"/>
        <v>0</v>
      </c>
      <c r="AX23" s="19">
        <f t="shared" si="26"/>
        <v>0</v>
      </c>
      <c r="AY23" s="25">
        <f t="shared" si="27"/>
        <v>14000</v>
      </c>
    </row>
    <row r="24" spans="1:51" ht="25.5">
      <c r="A24" s="56">
        <v>43813</v>
      </c>
      <c r="B24" s="24" t="s">
        <v>98</v>
      </c>
      <c r="C24" s="24" t="s">
        <v>97</v>
      </c>
      <c r="D24" s="24">
        <v>5000</v>
      </c>
      <c r="E24" s="24" t="s">
        <v>99</v>
      </c>
      <c r="F24" s="24" t="s">
        <v>160</v>
      </c>
      <c r="G24" s="29" t="s">
        <v>74</v>
      </c>
      <c r="H24" s="24">
        <v>33</v>
      </c>
      <c r="I24" s="30">
        <f t="shared" si="28"/>
        <v>4.0303030303030303</v>
      </c>
      <c r="J24" s="24">
        <v>43000</v>
      </c>
      <c r="K24" s="29"/>
      <c r="L24" s="29">
        <f t="shared" si="1"/>
        <v>14190</v>
      </c>
      <c r="M24" s="29">
        <f t="shared" si="2"/>
        <v>57190</v>
      </c>
      <c r="N24" s="55">
        <f>M24-(AY24+'2019'!AY24)</f>
        <v>22190</v>
      </c>
      <c r="O24" s="29">
        <v>5000</v>
      </c>
      <c r="P24" s="30">
        <f t="shared" si="3"/>
        <v>3759.3984962406012</v>
      </c>
      <c r="Q24" s="30">
        <f t="shared" si="4"/>
        <v>1240.6015037593986</v>
      </c>
      <c r="R24" s="29">
        <v>5000</v>
      </c>
      <c r="S24" s="30">
        <f t="shared" si="5"/>
        <v>3759.3984962406012</v>
      </c>
      <c r="T24" s="19">
        <f t="shared" si="6"/>
        <v>1240.6015037593986</v>
      </c>
      <c r="U24" s="127">
        <v>5000</v>
      </c>
      <c r="V24" s="121">
        <f t="shared" si="7"/>
        <v>3759.3984962406012</v>
      </c>
      <c r="W24" s="126">
        <f t="shared" si="8"/>
        <v>1240.6015037593986</v>
      </c>
      <c r="X24" s="122">
        <v>5000</v>
      </c>
      <c r="Y24" s="30">
        <f t="shared" si="9"/>
        <v>3759.3984962406012</v>
      </c>
      <c r="Z24" s="19">
        <f t="shared" si="10"/>
        <v>1240.6015037593986</v>
      </c>
      <c r="AA24" s="29">
        <v>5000</v>
      </c>
      <c r="AB24" s="30">
        <f t="shared" si="11"/>
        <v>3759.3984962406012</v>
      </c>
      <c r="AC24" s="19">
        <f t="shared" si="12"/>
        <v>1240.6015037593986</v>
      </c>
      <c r="AD24" s="29"/>
      <c r="AE24" s="30">
        <f t="shared" si="13"/>
        <v>0</v>
      </c>
      <c r="AF24" s="19">
        <f t="shared" si="14"/>
        <v>0</v>
      </c>
      <c r="AG24" s="29"/>
      <c r="AH24" s="30">
        <f t="shared" si="15"/>
        <v>0</v>
      </c>
      <c r="AI24" s="19">
        <f t="shared" si="16"/>
        <v>0</v>
      </c>
      <c r="AJ24" s="29"/>
      <c r="AK24" s="30">
        <f t="shared" si="17"/>
        <v>0</v>
      </c>
      <c r="AL24" s="19">
        <f t="shared" si="18"/>
        <v>0</v>
      </c>
      <c r="AM24" s="29"/>
      <c r="AN24" s="30">
        <f t="shared" si="19"/>
        <v>0</v>
      </c>
      <c r="AO24" s="19">
        <f t="shared" si="20"/>
        <v>0</v>
      </c>
      <c r="AP24" s="29"/>
      <c r="AQ24" s="30">
        <f t="shared" si="21"/>
        <v>0</v>
      </c>
      <c r="AR24" s="19">
        <f t="shared" si="22"/>
        <v>0</v>
      </c>
      <c r="AS24" s="29"/>
      <c r="AT24" s="30">
        <f t="shared" si="23"/>
        <v>0</v>
      </c>
      <c r="AU24" s="19">
        <f t="shared" si="24"/>
        <v>0</v>
      </c>
      <c r="AV24" s="29"/>
      <c r="AW24" s="30">
        <f t="shared" si="25"/>
        <v>0</v>
      </c>
      <c r="AX24" s="19">
        <f t="shared" si="26"/>
        <v>0</v>
      </c>
      <c r="AY24" s="25">
        <f t="shared" si="27"/>
        <v>25000</v>
      </c>
    </row>
    <row r="25" spans="1:51" ht="24">
      <c r="A25" s="56">
        <v>43810</v>
      </c>
      <c r="B25" s="24" t="s">
        <v>161</v>
      </c>
      <c r="C25" s="24" t="s">
        <v>162</v>
      </c>
      <c r="D25" s="24">
        <v>5000</v>
      </c>
      <c r="E25" s="24" t="s">
        <v>120</v>
      </c>
      <c r="F25" s="24" t="s">
        <v>160</v>
      </c>
      <c r="G25" s="29" t="s">
        <v>74</v>
      </c>
      <c r="H25" s="24">
        <v>33</v>
      </c>
      <c r="I25" s="30">
        <f t="shared" si="28"/>
        <v>4.0303030303030303</v>
      </c>
      <c r="J25" s="24">
        <v>43000</v>
      </c>
      <c r="K25" s="29"/>
      <c r="L25" s="29">
        <f t="shared" si="1"/>
        <v>14190</v>
      </c>
      <c r="M25" s="29">
        <f t="shared" si="2"/>
        <v>57190</v>
      </c>
      <c r="N25" s="55">
        <f>M25-(AY25+'2019'!AY25)</f>
        <v>12190</v>
      </c>
      <c r="O25" s="29">
        <v>5000</v>
      </c>
      <c r="P25" s="30">
        <f t="shared" si="3"/>
        <v>3759.3984962406012</v>
      </c>
      <c r="Q25" s="30">
        <f t="shared" si="4"/>
        <v>1240.6015037593986</v>
      </c>
      <c r="R25" s="29">
        <v>5000</v>
      </c>
      <c r="S25" s="30">
        <f t="shared" si="5"/>
        <v>3759.3984962406012</v>
      </c>
      <c r="T25" s="19">
        <f t="shared" si="6"/>
        <v>1240.6015037593986</v>
      </c>
      <c r="U25" s="127">
        <v>5000</v>
      </c>
      <c r="V25" s="121">
        <f t="shared" si="7"/>
        <v>3759.3984962406012</v>
      </c>
      <c r="W25" s="126">
        <f t="shared" si="8"/>
        <v>1240.6015037593986</v>
      </c>
      <c r="X25" s="122">
        <v>5000</v>
      </c>
      <c r="Y25" s="30">
        <f t="shared" si="9"/>
        <v>3759.3984962406012</v>
      </c>
      <c r="Z25" s="19">
        <f t="shared" si="10"/>
        <v>1240.6015037593986</v>
      </c>
      <c r="AA25" s="29">
        <v>5000</v>
      </c>
      <c r="AB25" s="30">
        <f t="shared" si="11"/>
        <v>3759.3984962406012</v>
      </c>
      <c r="AC25" s="19">
        <f t="shared" si="12"/>
        <v>1240.6015037593986</v>
      </c>
      <c r="AD25" s="29">
        <v>5000</v>
      </c>
      <c r="AE25" s="30">
        <f t="shared" si="13"/>
        <v>3759.3984962406012</v>
      </c>
      <c r="AF25" s="19">
        <f t="shared" si="14"/>
        <v>1240.6015037593986</v>
      </c>
      <c r="AG25" s="29">
        <v>5000</v>
      </c>
      <c r="AH25" s="30">
        <f t="shared" si="15"/>
        <v>3759.3984962406012</v>
      </c>
      <c r="AI25" s="19">
        <f t="shared" si="16"/>
        <v>1240.6015037593986</v>
      </c>
      <c r="AJ25" s="29"/>
      <c r="AK25" s="30">
        <f t="shared" si="17"/>
        <v>0</v>
      </c>
      <c r="AL25" s="19">
        <f t="shared" si="18"/>
        <v>0</v>
      </c>
      <c r="AM25" s="29"/>
      <c r="AN25" s="30">
        <f t="shared" si="19"/>
        <v>0</v>
      </c>
      <c r="AO25" s="19">
        <f t="shared" si="20"/>
        <v>0</v>
      </c>
      <c r="AP25" s="29"/>
      <c r="AQ25" s="30">
        <f t="shared" si="21"/>
        <v>0</v>
      </c>
      <c r="AR25" s="19">
        <f t="shared" si="22"/>
        <v>0</v>
      </c>
      <c r="AS25" s="29"/>
      <c r="AT25" s="30">
        <f t="shared" si="23"/>
        <v>0</v>
      </c>
      <c r="AU25" s="19">
        <f t="shared" si="24"/>
        <v>0</v>
      </c>
      <c r="AV25" s="29"/>
      <c r="AW25" s="30">
        <f t="shared" si="25"/>
        <v>0</v>
      </c>
      <c r="AX25" s="19">
        <f t="shared" si="26"/>
        <v>0</v>
      </c>
      <c r="AY25" s="25">
        <f t="shared" si="27"/>
        <v>35000</v>
      </c>
    </row>
    <row r="26" spans="1:51" ht="25.5">
      <c r="A26" s="56">
        <v>43792</v>
      </c>
      <c r="B26" s="24" t="s">
        <v>163</v>
      </c>
      <c r="C26" s="24" t="s">
        <v>164</v>
      </c>
      <c r="D26" s="24">
        <v>4000</v>
      </c>
      <c r="E26" s="24" t="s">
        <v>109</v>
      </c>
      <c r="F26" s="24" t="s">
        <v>134</v>
      </c>
      <c r="G26" s="29" t="s">
        <v>74</v>
      </c>
      <c r="H26" s="24">
        <v>25</v>
      </c>
      <c r="I26" s="30">
        <f t="shared" si="28"/>
        <v>5</v>
      </c>
      <c r="J26" s="24">
        <v>32600</v>
      </c>
      <c r="K26" s="29"/>
      <c r="L26" s="29">
        <f t="shared" si="1"/>
        <v>8150</v>
      </c>
      <c r="M26" s="29">
        <f t="shared" si="2"/>
        <v>40750</v>
      </c>
      <c r="N26" s="55">
        <f>M26-(AY26+'2019'!AY26)</f>
        <v>4750</v>
      </c>
      <c r="O26" s="29">
        <v>4000</v>
      </c>
      <c r="P26" s="30">
        <f t="shared" si="3"/>
        <v>3200</v>
      </c>
      <c r="Q26" s="30">
        <f t="shared" si="4"/>
        <v>800</v>
      </c>
      <c r="R26" s="29">
        <v>4000</v>
      </c>
      <c r="S26" s="30">
        <f t="shared" si="5"/>
        <v>3200</v>
      </c>
      <c r="T26" s="19">
        <f t="shared" si="6"/>
        <v>800</v>
      </c>
      <c r="U26" s="127">
        <v>4000</v>
      </c>
      <c r="V26" s="121">
        <f t="shared" si="7"/>
        <v>3200</v>
      </c>
      <c r="W26" s="126">
        <f t="shared" si="8"/>
        <v>800</v>
      </c>
      <c r="X26" s="122">
        <v>4000</v>
      </c>
      <c r="Y26" s="30">
        <f t="shared" si="9"/>
        <v>3200</v>
      </c>
      <c r="Z26" s="19">
        <f t="shared" si="10"/>
        <v>800</v>
      </c>
      <c r="AA26" s="29">
        <v>4000</v>
      </c>
      <c r="AB26" s="30">
        <f t="shared" si="11"/>
        <v>3200</v>
      </c>
      <c r="AC26" s="19">
        <f t="shared" si="12"/>
        <v>800</v>
      </c>
      <c r="AD26" s="29">
        <v>4000</v>
      </c>
      <c r="AE26" s="30">
        <f t="shared" si="13"/>
        <v>3200</v>
      </c>
      <c r="AF26" s="19">
        <f t="shared" si="14"/>
        <v>800</v>
      </c>
      <c r="AG26" s="29">
        <v>4000</v>
      </c>
      <c r="AH26" s="30">
        <f t="shared" si="15"/>
        <v>3200</v>
      </c>
      <c r="AI26" s="19">
        <f t="shared" si="16"/>
        <v>800</v>
      </c>
      <c r="AJ26" s="29"/>
      <c r="AK26" s="30">
        <f t="shared" si="17"/>
        <v>0</v>
      </c>
      <c r="AL26" s="19">
        <f t="shared" si="18"/>
        <v>0</v>
      </c>
      <c r="AM26" s="29"/>
      <c r="AN26" s="30">
        <f t="shared" si="19"/>
        <v>0</v>
      </c>
      <c r="AO26" s="19">
        <f t="shared" si="20"/>
        <v>0</v>
      </c>
      <c r="AP26" s="29"/>
      <c r="AQ26" s="30">
        <f t="shared" si="21"/>
        <v>0</v>
      </c>
      <c r="AR26" s="19">
        <f t="shared" si="22"/>
        <v>0</v>
      </c>
      <c r="AS26" s="29"/>
      <c r="AT26" s="30">
        <f t="shared" si="23"/>
        <v>0</v>
      </c>
      <c r="AU26" s="19">
        <f t="shared" si="24"/>
        <v>0</v>
      </c>
      <c r="AV26" s="29"/>
      <c r="AW26" s="30">
        <f t="shared" si="25"/>
        <v>0</v>
      </c>
      <c r="AX26" s="19">
        <f t="shared" si="26"/>
        <v>0</v>
      </c>
      <c r="AY26" s="25">
        <f t="shared" si="27"/>
        <v>28000</v>
      </c>
    </row>
    <row r="27" spans="1:51" ht="24">
      <c r="A27" s="56">
        <v>43841</v>
      </c>
      <c r="B27" s="24" t="s">
        <v>166</v>
      </c>
      <c r="C27" s="24" t="s">
        <v>129</v>
      </c>
      <c r="D27" s="24">
        <v>2000</v>
      </c>
      <c r="E27" s="24" t="s">
        <v>120</v>
      </c>
      <c r="F27" s="24" t="s">
        <v>167</v>
      </c>
      <c r="G27" s="29" t="s">
        <v>74</v>
      </c>
      <c r="H27" s="24">
        <v>30</v>
      </c>
      <c r="I27" s="30">
        <f t="shared" si="28"/>
        <v>4.333333333333333</v>
      </c>
      <c r="J27" s="14">
        <v>19000</v>
      </c>
      <c r="K27" s="29"/>
      <c r="L27" s="29">
        <f t="shared" si="1"/>
        <v>5700</v>
      </c>
      <c r="M27" s="29">
        <f t="shared" si="2"/>
        <v>24700</v>
      </c>
      <c r="N27" s="55">
        <f>M27-(AY27+'2019'!AY27)</f>
        <v>10700</v>
      </c>
      <c r="O27" s="29">
        <v>4000</v>
      </c>
      <c r="P27" s="30">
        <f t="shared" si="3"/>
        <v>3076.9230769230771</v>
      </c>
      <c r="Q27" s="30">
        <f t="shared" si="4"/>
        <v>923.07692307692309</v>
      </c>
      <c r="R27" s="29">
        <v>2000</v>
      </c>
      <c r="S27" s="30">
        <f t="shared" si="5"/>
        <v>1538.4615384615386</v>
      </c>
      <c r="T27" s="19">
        <f t="shared" si="6"/>
        <v>461.53846153846155</v>
      </c>
      <c r="U27" s="127">
        <v>2000</v>
      </c>
      <c r="V27" s="121">
        <f t="shared" si="7"/>
        <v>1538.4615384615386</v>
      </c>
      <c r="W27" s="126">
        <f t="shared" si="8"/>
        <v>461.53846153846155</v>
      </c>
      <c r="X27" s="122">
        <v>2000</v>
      </c>
      <c r="Y27" s="30">
        <f t="shared" si="9"/>
        <v>1538.4615384615386</v>
      </c>
      <c r="Z27" s="19">
        <f t="shared" si="10"/>
        <v>461.53846153846155</v>
      </c>
      <c r="AA27" s="29">
        <v>2000</v>
      </c>
      <c r="AB27" s="30">
        <f t="shared" si="11"/>
        <v>1538.4615384615386</v>
      </c>
      <c r="AC27" s="19">
        <f t="shared" si="12"/>
        <v>461.53846153846155</v>
      </c>
      <c r="AD27" s="29">
        <v>2000</v>
      </c>
      <c r="AE27" s="30">
        <f t="shared" si="13"/>
        <v>1538.4615384615386</v>
      </c>
      <c r="AF27" s="19">
        <f t="shared" si="14"/>
        <v>461.53846153846155</v>
      </c>
      <c r="AG27" s="29"/>
      <c r="AH27" s="30">
        <f t="shared" si="15"/>
        <v>0</v>
      </c>
      <c r="AI27" s="19">
        <f t="shared" si="16"/>
        <v>0</v>
      </c>
      <c r="AJ27" s="29"/>
      <c r="AK27" s="30">
        <f t="shared" si="17"/>
        <v>0</v>
      </c>
      <c r="AL27" s="19">
        <f t="shared" si="18"/>
        <v>0</v>
      </c>
      <c r="AM27" s="29"/>
      <c r="AN27" s="30">
        <f t="shared" si="19"/>
        <v>0</v>
      </c>
      <c r="AO27" s="19">
        <f t="shared" si="20"/>
        <v>0</v>
      </c>
      <c r="AP27" s="29"/>
      <c r="AQ27" s="30">
        <f t="shared" si="21"/>
        <v>0</v>
      </c>
      <c r="AR27" s="19">
        <f t="shared" si="22"/>
        <v>0</v>
      </c>
      <c r="AS27" s="29"/>
      <c r="AT27" s="30">
        <f t="shared" si="23"/>
        <v>0</v>
      </c>
      <c r="AU27" s="19">
        <f t="shared" si="24"/>
        <v>0</v>
      </c>
      <c r="AV27" s="29"/>
      <c r="AW27" s="30">
        <f t="shared" si="25"/>
        <v>0</v>
      </c>
      <c r="AX27" s="19">
        <f t="shared" si="26"/>
        <v>0</v>
      </c>
      <c r="AY27" s="25">
        <f t="shared" si="27"/>
        <v>14000</v>
      </c>
    </row>
    <row r="28" spans="1:51" ht="24" hidden="1">
      <c r="A28" s="56">
        <v>43843</v>
      </c>
      <c r="B28" s="29" t="s">
        <v>128</v>
      </c>
      <c r="C28" s="24" t="s">
        <v>129</v>
      </c>
      <c r="D28" s="29">
        <v>27000</v>
      </c>
      <c r="E28" s="29" t="s">
        <v>120</v>
      </c>
      <c r="F28" s="29" t="s">
        <v>168</v>
      </c>
      <c r="G28" s="29" t="s">
        <v>74</v>
      </c>
      <c r="H28" s="29">
        <v>15</v>
      </c>
      <c r="I28" s="30">
        <f t="shared" si="28"/>
        <v>7.666666666666667</v>
      </c>
      <c r="J28" s="29">
        <v>71000</v>
      </c>
      <c r="K28" s="29"/>
      <c r="L28" s="29">
        <f t="shared" si="1"/>
        <v>10650</v>
      </c>
      <c r="M28" s="29">
        <f t="shared" si="2"/>
        <v>81650</v>
      </c>
      <c r="N28" s="55">
        <f>M28-(AY28+'2019'!AY28)</f>
        <v>0</v>
      </c>
      <c r="O28" s="29">
        <v>27000</v>
      </c>
      <c r="P28" s="30">
        <f t="shared" si="3"/>
        <v>23478.260869565216</v>
      </c>
      <c r="Q28" s="30">
        <f t="shared" si="4"/>
        <v>3521.7391304347825</v>
      </c>
      <c r="R28" s="29">
        <v>20000</v>
      </c>
      <c r="S28" s="30">
        <f t="shared" si="5"/>
        <v>17391.304347826088</v>
      </c>
      <c r="T28" s="19">
        <f t="shared" si="6"/>
        <v>2608.695652173913</v>
      </c>
      <c r="U28" s="127"/>
      <c r="V28" s="121">
        <f t="shared" si="7"/>
        <v>0</v>
      </c>
      <c r="W28" s="126">
        <f t="shared" si="8"/>
        <v>0</v>
      </c>
      <c r="X28" s="122"/>
      <c r="Y28" s="30">
        <f t="shared" si="9"/>
        <v>0</v>
      </c>
      <c r="Z28" s="19">
        <f t="shared" si="10"/>
        <v>0</v>
      </c>
      <c r="AA28" s="29">
        <v>34650</v>
      </c>
      <c r="AB28" s="30">
        <f t="shared" si="11"/>
        <v>30130.434782608696</v>
      </c>
      <c r="AC28" s="19">
        <f t="shared" si="12"/>
        <v>4519.565217391304</v>
      </c>
      <c r="AD28" s="29"/>
      <c r="AE28" s="30">
        <f t="shared" si="13"/>
        <v>0</v>
      </c>
      <c r="AF28" s="19">
        <f t="shared" si="14"/>
        <v>0</v>
      </c>
      <c r="AG28" s="29"/>
      <c r="AH28" s="30">
        <f t="shared" si="15"/>
        <v>0</v>
      </c>
      <c r="AI28" s="19">
        <f t="shared" si="16"/>
        <v>0</v>
      </c>
      <c r="AJ28" s="29"/>
      <c r="AK28" s="30">
        <f t="shared" si="17"/>
        <v>0</v>
      </c>
      <c r="AL28" s="19">
        <f t="shared" si="18"/>
        <v>0</v>
      </c>
      <c r="AM28" s="29"/>
      <c r="AN28" s="30">
        <f t="shared" si="19"/>
        <v>0</v>
      </c>
      <c r="AO28" s="19">
        <f t="shared" si="20"/>
        <v>0</v>
      </c>
      <c r="AP28" s="29"/>
      <c r="AQ28" s="30">
        <f t="shared" si="21"/>
        <v>0</v>
      </c>
      <c r="AR28" s="19">
        <f t="shared" si="22"/>
        <v>0</v>
      </c>
      <c r="AS28" s="29"/>
      <c r="AT28" s="30">
        <f t="shared" si="23"/>
        <v>0</v>
      </c>
      <c r="AU28" s="19">
        <f t="shared" si="24"/>
        <v>0</v>
      </c>
      <c r="AV28" s="29"/>
      <c r="AW28" s="30">
        <f t="shared" si="25"/>
        <v>0</v>
      </c>
      <c r="AX28" s="19">
        <f t="shared" si="26"/>
        <v>0</v>
      </c>
      <c r="AY28" s="25">
        <f t="shared" si="27"/>
        <v>81650</v>
      </c>
    </row>
    <row r="29" spans="1:51" hidden="1">
      <c r="A29" s="106">
        <v>43834</v>
      </c>
      <c r="B29" s="107" t="s">
        <v>169</v>
      </c>
      <c r="C29" s="107" t="s">
        <v>170</v>
      </c>
      <c r="D29" s="107">
        <v>2000</v>
      </c>
      <c r="E29" s="107" t="s">
        <v>106</v>
      </c>
      <c r="F29" s="107" t="s">
        <v>171</v>
      </c>
      <c r="G29" s="108" t="s">
        <v>182</v>
      </c>
      <c r="H29" s="108">
        <v>33</v>
      </c>
      <c r="I29" s="109">
        <f t="shared" si="28"/>
        <v>4.0303030303030303</v>
      </c>
      <c r="J29" s="107">
        <v>15500</v>
      </c>
      <c r="K29" s="108"/>
      <c r="L29" s="108">
        <f t="shared" si="1"/>
        <v>5115</v>
      </c>
      <c r="M29" s="108">
        <f t="shared" si="2"/>
        <v>20615</v>
      </c>
      <c r="N29" s="110">
        <f>M29-(AY29+'2019'!AY29)</f>
        <v>16615</v>
      </c>
      <c r="O29" s="111">
        <f>2000+2000</f>
        <v>4000</v>
      </c>
      <c r="P29" s="30">
        <f t="shared" si="3"/>
        <v>3007.5187969924809</v>
      </c>
      <c r="Q29" s="30">
        <f t="shared" si="4"/>
        <v>992.48120300751884</v>
      </c>
      <c r="R29" s="29"/>
      <c r="S29" s="30">
        <f t="shared" si="5"/>
        <v>0</v>
      </c>
      <c r="T29" s="19">
        <f t="shared" si="6"/>
        <v>0</v>
      </c>
      <c r="U29" s="127"/>
      <c r="V29" s="121">
        <f t="shared" si="7"/>
        <v>0</v>
      </c>
      <c r="W29" s="126">
        <f t="shared" si="8"/>
        <v>0</v>
      </c>
      <c r="X29" s="122"/>
      <c r="Y29" s="30">
        <f t="shared" si="9"/>
        <v>0</v>
      </c>
      <c r="Z29" s="19">
        <f t="shared" si="10"/>
        <v>0</v>
      </c>
      <c r="AA29" s="29"/>
      <c r="AB29" s="30">
        <f t="shared" si="11"/>
        <v>0</v>
      </c>
      <c r="AC29" s="19">
        <f t="shared" si="12"/>
        <v>0</v>
      </c>
      <c r="AD29" s="29"/>
      <c r="AE29" s="30">
        <f t="shared" si="13"/>
        <v>0</v>
      </c>
      <c r="AF29" s="19">
        <f t="shared" si="14"/>
        <v>0</v>
      </c>
      <c r="AG29" s="29"/>
      <c r="AH29" s="30">
        <f t="shared" si="15"/>
        <v>0</v>
      </c>
      <c r="AI29" s="19">
        <f t="shared" si="16"/>
        <v>0</v>
      </c>
      <c r="AJ29" s="29"/>
      <c r="AK29" s="30">
        <f t="shared" si="17"/>
        <v>0</v>
      </c>
      <c r="AL29" s="19">
        <f t="shared" si="18"/>
        <v>0</v>
      </c>
      <c r="AM29" s="29"/>
      <c r="AN29" s="30">
        <f t="shared" si="19"/>
        <v>0</v>
      </c>
      <c r="AO29" s="19">
        <f t="shared" si="20"/>
        <v>0</v>
      </c>
      <c r="AP29" s="29"/>
      <c r="AQ29" s="30">
        <f t="shared" si="21"/>
        <v>0</v>
      </c>
      <c r="AR29" s="19">
        <f t="shared" si="22"/>
        <v>0</v>
      </c>
      <c r="AS29" s="29"/>
      <c r="AT29" s="30">
        <f t="shared" si="23"/>
        <v>0</v>
      </c>
      <c r="AU29" s="19">
        <f t="shared" si="24"/>
        <v>0</v>
      </c>
      <c r="AV29" s="29"/>
      <c r="AW29" s="30">
        <f t="shared" si="25"/>
        <v>0</v>
      </c>
      <c r="AX29" s="19">
        <f t="shared" si="26"/>
        <v>0</v>
      </c>
      <c r="AY29" s="25">
        <f t="shared" si="27"/>
        <v>4000</v>
      </c>
    </row>
    <row r="30" spans="1:51" hidden="1">
      <c r="A30" s="106">
        <v>43834</v>
      </c>
      <c r="B30" s="107" t="s">
        <v>172</v>
      </c>
      <c r="C30" s="107" t="s">
        <v>173</v>
      </c>
      <c r="D30" s="107">
        <v>1500</v>
      </c>
      <c r="E30" s="107" t="s">
        <v>106</v>
      </c>
      <c r="F30" s="107" t="s">
        <v>174</v>
      </c>
      <c r="G30" s="108" t="s">
        <v>182</v>
      </c>
      <c r="H30" s="108">
        <v>33</v>
      </c>
      <c r="I30" s="109">
        <f t="shared" si="28"/>
        <v>4.0303030303030303</v>
      </c>
      <c r="J30" s="107">
        <v>14500</v>
      </c>
      <c r="K30" s="108"/>
      <c r="L30" s="108">
        <f t="shared" si="1"/>
        <v>4785</v>
      </c>
      <c r="M30" s="108">
        <f t="shared" si="2"/>
        <v>19285</v>
      </c>
      <c r="N30" s="110">
        <f>M30-(AY30+'2019'!AY30)</f>
        <v>16285</v>
      </c>
      <c r="O30" s="111">
        <f>1500+1500</f>
        <v>3000</v>
      </c>
      <c r="P30" s="30">
        <f t="shared" si="3"/>
        <v>2255.6390977443607</v>
      </c>
      <c r="Q30" s="30">
        <f t="shared" si="4"/>
        <v>744.36090225563908</v>
      </c>
      <c r="R30" s="29"/>
      <c r="S30" s="30">
        <f t="shared" si="5"/>
        <v>0</v>
      </c>
      <c r="T30" s="19">
        <f t="shared" si="6"/>
        <v>0</v>
      </c>
      <c r="U30" s="127"/>
      <c r="V30" s="121">
        <f t="shared" si="7"/>
        <v>0</v>
      </c>
      <c r="W30" s="126">
        <f t="shared" si="8"/>
        <v>0</v>
      </c>
      <c r="X30" s="122"/>
      <c r="Y30" s="30">
        <f t="shared" si="9"/>
        <v>0</v>
      </c>
      <c r="Z30" s="19">
        <f t="shared" si="10"/>
        <v>0</v>
      </c>
      <c r="AA30" s="29"/>
      <c r="AB30" s="30">
        <f t="shared" si="11"/>
        <v>0</v>
      </c>
      <c r="AC30" s="19">
        <f t="shared" si="12"/>
        <v>0</v>
      </c>
      <c r="AD30" s="29"/>
      <c r="AE30" s="30">
        <f t="shared" si="13"/>
        <v>0</v>
      </c>
      <c r="AF30" s="19">
        <f t="shared" si="14"/>
        <v>0</v>
      </c>
      <c r="AG30" s="29"/>
      <c r="AH30" s="30">
        <f t="shared" si="15"/>
        <v>0</v>
      </c>
      <c r="AI30" s="19">
        <f t="shared" si="16"/>
        <v>0</v>
      </c>
      <c r="AJ30" s="29"/>
      <c r="AK30" s="30">
        <f t="shared" si="17"/>
        <v>0</v>
      </c>
      <c r="AL30" s="19">
        <f t="shared" si="18"/>
        <v>0</v>
      </c>
      <c r="AM30" s="29"/>
      <c r="AN30" s="30">
        <f t="shared" si="19"/>
        <v>0</v>
      </c>
      <c r="AO30" s="19">
        <f t="shared" si="20"/>
        <v>0</v>
      </c>
      <c r="AP30" s="29"/>
      <c r="AQ30" s="30">
        <f t="shared" si="21"/>
        <v>0</v>
      </c>
      <c r="AR30" s="19">
        <f t="shared" si="22"/>
        <v>0</v>
      </c>
      <c r="AS30" s="29"/>
      <c r="AT30" s="30">
        <f t="shared" si="23"/>
        <v>0</v>
      </c>
      <c r="AU30" s="19">
        <f t="shared" si="24"/>
        <v>0</v>
      </c>
      <c r="AV30" s="29"/>
      <c r="AW30" s="30">
        <f t="shared" si="25"/>
        <v>0</v>
      </c>
      <c r="AX30" s="19">
        <f t="shared" si="26"/>
        <v>0</v>
      </c>
      <c r="AY30" s="25">
        <f t="shared" si="27"/>
        <v>3000</v>
      </c>
    </row>
    <row r="31" spans="1:51" ht="24" hidden="1">
      <c r="A31" s="106">
        <v>43834</v>
      </c>
      <c r="B31" s="108" t="s">
        <v>175</v>
      </c>
      <c r="C31" s="108" t="s">
        <v>176</v>
      </c>
      <c r="D31" s="108">
        <v>3000</v>
      </c>
      <c r="E31" s="108" t="s">
        <v>106</v>
      </c>
      <c r="F31" s="108" t="s">
        <v>177</v>
      </c>
      <c r="G31" s="108" t="s">
        <v>182</v>
      </c>
      <c r="H31" s="108">
        <v>33</v>
      </c>
      <c r="I31" s="109">
        <f t="shared" si="28"/>
        <v>4.0303030303030303</v>
      </c>
      <c r="J31" s="108">
        <v>30000</v>
      </c>
      <c r="K31" s="108"/>
      <c r="L31" s="108">
        <f t="shared" si="1"/>
        <v>9900</v>
      </c>
      <c r="M31" s="108">
        <f t="shared" si="2"/>
        <v>39900</v>
      </c>
      <c r="N31" s="110">
        <f>M31-(AY31+'2019'!AY31)</f>
        <v>33900</v>
      </c>
      <c r="O31" s="108">
        <f>3000+3000</f>
        <v>6000</v>
      </c>
      <c r="P31" s="30">
        <f t="shared" si="3"/>
        <v>4511.2781954887214</v>
      </c>
      <c r="Q31" s="30">
        <f t="shared" si="4"/>
        <v>1488.7218045112782</v>
      </c>
      <c r="R31" s="29"/>
      <c r="S31" s="30">
        <f t="shared" si="5"/>
        <v>0</v>
      </c>
      <c r="T31" s="19">
        <f t="shared" si="6"/>
        <v>0</v>
      </c>
      <c r="U31" s="127"/>
      <c r="V31" s="121">
        <f t="shared" si="7"/>
        <v>0</v>
      </c>
      <c r="W31" s="126">
        <f t="shared" si="8"/>
        <v>0</v>
      </c>
      <c r="X31" s="122"/>
      <c r="Y31" s="30">
        <f t="shared" si="9"/>
        <v>0</v>
      </c>
      <c r="Z31" s="19">
        <f t="shared" si="10"/>
        <v>0</v>
      </c>
      <c r="AA31" s="29"/>
      <c r="AB31" s="30">
        <f t="shared" si="11"/>
        <v>0</v>
      </c>
      <c r="AC31" s="19">
        <f t="shared" si="12"/>
        <v>0</v>
      </c>
      <c r="AD31" s="29"/>
      <c r="AE31" s="30">
        <f t="shared" si="13"/>
        <v>0</v>
      </c>
      <c r="AF31" s="19">
        <f t="shared" si="14"/>
        <v>0</v>
      </c>
      <c r="AG31" s="29"/>
      <c r="AH31" s="30">
        <f t="shared" si="15"/>
        <v>0</v>
      </c>
      <c r="AI31" s="19">
        <f t="shared" si="16"/>
        <v>0</v>
      </c>
      <c r="AJ31" s="29"/>
      <c r="AK31" s="30">
        <f t="shared" si="17"/>
        <v>0</v>
      </c>
      <c r="AL31" s="19">
        <f t="shared" si="18"/>
        <v>0</v>
      </c>
      <c r="AM31" s="29"/>
      <c r="AN31" s="30">
        <f t="shared" si="19"/>
        <v>0</v>
      </c>
      <c r="AO31" s="19">
        <f t="shared" si="20"/>
        <v>0</v>
      </c>
      <c r="AP31" s="29"/>
      <c r="AQ31" s="30">
        <f t="shared" si="21"/>
        <v>0</v>
      </c>
      <c r="AR31" s="19">
        <f t="shared" si="22"/>
        <v>0</v>
      </c>
      <c r="AS31" s="29"/>
      <c r="AT31" s="30">
        <f t="shared" si="23"/>
        <v>0</v>
      </c>
      <c r="AU31" s="19">
        <f t="shared" si="24"/>
        <v>0</v>
      </c>
      <c r="AV31" s="29"/>
      <c r="AW31" s="30">
        <f t="shared" si="25"/>
        <v>0</v>
      </c>
      <c r="AX31" s="19">
        <f t="shared" si="26"/>
        <v>0</v>
      </c>
      <c r="AY31" s="25">
        <f t="shared" si="27"/>
        <v>6000</v>
      </c>
    </row>
    <row r="32" spans="1:51" hidden="1">
      <c r="A32" s="106">
        <v>43834</v>
      </c>
      <c r="B32" s="108" t="s">
        <v>178</v>
      </c>
      <c r="C32" s="108" t="s">
        <v>179</v>
      </c>
      <c r="D32" s="108">
        <v>2000</v>
      </c>
      <c r="E32" s="108" t="s">
        <v>106</v>
      </c>
      <c r="F32" s="108" t="s">
        <v>117</v>
      </c>
      <c r="G32" s="108" t="s">
        <v>182</v>
      </c>
      <c r="H32" s="108">
        <v>33</v>
      </c>
      <c r="I32" s="109">
        <f t="shared" si="28"/>
        <v>4.0303030303030303</v>
      </c>
      <c r="J32" s="108">
        <v>20000</v>
      </c>
      <c r="K32" s="108"/>
      <c r="L32" s="108">
        <f t="shared" si="1"/>
        <v>6600</v>
      </c>
      <c r="M32" s="108">
        <f t="shared" si="2"/>
        <v>26600</v>
      </c>
      <c r="N32" s="110">
        <f>M32-(AY32+'2019'!AY32)</f>
        <v>22600</v>
      </c>
      <c r="O32" s="108">
        <f>2000+2000</f>
        <v>4000</v>
      </c>
      <c r="P32" s="30">
        <f t="shared" si="3"/>
        <v>3007.5187969924809</v>
      </c>
      <c r="Q32" s="30">
        <f t="shared" si="4"/>
        <v>992.48120300751884</v>
      </c>
      <c r="R32" s="29"/>
      <c r="S32" s="30">
        <f t="shared" si="5"/>
        <v>0</v>
      </c>
      <c r="T32" s="19">
        <f t="shared" si="6"/>
        <v>0</v>
      </c>
      <c r="U32" s="127"/>
      <c r="V32" s="121">
        <f t="shared" si="7"/>
        <v>0</v>
      </c>
      <c r="W32" s="126">
        <f t="shared" si="8"/>
        <v>0</v>
      </c>
      <c r="X32" s="122"/>
      <c r="Y32" s="30">
        <f t="shared" si="9"/>
        <v>0</v>
      </c>
      <c r="Z32" s="19">
        <f t="shared" si="10"/>
        <v>0</v>
      </c>
      <c r="AA32" s="29"/>
      <c r="AB32" s="30">
        <f t="shared" si="11"/>
        <v>0</v>
      </c>
      <c r="AC32" s="19">
        <f t="shared" si="12"/>
        <v>0</v>
      </c>
      <c r="AD32" s="29"/>
      <c r="AE32" s="30">
        <f t="shared" si="13"/>
        <v>0</v>
      </c>
      <c r="AF32" s="19">
        <f t="shared" si="14"/>
        <v>0</v>
      </c>
      <c r="AG32" s="29"/>
      <c r="AH32" s="30">
        <f t="shared" si="15"/>
        <v>0</v>
      </c>
      <c r="AI32" s="19">
        <f t="shared" si="16"/>
        <v>0</v>
      </c>
      <c r="AJ32" s="29"/>
      <c r="AK32" s="30">
        <f t="shared" si="17"/>
        <v>0</v>
      </c>
      <c r="AL32" s="19">
        <f t="shared" si="18"/>
        <v>0</v>
      </c>
      <c r="AM32" s="29"/>
      <c r="AN32" s="30">
        <f t="shared" si="19"/>
        <v>0</v>
      </c>
      <c r="AO32" s="19">
        <f t="shared" si="20"/>
        <v>0</v>
      </c>
      <c r="AP32" s="29"/>
      <c r="AQ32" s="30">
        <f t="shared" si="21"/>
        <v>0</v>
      </c>
      <c r="AR32" s="19">
        <f t="shared" si="22"/>
        <v>0</v>
      </c>
      <c r="AS32" s="29"/>
      <c r="AT32" s="30">
        <f t="shared" si="23"/>
        <v>0</v>
      </c>
      <c r="AU32" s="19">
        <f t="shared" si="24"/>
        <v>0</v>
      </c>
      <c r="AV32" s="29"/>
      <c r="AW32" s="30">
        <f t="shared" si="25"/>
        <v>0</v>
      </c>
      <c r="AX32" s="19">
        <f t="shared" si="26"/>
        <v>0</v>
      </c>
      <c r="AY32" s="25">
        <f t="shared" si="27"/>
        <v>4000</v>
      </c>
    </row>
    <row r="33" spans="1:51" hidden="1">
      <c r="A33" s="106">
        <v>43836</v>
      </c>
      <c r="B33" s="108" t="s">
        <v>180</v>
      </c>
      <c r="C33" s="108" t="s">
        <v>129</v>
      </c>
      <c r="D33" s="108">
        <v>10000</v>
      </c>
      <c r="E33" s="108" t="s">
        <v>120</v>
      </c>
      <c r="F33" s="108" t="s">
        <v>181</v>
      </c>
      <c r="G33" s="108" t="s">
        <v>182</v>
      </c>
      <c r="H33" s="108">
        <v>33</v>
      </c>
      <c r="I33" s="109">
        <f t="shared" si="28"/>
        <v>4.0303030303030303</v>
      </c>
      <c r="J33" s="108">
        <v>80000</v>
      </c>
      <c r="K33" s="108"/>
      <c r="L33" s="108">
        <f t="shared" si="1"/>
        <v>26400</v>
      </c>
      <c r="M33" s="108">
        <f t="shared" si="2"/>
        <v>106400</v>
      </c>
      <c r="N33" s="110">
        <f>M33-(AY33+'2019'!AY33)</f>
        <v>86400</v>
      </c>
      <c r="O33" s="108">
        <f>9000+11000</f>
        <v>20000</v>
      </c>
      <c r="P33" s="30">
        <f t="shared" si="3"/>
        <v>15037.593984962405</v>
      </c>
      <c r="Q33" s="30">
        <f t="shared" si="4"/>
        <v>4962.4060150375944</v>
      </c>
      <c r="R33" s="29"/>
      <c r="S33" s="30">
        <f t="shared" si="5"/>
        <v>0</v>
      </c>
      <c r="T33" s="19">
        <f t="shared" si="6"/>
        <v>0</v>
      </c>
      <c r="U33" s="127"/>
      <c r="V33" s="121">
        <f t="shared" si="7"/>
        <v>0</v>
      </c>
      <c r="W33" s="126">
        <f t="shared" si="8"/>
        <v>0</v>
      </c>
      <c r="X33" s="122"/>
      <c r="Y33" s="30">
        <f t="shared" si="9"/>
        <v>0</v>
      </c>
      <c r="Z33" s="19">
        <f t="shared" si="10"/>
        <v>0</v>
      </c>
      <c r="AA33" s="29"/>
      <c r="AB33" s="30">
        <f t="shared" si="11"/>
        <v>0</v>
      </c>
      <c r="AC33" s="19">
        <f t="shared" si="12"/>
        <v>0</v>
      </c>
      <c r="AD33" s="29"/>
      <c r="AE33" s="30">
        <f t="shared" si="13"/>
        <v>0</v>
      </c>
      <c r="AF33" s="19">
        <f t="shared" si="14"/>
        <v>0</v>
      </c>
      <c r="AG33" s="29"/>
      <c r="AH33" s="30">
        <f t="shared" si="15"/>
        <v>0</v>
      </c>
      <c r="AI33" s="19">
        <f t="shared" si="16"/>
        <v>0</v>
      </c>
      <c r="AJ33" s="29"/>
      <c r="AK33" s="30">
        <f t="shared" si="17"/>
        <v>0</v>
      </c>
      <c r="AL33" s="19">
        <f t="shared" si="18"/>
        <v>0</v>
      </c>
      <c r="AM33" s="29"/>
      <c r="AN33" s="30">
        <f t="shared" si="19"/>
        <v>0</v>
      </c>
      <c r="AO33" s="19">
        <f t="shared" si="20"/>
        <v>0</v>
      </c>
      <c r="AP33" s="29"/>
      <c r="AQ33" s="30">
        <f t="shared" si="21"/>
        <v>0</v>
      </c>
      <c r="AR33" s="19">
        <f t="shared" si="22"/>
        <v>0</v>
      </c>
      <c r="AS33" s="29"/>
      <c r="AT33" s="30">
        <f t="shared" si="23"/>
        <v>0</v>
      </c>
      <c r="AU33" s="19">
        <f t="shared" si="24"/>
        <v>0</v>
      </c>
      <c r="AV33" s="29"/>
      <c r="AW33" s="30">
        <f t="shared" si="25"/>
        <v>0</v>
      </c>
      <c r="AX33" s="19">
        <f t="shared" si="26"/>
        <v>0</v>
      </c>
      <c r="AY33" s="25">
        <f t="shared" si="27"/>
        <v>20000</v>
      </c>
    </row>
    <row r="34" spans="1:51" ht="25.5">
      <c r="A34" s="56">
        <v>43836</v>
      </c>
      <c r="B34" s="24" t="s">
        <v>183</v>
      </c>
      <c r="C34" s="24" t="s">
        <v>184</v>
      </c>
      <c r="D34" s="24">
        <v>3500</v>
      </c>
      <c r="E34" s="24" t="s">
        <v>190</v>
      </c>
      <c r="F34" s="24" t="s">
        <v>191</v>
      </c>
      <c r="G34" s="29" t="s">
        <v>89</v>
      </c>
      <c r="H34" s="29">
        <v>33</v>
      </c>
      <c r="I34" s="30">
        <f t="shared" si="28"/>
        <v>4.0303030303030303</v>
      </c>
      <c r="J34" s="24">
        <v>33000</v>
      </c>
      <c r="K34" s="29"/>
      <c r="L34" s="29">
        <f t="shared" si="1"/>
        <v>10890</v>
      </c>
      <c r="M34" s="29">
        <f t="shared" si="2"/>
        <v>43890</v>
      </c>
      <c r="N34" s="55">
        <f>M34-(AY34+'2019'!AY34)</f>
        <v>17390</v>
      </c>
      <c r="O34" s="14">
        <f>3500+3500</f>
        <v>7000</v>
      </c>
      <c r="P34" s="30">
        <f t="shared" si="3"/>
        <v>5263.1578947368416</v>
      </c>
      <c r="Q34" s="30">
        <f t="shared" si="4"/>
        <v>1736.8421052631579</v>
      </c>
      <c r="R34" s="29">
        <v>3500</v>
      </c>
      <c r="S34" s="30">
        <f t="shared" si="5"/>
        <v>2631.5789473684208</v>
      </c>
      <c r="T34" s="19">
        <f t="shared" si="6"/>
        <v>868.42105263157896</v>
      </c>
      <c r="U34" s="127">
        <v>4000</v>
      </c>
      <c r="V34" s="121">
        <f t="shared" si="7"/>
        <v>3007.5187969924809</v>
      </c>
      <c r="W34" s="126">
        <f t="shared" si="8"/>
        <v>992.48120300751884</v>
      </c>
      <c r="X34" s="122">
        <v>4000</v>
      </c>
      <c r="Y34" s="30">
        <f t="shared" si="9"/>
        <v>3007.5187969924809</v>
      </c>
      <c r="Z34" s="19">
        <f t="shared" si="10"/>
        <v>992.48120300751884</v>
      </c>
      <c r="AA34" s="29">
        <v>4000</v>
      </c>
      <c r="AB34" s="30">
        <f t="shared" si="11"/>
        <v>3007.5187969924809</v>
      </c>
      <c r="AC34" s="19">
        <f t="shared" si="12"/>
        <v>992.48120300751884</v>
      </c>
      <c r="AD34" s="29">
        <v>4000</v>
      </c>
      <c r="AE34" s="30">
        <f t="shared" si="13"/>
        <v>3007.5187969924809</v>
      </c>
      <c r="AF34" s="19">
        <f t="shared" si="14"/>
        <v>992.48120300751884</v>
      </c>
      <c r="AG34" s="29"/>
      <c r="AH34" s="30">
        <f t="shared" si="15"/>
        <v>0</v>
      </c>
      <c r="AI34" s="19">
        <f t="shared" si="16"/>
        <v>0</v>
      </c>
      <c r="AJ34" s="29"/>
      <c r="AK34" s="30">
        <f t="shared" si="17"/>
        <v>0</v>
      </c>
      <c r="AL34" s="19">
        <f t="shared" si="18"/>
        <v>0</v>
      </c>
      <c r="AM34" s="29"/>
      <c r="AN34" s="30">
        <f t="shared" si="19"/>
        <v>0</v>
      </c>
      <c r="AO34" s="19">
        <f t="shared" si="20"/>
        <v>0</v>
      </c>
      <c r="AP34" s="29"/>
      <c r="AQ34" s="30">
        <f t="shared" si="21"/>
        <v>0</v>
      </c>
      <c r="AR34" s="19">
        <f t="shared" si="22"/>
        <v>0</v>
      </c>
      <c r="AS34" s="29"/>
      <c r="AT34" s="30">
        <f t="shared" si="23"/>
        <v>0</v>
      </c>
      <c r="AU34" s="19">
        <f t="shared" si="24"/>
        <v>0</v>
      </c>
      <c r="AV34" s="29"/>
      <c r="AW34" s="30">
        <f t="shared" si="25"/>
        <v>0</v>
      </c>
      <c r="AX34" s="19">
        <f t="shared" si="26"/>
        <v>0</v>
      </c>
      <c r="AY34" s="25">
        <f t="shared" si="27"/>
        <v>26500</v>
      </c>
    </row>
    <row r="35" spans="1:51" ht="25.5">
      <c r="A35" s="56">
        <v>43836</v>
      </c>
      <c r="B35" s="24" t="s">
        <v>185</v>
      </c>
      <c r="C35" s="24" t="s">
        <v>148</v>
      </c>
      <c r="D35" s="24">
        <v>4500</v>
      </c>
      <c r="E35" s="24" t="s">
        <v>192</v>
      </c>
      <c r="F35" s="24" t="s">
        <v>193</v>
      </c>
      <c r="G35" s="29" t="s">
        <v>89</v>
      </c>
      <c r="H35" s="29">
        <v>33</v>
      </c>
      <c r="I35" s="30">
        <f t="shared" si="28"/>
        <v>4.0303030303030303</v>
      </c>
      <c r="J35" s="24">
        <v>40000</v>
      </c>
      <c r="K35" s="29"/>
      <c r="L35" s="29">
        <f t="shared" si="1"/>
        <v>13200</v>
      </c>
      <c r="M35" s="29">
        <f t="shared" si="2"/>
        <v>53200</v>
      </c>
      <c r="N35" s="58">
        <f>M35-(AY35+'2019'!AY35)</f>
        <v>17200</v>
      </c>
      <c r="O35" s="14">
        <f>4500+4500</f>
        <v>9000</v>
      </c>
      <c r="P35" s="30">
        <f t="shared" si="3"/>
        <v>6766.9172932330821</v>
      </c>
      <c r="Q35" s="30">
        <f t="shared" si="4"/>
        <v>2233.0827067669175</v>
      </c>
      <c r="R35" s="29">
        <v>4500</v>
      </c>
      <c r="S35" s="30">
        <f t="shared" si="5"/>
        <v>3383.458646616541</v>
      </c>
      <c r="T35" s="19">
        <f t="shared" si="6"/>
        <v>1116.5413533834587</v>
      </c>
      <c r="U35" s="127">
        <v>4500</v>
      </c>
      <c r="V35" s="121">
        <f t="shared" si="7"/>
        <v>3383.458646616541</v>
      </c>
      <c r="W35" s="126">
        <f t="shared" si="8"/>
        <v>1116.5413533834587</v>
      </c>
      <c r="X35" s="122">
        <v>4500</v>
      </c>
      <c r="Y35" s="30">
        <f t="shared" si="9"/>
        <v>3383.458646616541</v>
      </c>
      <c r="Z35" s="19">
        <f t="shared" si="10"/>
        <v>1116.5413533834587</v>
      </c>
      <c r="AA35" s="29">
        <v>4500</v>
      </c>
      <c r="AB35" s="30">
        <f t="shared" si="11"/>
        <v>3383.458646616541</v>
      </c>
      <c r="AC35" s="19">
        <f t="shared" si="12"/>
        <v>1116.5413533834587</v>
      </c>
      <c r="AD35" s="29">
        <v>4500</v>
      </c>
      <c r="AE35" s="30">
        <f t="shared" si="13"/>
        <v>3383.458646616541</v>
      </c>
      <c r="AF35" s="19">
        <f t="shared" si="14"/>
        <v>1116.5413533834587</v>
      </c>
      <c r="AG35" s="29">
        <v>4500</v>
      </c>
      <c r="AH35" s="30">
        <f t="shared" si="15"/>
        <v>3383.458646616541</v>
      </c>
      <c r="AI35" s="19">
        <f t="shared" si="16"/>
        <v>1116.5413533834587</v>
      </c>
      <c r="AJ35" s="29"/>
      <c r="AK35" s="30">
        <f t="shared" si="17"/>
        <v>0</v>
      </c>
      <c r="AL35" s="19">
        <f t="shared" si="18"/>
        <v>0</v>
      </c>
      <c r="AM35" s="29"/>
      <c r="AN35" s="30">
        <f t="shared" si="19"/>
        <v>0</v>
      </c>
      <c r="AO35" s="19">
        <f t="shared" si="20"/>
        <v>0</v>
      </c>
      <c r="AP35" s="29"/>
      <c r="AQ35" s="30">
        <f t="shared" si="21"/>
        <v>0</v>
      </c>
      <c r="AR35" s="19">
        <f t="shared" si="22"/>
        <v>0</v>
      </c>
      <c r="AS35" s="29"/>
      <c r="AT35" s="30">
        <f t="shared" si="23"/>
        <v>0</v>
      </c>
      <c r="AU35" s="19">
        <f t="shared" si="24"/>
        <v>0</v>
      </c>
      <c r="AV35" s="29"/>
      <c r="AW35" s="30">
        <f t="shared" si="25"/>
        <v>0</v>
      </c>
      <c r="AX35" s="19">
        <f t="shared" si="26"/>
        <v>0</v>
      </c>
      <c r="AY35" s="25">
        <f t="shared" si="27"/>
        <v>36000</v>
      </c>
    </row>
    <row r="36" spans="1:51" ht="24">
      <c r="A36" s="56">
        <v>43836</v>
      </c>
      <c r="B36" s="29" t="s">
        <v>186</v>
      </c>
      <c r="C36" s="29" t="s">
        <v>187</v>
      </c>
      <c r="D36" s="29">
        <v>2000</v>
      </c>
      <c r="E36" s="29" t="s">
        <v>194</v>
      </c>
      <c r="F36" s="29" t="s">
        <v>195</v>
      </c>
      <c r="G36" s="29" t="s">
        <v>89</v>
      </c>
      <c r="H36" s="29">
        <v>33</v>
      </c>
      <c r="I36" s="30">
        <f t="shared" si="28"/>
        <v>4.0303030303030303</v>
      </c>
      <c r="J36" s="29">
        <v>22500</v>
      </c>
      <c r="K36" s="29"/>
      <c r="L36" s="29">
        <f t="shared" si="1"/>
        <v>7425</v>
      </c>
      <c r="M36" s="29">
        <f t="shared" si="2"/>
        <v>29925</v>
      </c>
      <c r="N36" s="58">
        <f>M36-(AY36+'2019'!AY36)</f>
        <v>8925</v>
      </c>
      <c r="O36" s="29">
        <f>3000+3000</f>
        <v>6000</v>
      </c>
      <c r="P36" s="30">
        <f t="shared" si="3"/>
        <v>4511.2781954887214</v>
      </c>
      <c r="Q36" s="30">
        <f t="shared" si="4"/>
        <v>1488.7218045112782</v>
      </c>
      <c r="R36" s="29">
        <v>3000</v>
      </c>
      <c r="S36" s="30">
        <f t="shared" si="5"/>
        <v>2255.6390977443607</v>
      </c>
      <c r="T36" s="19">
        <f t="shared" si="6"/>
        <v>744.36090225563908</v>
      </c>
      <c r="U36" s="127">
        <v>3000</v>
      </c>
      <c r="V36" s="121">
        <f t="shared" si="7"/>
        <v>2255.6390977443607</v>
      </c>
      <c r="W36" s="126">
        <f t="shared" si="8"/>
        <v>744.36090225563908</v>
      </c>
      <c r="X36" s="122"/>
      <c r="Y36" s="30">
        <f t="shared" si="9"/>
        <v>0</v>
      </c>
      <c r="Z36" s="19">
        <f t="shared" si="10"/>
        <v>0</v>
      </c>
      <c r="AA36" s="29">
        <v>3000</v>
      </c>
      <c r="AB36" s="30">
        <f t="shared" si="11"/>
        <v>2255.6390977443607</v>
      </c>
      <c r="AC36" s="19">
        <f t="shared" si="12"/>
        <v>744.36090225563908</v>
      </c>
      <c r="AD36" s="29">
        <v>3000</v>
      </c>
      <c r="AE36" s="30">
        <f t="shared" si="13"/>
        <v>2255.6390977443607</v>
      </c>
      <c r="AF36" s="19">
        <f t="shared" si="14"/>
        <v>744.36090225563908</v>
      </c>
      <c r="AG36" s="29">
        <v>3000</v>
      </c>
      <c r="AH36" s="30">
        <f t="shared" si="15"/>
        <v>2255.6390977443607</v>
      </c>
      <c r="AI36" s="19">
        <f t="shared" si="16"/>
        <v>744.36090225563908</v>
      </c>
      <c r="AJ36" s="29"/>
      <c r="AK36" s="30">
        <f t="shared" si="17"/>
        <v>0</v>
      </c>
      <c r="AL36" s="19">
        <f t="shared" si="18"/>
        <v>0</v>
      </c>
      <c r="AM36" s="29"/>
      <c r="AN36" s="30">
        <f t="shared" si="19"/>
        <v>0</v>
      </c>
      <c r="AO36" s="19">
        <f t="shared" si="20"/>
        <v>0</v>
      </c>
      <c r="AP36" s="29"/>
      <c r="AQ36" s="30">
        <f t="shared" si="21"/>
        <v>0</v>
      </c>
      <c r="AR36" s="19">
        <f t="shared" si="22"/>
        <v>0</v>
      </c>
      <c r="AS36" s="29"/>
      <c r="AT36" s="30">
        <f t="shared" si="23"/>
        <v>0</v>
      </c>
      <c r="AU36" s="19">
        <f t="shared" si="24"/>
        <v>0</v>
      </c>
      <c r="AV36" s="29"/>
      <c r="AW36" s="30">
        <f t="shared" si="25"/>
        <v>0</v>
      </c>
      <c r="AX36" s="19">
        <f t="shared" si="26"/>
        <v>0</v>
      </c>
      <c r="AY36" s="25">
        <f t="shared" si="27"/>
        <v>21000</v>
      </c>
    </row>
    <row r="37" spans="1:51" ht="24">
      <c r="A37" s="56">
        <v>43838</v>
      </c>
      <c r="B37" s="29" t="s">
        <v>188</v>
      </c>
      <c r="C37" s="29"/>
      <c r="D37" s="29">
        <v>2000</v>
      </c>
      <c r="E37" s="29" t="s">
        <v>109</v>
      </c>
      <c r="F37" s="29" t="s">
        <v>196</v>
      </c>
      <c r="G37" s="29" t="s">
        <v>89</v>
      </c>
      <c r="H37" s="29">
        <v>33</v>
      </c>
      <c r="I37" s="30">
        <f t="shared" si="28"/>
        <v>4.0303030303030303</v>
      </c>
      <c r="J37" s="29">
        <v>16000</v>
      </c>
      <c r="K37" s="29"/>
      <c r="L37" s="29">
        <f t="shared" si="1"/>
        <v>5280</v>
      </c>
      <c r="M37" s="29">
        <f t="shared" si="2"/>
        <v>21280</v>
      </c>
      <c r="N37" s="58">
        <f>M37-(AY37+'2019'!AY37)</f>
        <v>5280</v>
      </c>
      <c r="O37" s="29">
        <f>2000+2000</f>
        <v>4000</v>
      </c>
      <c r="P37" s="30">
        <f t="shared" si="3"/>
        <v>3007.5187969924809</v>
      </c>
      <c r="Q37" s="30">
        <f t="shared" si="4"/>
        <v>992.48120300751884</v>
      </c>
      <c r="R37" s="29">
        <v>2000</v>
      </c>
      <c r="S37" s="30">
        <f t="shared" si="5"/>
        <v>1503.7593984962405</v>
      </c>
      <c r="T37" s="19">
        <f t="shared" si="6"/>
        <v>496.24060150375942</v>
      </c>
      <c r="U37" s="127">
        <v>2000</v>
      </c>
      <c r="V37" s="121">
        <f t="shared" si="7"/>
        <v>1503.7593984962405</v>
      </c>
      <c r="W37" s="126">
        <f t="shared" si="8"/>
        <v>496.24060150375942</v>
      </c>
      <c r="X37" s="122">
        <v>2000</v>
      </c>
      <c r="Y37" s="30">
        <f t="shared" si="9"/>
        <v>1503.7593984962405</v>
      </c>
      <c r="Z37" s="19">
        <f t="shared" si="10"/>
        <v>496.24060150375942</v>
      </c>
      <c r="AA37" s="29">
        <v>2000</v>
      </c>
      <c r="AB37" s="30">
        <f t="shared" si="11"/>
        <v>1503.7593984962405</v>
      </c>
      <c r="AC37" s="19">
        <f t="shared" si="12"/>
        <v>496.24060150375942</v>
      </c>
      <c r="AD37" s="29">
        <v>2000</v>
      </c>
      <c r="AE37" s="30">
        <f t="shared" si="13"/>
        <v>1503.7593984962405</v>
      </c>
      <c r="AF37" s="19">
        <f t="shared" si="14"/>
        <v>496.24060150375942</v>
      </c>
      <c r="AG37" s="29">
        <v>2000</v>
      </c>
      <c r="AH37" s="30">
        <f t="shared" si="15"/>
        <v>1503.7593984962405</v>
      </c>
      <c r="AI37" s="19">
        <f t="shared" si="16"/>
        <v>496.24060150375942</v>
      </c>
      <c r="AJ37" s="29"/>
      <c r="AK37" s="30">
        <f t="shared" si="17"/>
        <v>0</v>
      </c>
      <c r="AL37" s="19">
        <f t="shared" si="18"/>
        <v>0</v>
      </c>
      <c r="AM37" s="29"/>
      <c r="AN37" s="30">
        <f t="shared" si="19"/>
        <v>0</v>
      </c>
      <c r="AO37" s="19">
        <f t="shared" si="20"/>
        <v>0</v>
      </c>
      <c r="AP37" s="29"/>
      <c r="AQ37" s="30">
        <f t="shared" si="21"/>
        <v>0</v>
      </c>
      <c r="AR37" s="19">
        <f t="shared" si="22"/>
        <v>0</v>
      </c>
      <c r="AS37" s="29"/>
      <c r="AT37" s="30">
        <f t="shared" si="23"/>
        <v>0</v>
      </c>
      <c r="AU37" s="19">
        <f t="shared" si="24"/>
        <v>0</v>
      </c>
      <c r="AV37" s="29"/>
      <c r="AW37" s="30">
        <f t="shared" si="25"/>
        <v>0</v>
      </c>
      <c r="AX37" s="19">
        <f t="shared" si="26"/>
        <v>0</v>
      </c>
      <c r="AY37" s="25">
        <f t="shared" si="27"/>
        <v>16000</v>
      </c>
    </row>
    <row r="38" spans="1:51" ht="24">
      <c r="A38" s="56">
        <v>43839</v>
      </c>
      <c r="B38" s="29" t="s">
        <v>189</v>
      </c>
      <c r="C38" s="29"/>
      <c r="D38" s="29">
        <v>3000</v>
      </c>
      <c r="E38" s="29" t="s">
        <v>109</v>
      </c>
      <c r="F38" s="29" t="s">
        <v>197</v>
      </c>
      <c r="G38" s="29" t="s">
        <v>89</v>
      </c>
      <c r="H38" s="29">
        <v>33</v>
      </c>
      <c r="I38" s="30">
        <f t="shared" si="28"/>
        <v>4.0303030303030303</v>
      </c>
      <c r="J38" s="29">
        <v>25000</v>
      </c>
      <c r="K38" s="29"/>
      <c r="L38" s="29">
        <f t="shared" si="1"/>
        <v>8250</v>
      </c>
      <c r="M38" s="29">
        <f t="shared" si="2"/>
        <v>33250</v>
      </c>
      <c r="N38" s="58">
        <f>M38-(AY38+'2019'!AY38)</f>
        <v>9250</v>
      </c>
      <c r="O38" s="29">
        <f>3000+3000</f>
        <v>6000</v>
      </c>
      <c r="P38" s="30">
        <f t="shared" si="3"/>
        <v>4511.2781954887214</v>
      </c>
      <c r="Q38" s="30">
        <f t="shared" si="4"/>
        <v>1488.7218045112782</v>
      </c>
      <c r="R38" s="29">
        <v>3000</v>
      </c>
      <c r="S38" s="30">
        <f t="shared" si="5"/>
        <v>2255.6390977443607</v>
      </c>
      <c r="T38" s="19">
        <f t="shared" si="6"/>
        <v>744.36090225563908</v>
      </c>
      <c r="U38" s="127">
        <v>3000</v>
      </c>
      <c r="V38" s="121">
        <f t="shared" si="7"/>
        <v>2255.6390977443607</v>
      </c>
      <c r="W38" s="126">
        <f t="shared" si="8"/>
        <v>744.36090225563908</v>
      </c>
      <c r="X38" s="122">
        <v>3000</v>
      </c>
      <c r="Y38" s="30">
        <f t="shared" si="9"/>
        <v>2255.6390977443607</v>
      </c>
      <c r="Z38" s="19">
        <f t="shared" si="10"/>
        <v>744.36090225563908</v>
      </c>
      <c r="AA38" s="29">
        <v>3000</v>
      </c>
      <c r="AB38" s="30">
        <f t="shared" si="11"/>
        <v>2255.6390977443607</v>
      </c>
      <c r="AC38" s="19">
        <f t="shared" si="12"/>
        <v>744.36090225563908</v>
      </c>
      <c r="AD38" s="29">
        <v>3000</v>
      </c>
      <c r="AE38" s="30">
        <f t="shared" si="13"/>
        <v>2255.6390977443607</v>
      </c>
      <c r="AF38" s="19">
        <f t="shared" si="14"/>
        <v>744.36090225563908</v>
      </c>
      <c r="AG38" s="29">
        <v>3000</v>
      </c>
      <c r="AH38" s="30">
        <f t="shared" si="15"/>
        <v>2255.6390977443607</v>
      </c>
      <c r="AI38" s="19">
        <f t="shared" si="16"/>
        <v>744.36090225563908</v>
      </c>
      <c r="AJ38" s="29"/>
      <c r="AK38" s="30">
        <f t="shared" si="17"/>
        <v>0</v>
      </c>
      <c r="AL38" s="19">
        <f t="shared" si="18"/>
        <v>0</v>
      </c>
      <c r="AM38" s="29"/>
      <c r="AN38" s="30">
        <f t="shared" si="19"/>
        <v>0</v>
      </c>
      <c r="AO38" s="19">
        <f t="shared" si="20"/>
        <v>0</v>
      </c>
      <c r="AP38" s="29"/>
      <c r="AQ38" s="30">
        <f t="shared" si="21"/>
        <v>0</v>
      </c>
      <c r="AR38" s="19">
        <f t="shared" si="22"/>
        <v>0</v>
      </c>
      <c r="AS38" s="29"/>
      <c r="AT38" s="30">
        <f t="shared" si="23"/>
        <v>0</v>
      </c>
      <c r="AU38" s="19">
        <f t="shared" si="24"/>
        <v>0</v>
      </c>
      <c r="AV38" s="29"/>
      <c r="AW38" s="30">
        <f t="shared" si="25"/>
        <v>0</v>
      </c>
      <c r="AX38" s="19">
        <f t="shared" si="26"/>
        <v>0</v>
      </c>
      <c r="AY38" s="25">
        <f t="shared" si="27"/>
        <v>24000</v>
      </c>
    </row>
    <row r="39" spans="1:51" ht="24">
      <c r="A39" s="56">
        <v>43843</v>
      </c>
      <c r="B39" s="29" t="s">
        <v>198</v>
      </c>
      <c r="C39" s="29" t="s">
        <v>199</v>
      </c>
      <c r="D39" s="29">
        <v>2000</v>
      </c>
      <c r="E39" s="29" t="s">
        <v>109</v>
      </c>
      <c r="F39" s="29" t="s">
        <v>196</v>
      </c>
      <c r="G39" s="29" t="s">
        <v>89</v>
      </c>
      <c r="H39" s="29">
        <v>33</v>
      </c>
      <c r="I39" s="30">
        <f t="shared" si="28"/>
        <v>4.0303030303030303</v>
      </c>
      <c r="J39" s="29">
        <v>18000</v>
      </c>
      <c r="K39" s="29"/>
      <c r="L39" s="29">
        <f t="shared" si="1"/>
        <v>5940</v>
      </c>
      <c r="M39" s="29">
        <f t="shared" si="2"/>
        <v>23940</v>
      </c>
      <c r="N39" s="58">
        <f>M39-(AY39+'2019'!AY39)</f>
        <v>11940</v>
      </c>
      <c r="O39" s="29">
        <v>2000</v>
      </c>
      <c r="P39" s="30">
        <f t="shared" si="3"/>
        <v>1503.7593984962405</v>
      </c>
      <c r="Q39" s="30">
        <f t="shared" si="4"/>
        <v>496.24060150375942</v>
      </c>
      <c r="R39" s="29">
        <v>2000</v>
      </c>
      <c r="S39" s="30">
        <f t="shared" si="5"/>
        <v>1503.7593984962405</v>
      </c>
      <c r="T39" s="19">
        <f t="shared" si="6"/>
        <v>496.24060150375942</v>
      </c>
      <c r="U39" s="127">
        <v>2000</v>
      </c>
      <c r="V39" s="121">
        <f t="shared" si="7"/>
        <v>1503.7593984962405</v>
      </c>
      <c r="W39" s="126">
        <f t="shared" si="8"/>
        <v>496.24060150375942</v>
      </c>
      <c r="X39" s="122"/>
      <c r="Y39" s="30">
        <f t="shared" si="9"/>
        <v>0</v>
      </c>
      <c r="Z39" s="19">
        <f t="shared" si="10"/>
        <v>0</v>
      </c>
      <c r="AA39" s="29">
        <v>2000</v>
      </c>
      <c r="AB39" s="30">
        <f t="shared" si="11"/>
        <v>1503.7593984962405</v>
      </c>
      <c r="AC39" s="19">
        <f t="shared" si="12"/>
        <v>496.24060150375942</v>
      </c>
      <c r="AD39" s="29">
        <v>2000</v>
      </c>
      <c r="AE39" s="30">
        <f t="shared" si="13"/>
        <v>1503.7593984962405</v>
      </c>
      <c r="AF39" s="19">
        <f t="shared" si="14"/>
        <v>496.24060150375942</v>
      </c>
      <c r="AG39" s="29">
        <v>2000</v>
      </c>
      <c r="AH39" s="30">
        <f t="shared" si="15"/>
        <v>1503.7593984962405</v>
      </c>
      <c r="AI39" s="19">
        <f t="shared" si="16"/>
        <v>496.24060150375942</v>
      </c>
      <c r="AJ39" s="29"/>
      <c r="AK39" s="30">
        <f t="shared" si="17"/>
        <v>0</v>
      </c>
      <c r="AL39" s="19">
        <f t="shared" si="18"/>
        <v>0</v>
      </c>
      <c r="AM39" s="29"/>
      <c r="AN39" s="30">
        <f t="shared" si="19"/>
        <v>0</v>
      </c>
      <c r="AO39" s="19">
        <f t="shared" si="20"/>
        <v>0</v>
      </c>
      <c r="AP39" s="29"/>
      <c r="AQ39" s="30">
        <f t="shared" si="21"/>
        <v>0</v>
      </c>
      <c r="AR39" s="19">
        <f t="shared" si="22"/>
        <v>0</v>
      </c>
      <c r="AS39" s="29"/>
      <c r="AT39" s="30">
        <f t="shared" si="23"/>
        <v>0</v>
      </c>
      <c r="AU39" s="19">
        <f t="shared" si="24"/>
        <v>0</v>
      </c>
      <c r="AV39" s="29"/>
      <c r="AW39" s="30">
        <f t="shared" si="25"/>
        <v>0</v>
      </c>
      <c r="AX39" s="19">
        <f t="shared" si="26"/>
        <v>0</v>
      </c>
      <c r="AY39" s="25">
        <f t="shared" si="27"/>
        <v>12000</v>
      </c>
    </row>
    <row r="40" spans="1:51" ht="24">
      <c r="A40" s="45">
        <v>43850</v>
      </c>
      <c r="B40" s="29" t="s">
        <v>206</v>
      </c>
      <c r="C40" s="29" t="s">
        <v>207</v>
      </c>
      <c r="D40" s="54">
        <v>5000</v>
      </c>
      <c r="E40" s="29"/>
      <c r="F40" s="29"/>
      <c r="G40" s="29" t="s">
        <v>89</v>
      </c>
      <c r="H40" s="29">
        <v>33</v>
      </c>
      <c r="I40" s="30">
        <f t="shared" si="28"/>
        <v>4.0303030303030303</v>
      </c>
      <c r="J40" s="29">
        <v>38000</v>
      </c>
      <c r="K40" s="29"/>
      <c r="L40" s="29">
        <f t="shared" si="1"/>
        <v>12540</v>
      </c>
      <c r="M40" s="29">
        <f t="shared" si="2"/>
        <v>50540</v>
      </c>
      <c r="N40" s="55">
        <f>M40-(AY40+'2019'!AY40)</f>
        <v>24540</v>
      </c>
      <c r="O40" s="29">
        <v>4000</v>
      </c>
      <c r="P40" s="30">
        <f t="shared" si="3"/>
        <v>3007.5187969924809</v>
      </c>
      <c r="Q40" s="30">
        <f t="shared" si="4"/>
        <v>992.48120300751884</v>
      </c>
      <c r="R40" s="29">
        <v>3000</v>
      </c>
      <c r="S40" s="30">
        <f t="shared" si="5"/>
        <v>2255.6390977443607</v>
      </c>
      <c r="T40" s="19">
        <f t="shared" si="6"/>
        <v>744.36090225563908</v>
      </c>
      <c r="U40" s="127">
        <v>4000</v>
      </c>
      <c r="V40" s="121">
        <f t="shared" si="7"/>
        <v>3007.5187969924809</v>
      </c>
      <c r="W40" s="126">
        <f t="shared" si="8"/>
        <v>992.48120300751884</v>
      </c>
      <c r="X40" s="122">
        <v>4000</v>
      </c>
      <c r="Y40" s="30">
        <f t="shared" si="9"/>
        <v>3007.5187969924809</v>
      </c>
      <c r="Z40" s="19">
        <f t="shared" si="10"/>
        <v>992.48120300751884</v>
      </c>
      <c r="AA40" s="29">
        <v>4000</v>
      </c>
      <c r="AB40" s="30">
        <f t="shared" si="11"/>
        <v>3007.5187969924809</v>
      </c>
      <c r="AC40" s="19">
        <f t="shared" si="12"/>
        <v>992.48120300751884</v>
      </c>
      <c r="AD40" s="29">
        <v>4000</v>
      </c>
      <c r="AE40" s="30">
        <f t="shared" si="13"/>
        <v>3007.5187969924809</v>
      </c>
      <c r="AF40" s="19">
        <f t="shared" si="14"/>
        <v>992.48120300751884</v>
      </c>
      <c r="AG40" s="29">
        <v>3000</v>
      </c>
      <c r="AH40" s="30">
        <f t="shared" si="15"/>
        <v>2255.6390977443607</v>
      </c>
      <c r="AI40" s="19">
        <f t="shared" si="16"/>
        <v>744.36090225563908</v>
      </c>
      <c r="AJ40" s="29"/>
      <c r="AK40" s="30">
        <f t="shared" si="17"/>
        <v>0</v>
      </c>
      <c r="AL40" s="19">
        <f t="shared" si="18"/>
        <v>0</v>
      </c>
      <c r="AM40" s="29"/>
      <c r="AN40" s="30">
        <f t="shared" si="19"/>
        <v>0</v>
      </c>
      <c r="AO40" s="19">
        <f t="shared" si="20"/>
        <v>0</v>
      </c>
      <c r="AP40" s="29"/>
      <c r="AQ40" s="30">
        <f t="shared" si="21"/>
        <v>0</v>
      </c>
      <c r="AR40" s="19">
        <f t="shared" si="22"/>
        <v>0</v>
      </c>
      <c r="AS40" s="29"/>
      <c r="AT40" s="30">
        <f t="shared" si="23"/>
        <v>0</v>
      </c>
      <c r="AU40" s="19">
        <f t="shared" si="24"/>
        <v>0</v>
      </c>
      <c r="AV40" s="29"/>
      <c r="AW40" s="30">
        <f t="shared" si="25"/>
        <v>0</v>
      </c>
      <c r="AX40" s="19">
        <f t="shared" si="26"/>
        <v>0</v>
      </c>
      <c r="AY40" s="25">
        <f t="shared" si="27"/>
        <v>26000</v>
      </c>
    </row>
    <row r="41" spans="1:51" ht="24">
      <c r="A41" s="45">
        <v>43851</v>
      </c>
      <c r="B41" s="29" t="s">
        <v>209</v>
      </c>
      <c r="C41" s="29" t="s">
        <v>210</v>
      </c>
      <c r="D41" s="54">
        <v>4500</v>
      </c>
      <c r="E41" s="29" t="s">
        <v>109</v>
      </c>
      <c r="F41" s="29" t="s">
        <v>211</v>
      </c>
      <c r="G41" s="29" t="s">
        <v>89</v>
      </c>
      <c r="H41" s="29">
        <v>33</v>
      </c>
      <c r="I41" s="30">
        <f t="shared" si="28"/>
        <v>4.0303030303030303</v>
      </c>
      <c r="J41" s="29">
        <v>39000</v>
      </c>
      <c r="K41" s="29"/>
      <c r="L41" s="29">
        <f t="shared" si="1"/>
        <v>12870</v>
      </c>
      <c r="M41" s="29">
        <f t="shared" si="2"/>
        <v>51870</v>
      </c>
      <c r="N41" s="55">
        <f>M41-(AY41+'2019'!AY41)</f>
        <v>32370</v>
      </c>
      <c r="O41" s="29">
        <v>5000</v>
      </c>
      <c r="P41" s="30">
        <f t="shared" si="3"/>
        <v>3759.3984962406012</v>
      </c>
      <c r="Q41" s="30">
        <f t="shared" si="4"/>
        <v>1240.6015037593986</v>
      </c>
      <c r="R41" s="29">
        <v>4500</v>
      </c>
      <c r="S41" s="30">
        <f t="shared" si="5"/>
        <v>3383.458646616541</v>
      </c>
      <c r="T41" s="19">
        <f t="shared" si="6"/>
        <v>1116.5413533834587</v>
      </c>
      <c r="U41" s="127"/>
      <c r="V41" s="121">
        <f t="shared" si="7"/>
        <v>0</v>
      </c>
      <c r="W41" s="126">
        <f t="shared" si="8"/>
        <v>0</v>
      </c>
      <c r="X41" s="122"/>
      <c r="Y41" s="30">
        <f t="shared" si="9"/>
        <v>0</v>
      </c>
      <c r="Z41" s="19">
        <f t="shared" si="10"/>
        <v>0</v>
      </c>
      <c r="AA41" s="29"/>
      <c r="AB41" s="30">
        <f t="shared" si="11"/>
        <v>0</v>
      </c>
      <c r="AC41" s="19">
        <f t="shared" si="12"/>
        <v>0</v>
      </c>
      <c r="AD41" s="29">
        <v>10000</v>
      </c>
      <c r="AE41" s="30">
        <f t="shared" si="13"/>
        <v>7518.7969924812023</v>
      </c>
      <c r="AF41" s="19">
        <f t="shared" si="14"/>
        <v>2481.2030075187972</v>
      </c>
      <c r="AG41" s="29"/>
      <c r="AH41" s="30">
        <f t="shared" si="15"/>
        <v>0</v>
      </c>
      <c r="AI41" s="19">
        <f t="shared" si="16"/>
        <v>0</v>
      </c>
      <c r="AJ41" s="29"/>
      <c r="AK41" s="30">
        <f t="shared" si="17"/>
        <v>0</v>
      </c>
      <c r="AL41" s="19">
        <f t="shared" si="18"/>
        <v>0</v>
      </c>
      <c r="AM41" s="29"/>
      <c r="AN41" s="30">
        <f t="shared" si="19"/>
        <v>0</v>
      </c>
      <c r="AO41" s="19">
        <f t="shared" si="20"/>
        <v>0</v>
      </c>
      <c r="AP41" s="29"/>
      <c r="AQ41" s="30">
        <f t="shared" si="21"/>
        <v>0</v>
      </c>
      <c r="AR41" s="19">
        <f t="shared" si="22"/>
        <v>0</v>
      </c>
      <c r="AS41" s="29"/>
      <c r="AT41" s="30">
        <f t="shared" si="23"/>
        <v>0</v>
      </c>
      <c r="AU41" s="19">
        <f t="shared" si="24"/>
        <v>0</v>
      </c>
      <c r="AV41" s="29"/>
      <c r="AW41" s="30">
        <f t="shared" si="25"/>
        <v>0</v>
      </c>
      <c r="AX41" s="19">
        <f t="shared" si="26"/>
        <v>0</v>
      </c>
      <c r="AY41" s="25">
        <f t="shared" si="27"/>
        <v>19500</v>
      </c>
    </row>
    <row r="42" spans="1:51" ht="24">
      <c r="A42" s="45">
        <v>43853</v>
      </c>
      <c r="B42" s="29" t="s">
        <v>212</v>
      </c>
      <c r="C42" s="29" t="s">
        <v>213</v>
      </c>
      <c r="D42" s="54">
        <v>2000</v>
      </c>
      <c r="E42" s="29" t="s">
        <v>109</v>
      </c>
      <c r="F42" s="29" t="s">
        <v>117</v>
      </c>
      <c r="G42" s="29" t="s">
        <v>89</v>
      </c>
      <c r="H42" s="29">
        <v>33</v>
      </c>
      <c r="I42" s="30">
        <f t="shared" si="28"/>
        <v>4.0303030303030303</v>
      </c>
      <c r="J42" s="29">
        <v>17500</v>
      </c>
      <c r="K42" s="29"/>
      <c r="L42" s="29">
        <f t="shared" si="1"/>
        <v>5775</v>
      </c>
      <c r="M42" s="29">
        <f t="shared" si="2"/>
        <v>23275</v>
      </c>
      <c r="N42" s="55">
        <f>M42-(AY42+'2019'!AY42)</f>
        <v>14275</v>
      </c>
      <c r="O42" s="29"/>
      <c r="P42" s="30">
        <f t="shared" si="3"/>
        <v>0</v>
      </c>
      <c r="Q42" s="30">
        <f t="shared" si="4"/>
        <v>0</v>
      </c>
      <c r="R42" s="29">
        <v>3000</v>
      </c>
      <c r="S42" s="30">
        <f t="shared" si="5"/>
        <v>2255.6390977443607</v>
      </c>
      <c r="T42" s="19">
        <f t="shared" si="6"/>
        <v>744.36090225563908</v>
      </c>
      <c r="U42" s="127">
        <v>2000</v>
      </c>
      <c r="V42" s="121">
        <f t="shared" si="7"/>
        <v>1503.7593984962405</v>
      </c>
      <c r="W42" s="126">
        <f t="shared" si="8"/>
        <v>496.24060150375942</v>
      </c>
      <c r="X42" s="122"/>
      <c r="Y42" s="30">
        <f t="shared" si="9"/>
        <v>0</v>
      </c>
      <c r="Z42" s="19">
        <f t="shared" si="10"/>
        <v>0</v>
      </c>
      <c r="AA42" s="29">
        <v>2000</v>
      </c>
      <c r="AB42" s="30">
        <f t="shared" si="11"/>
        <v>1503.7593984962405</v>
      </c>
      <c r="AC42" s="19">
        <f t="shared" si="12"/>
        <v>496.24060150375942</v>
      </c>
      <c r="AD42" s="29">
        <v>2000</v>
      </c>
      <c r="AE42" s="30">
        <f t="shared" si="13"/>
        <v>1503.7593984962405</v>
      </c>
      <c r="AF42" s="19">
        <f t="shared" si="14"/>
        <v>496.24060150375942</v>
      </c>
      <c r="AG42" s="29"/>
      <c r="AH42" s="30">
        <f t="shared" si="15"/>
        <v>0</v>
      </c>
      <c r="AI42" s="19">
        <f t="shared" si="16"/>
        <v>0</v>
      </c>
      <c r="AJ42" s="29"/>
      <c r="AK42" s="30">
        <f t="shared" si="17"/>
        <v>0</v>
      </c>
      <c r="AL42" s="19">
        <f t="shared" si="18"/>
        <v>0</v>
      </c>
      <c r="AM42" s="29"/>
      <c r="AN42" s="30">
        <f t="shared" si="19"/>
        <v>0</v>
      </c>
      <c r="AO42" s="19">
        <f t="shared" si="20"/>
        <v>0</v>
      </c>
      <c r="AP42" s="29"/>
      <c r="AQ42" s="30">
        <f t="shared" si="21"/>
        <v>0</v>
      </c>
      <c r="AR42" s="19">
        <f t="shared" si="22"/>
        <v>0</v>
      </c>
      <c r="AS42" s="29"/>
      <c r="AT42" s="30">
        <f t="shared" si="23"/>
        <v>0</v>
      </c>
      <c r="AU42" s="19">
        <f t="shared" si="24"/>
        <v>0</v>
      </c>
      <c r="AV42" s="29"/>
      <c r="AW42" s="30">
        <f t="shared" si="25"/>
        <v>0</v>
      </c>
      <c r="AX42" s="19">
        <f t="shared" si="26"/>
        <v>0</v>
      </c>
      <c r="AY42" s="25">
        <f t="shared" si="27"/>
        <v>9000</v>
      </c>
    </row>
    <row r="43" spans="1:51" ht="24">
      <c r="A43" s="45">
        <v>43855</v>
      </c>
      <c r="B43" s="29" t="s">
        <v>220</v>
      </c>
      <c r="C43" s="29" t="s">
        <v>221</v>
      </c>
      <c r="D43" s="54">
        <v>2000</v>
      </c>
      <c r="E43" s="29" t="s">
        <v>109</v>
      </c>
      <c r="F43" s="29" t="s">
        <v>137</v>
      </c>
      <c r="G43" s="29" t="s">
        <v>89</v>
      </c>
      <c r="H43" s="29">
        <v>33</v>
      </c>
      <c r="I43" s="30">
        <f t="shared" si="28"/>
        <v>4.0303030303030303</v>
      </c>
      <c r="J43" s="29">
        <v>16000</v>
      </c>
      <c r="K43" s="29"/>
      <c r="L43" s="29">
        <f t="shared" si="1"/>
        <v>5280</v>
      </c>
      <c r="M43" s="29">
        <f t="shared" si="2"/>
        <v>21280</v>
      </c>
      <c r="N43" s="55">
        <f>M43-(AY43+'2019'!AY43)</f>
        <v>9280</v>
      </c>
      <c r="O43" s="29">
        <v>2000</v>
      </c>
      <c r="P43" s="30">
        <f t="shared" si="3"/>
        <v>1503.7593984962405</v>
      </c>
      <c r="Q43" s="30">
        <f t="shared" si="4"/>
        <v>496.24060150375942</v>
      </c>
      <c r="R43" s="29">
        <v>2000</v>
      </c>
      <c r="S43" s="30">
        <f t="shared" si="5"/>
        <v>1503.7593984962405</v>
      </c>
      <c r="T43" s="19">
        <f t="shared" si="6"/>
        <v>496.24060150375942</v>
      </c>
      <c r="U43" s="127">
        <v>2000</v>
      </c>
      <c r="V43" s="121">
        <f t="shared" si="7"/>
        <v>1503.7593984962405</v>
      </c>
      <c r="W43" s="126">
        <f t="shared" si="8"/>
        <v>496.24060150375942</v>
      </c>
      <c r="X43" s="122">
        <v>2000</v>
      </c>
      <c r="Y43" s="30">
        <f t="shared" si="9"/>
        <v>1503.7593984962405</v>
      </c>
      <c r="Z43" s="19">
        <f t="shared" si="10"/>
        <v>496.24060150375942</v>
      </c>
      <c r="AA43" s="29">
        <v>2000</v>
      </c>
      <c r="AB43" s="30">
        <f t="shared" si="11"/>
        <v>1503.7593984962405</v>
      </c>
      <c r="AC43" s="19">
        <f t="shared" si="12"/>
        <v>496.24060150375942</v>
      </c>
      <c r="AD43" s="29">
        <v>2000</v>
      </c>
      <c r="AE43" s="30">
        <f t="shared" si="13"/>
        <v>1503.7593984962405</v>
      </c>
      <c r="AF43" s="19">
        <f t="shared" si="14"/>
        <v>496.24060150375942</v>
      </c>
      <c r="AG43" s="29"/>
      <c r="AH43" s="30">
        <f t="shared" si="15"/>
        <v>0</v>
      </c>
      <c r="AI43" s="19">
        <f t="shared" si="16"/>
        <v>0</v>
      </c>
      <c r="AJ43" s="29"/>
      <c r="AK43" s="30">
        <f t="shared" si="17"/>
        <v>0</v>
      </c>
      <c r="AL43" s="19">
        <f t="shared" si="18"/>
        <v>0</v>
      </c>
      <c r="AM43" s="29"/>
      <c r="AN43" s="30">
        <f t="shared" si="19"/>
        <v>0</v>
      </c>
      <c r="AO43" s="19">
        <f t="shared" si="20"/>
        <v>0</v>
      </c>
      <c r="AP43" s="29"/>
      <c r="AQ43" s="30">
        <f t="shared" si="21"/>
        <v>0</v>
      </c>
      <c r="AR43" s="19">
        <f t="shared" si="22"/>
        <v>0</v>
      </c>
      <c r="AS43" s="29"/>
      <c r="AT43" s="30">
        <f t="shared" si="23"/>
        <v>0</v>
      </c>
      <c r="AU43" s="19">
        <f t="shared" si="24"/>
        <v>0</v>
      </c>
      <c r="AV43" s="29"/>
      <c r="AW43" s="30">
        <f t="shared" si="25"/>
        <v>0</v>
      </c>
      <c r="AX43" s="19">
        <f t="shared" si="26"/>
        <v>0</v>
      </c>
      <c r="AY43" s="25">
        <f t="shared" si="27"/>
        <v>12000</v>
      </c>
    </row>
    <row r="44" spans="1:51" ht="24">
      <c r="A44" s="45">
        <v>43855</v>
      </c>
      <c r="B44" s="29" t="s">
        <v>222</v>
      </c>
      <c r="C44" s="29" t="s">
        <v>223</v>
      </c>
      <c r="D44" s="54">
        <v>2000</v>
      </c>
      <c r="E44" s="29" t="s">
        <v>224</v>
      </c>
      <c r="F44" s="29" t="s">
        <v>117</v>
      </c>
      <c r="G44" s="29" t="s">
        <v>89</v>
      </c>
      <c r="H44" s="29">
        <v>33</v>
      </c>
      <c r="I44" s="30">
        <f t="shared" ref="I44:I54" si="29">IFERROR(M44/L44,"0")</f>
        <v>4.0303030303030303</v>
      </c>
      <c r="J44" s="29">
        <v>21500</v>
      </c>
      <c r="K44" s="29"/>
      <c r="L44" s="29">
        <f t="shared" ref="L44:L54" si="30">H44/100*J44</f>
        <v>7095</v>
      </c>
      <c r="M44" s="29">
        <f t="shared" ref="M44:M54" si="31">J44+L44</f>
        <v>28595</v>
      </c>
      <c r="N44" s="55">
        <f>M44-(AY44+'2019'!AY44)</f>
        <v>14595</v>
      </c>
      <c r="O44" s="29">
        <v>2000</v>
      </c>
      <c r="P44" s="30">
        <f t="shared" ref="P44:P54" si="32">IFERROR(O44-Q44,"0")</f>
        <v>1503.7593984962405</v>
      </c>
      <c r="Q44" s="30">
        <f t="shared" ref="Q44:Q54" si="33">IFERROR(O44/I44,"0")</f>
        <v>496.24060150375942</v>
      </c>
      <c r="R44" s="29">
        <v>2000</v>
      </c>
      <c r="S44" s="30">
        <f t="shared" ref="S44:S54" si="34">IFERROR(R44-T44,"0")</f>
        <v>1503.7593984962405</v>
      </c>
      <c r="T44" s="19">
        <f t="shared" ref="T44:T54" si="35">IFERROR(R44/I44,"0")</f>
        <v>496.24060150375942</v>
      </c>
      <c r="U44" s="127">
        <v>2000</v>
      </c>
      <c r="V44" s="121">
        <f t="shared" ref="V44:V54" si="36">IFERROR(U44-W44,"0")</f>
        <v>1503.7593984962405</v>
      </c>
      <c r="W44" s="126">
        <f t="shared" ref="W44:W54" si="37">IFERROR(U44/I44,"0")</f>
        <v>496.24060150375942</v>
      </c>
      <c r="X44" s="122">
        <v>2000</v>
      </c>
      <c r="Y44" s="30">
        <f t="shared" ref="Y44:Y54" si="38">IFERROR(X44-Z44,"0")</f>
        <v>1503.7593984962405</v>
      </c>
      <c r="Z44" s="19">
        <f t="shared" ref="Z44:Z54" si="39">IFERROR(X44/I44,"0")</f>
        <v>496.24060150375942</v>
      </c>
      <c r="AA44" s="29">
        <v>2000</v>
      </c>
      <c r="AB44" s="30">
        <f t="shared" ref="AB44:AB54" si="40">IFERROR(AA44-AC44,"0")</f>
        <v>1503.7593984962405</v>
      </c>
      <c r="AC44" s="19">
        <f t="shared" ref="AC44:AC54" si="41">IFERROR(AA44/I44,"0")</f>
        <v>496.24060150375942</v>
      </c>
      <c r="AD44" s="29">
        <v>2000</v>
      </c>
      <c r="AE44" s="30">
        <f t="shared" ref="AE44:AE54" si="42">IFERROR(AD44-AF44,"0")</f>
        <v>1503.7593984962405</v>
      </c>
      <c r="AF44" s="19">
        <f t="shared" ref="AF44:AF54" si="43">IFERROR(AD44/I44,"0")</f>
        <v>496.24060150375942</v>
      </c>
      <c r="AG44" s="29">
        <v>2000</v>
      </c>
      <c r="AH44" s="30">
        <f t="shared" ref="AH44:AH54" si="44">IFERROR(AG44-AI44,"0")</f>
        <v>1503.7593984962405</v>
      </c>
      <c r="AI44" s="19">
        <f t="shared" ref="AI44:AI54" si="45">IFERROR(AG44/I44,"0")</f>
        <v>496.24060150375942</v>
      </c>
      <c r="AJ44" s="29"/>
      <c r="AK44" s="30">
        <f t="shared" ref="AK44:AK54" si="46">IFERROR(AJ44-AL44,"0")</f>
        <v>0</v>
      </c>
      <c r="AL44" s="19">
        <f t="shared" ref="AL44:AL54" si="47">IFERROR(AJ44/I44,"0")</f>
        <v>0</v>
      </c>
      <c r="AM44" s="29"/>
      <c r="AN44" s="30">
        <f t="shared" ref="AN44:AN54" si="48">IFERROR(AM44-AO44,"0")</f>
        <v>0</v>
      </c>
      <c r="AO44" s="19">
        <f t="shared" ref="AO44:AO54" si="49">IFERROR(AM44/I44,"0")</f>
        <v>0</v>
      </c>
      <c r="AP44" s="29"/>
      <c r="AQ44" s="30">
        <f t="shared" ref="AQ44:AQ54" si="50">IFERROR(AP44-AR44,"0")</f>
        <v>0</v>
      </c>
      <c r="AR44" s="19">
        <f t="shared" ref="AR44:AR54" si="51">IFERROR(AP44/I44,"0")</f>
        <v>0</v>
      </c>
      <c r="AS44" s="29"/>
      <c r="AT44" s="30">
        <f t="shared" ref="AT44:AT54" si="52">IFERROR(AS44-AU44,"0")</f>
        <v>0</v>
      </c>
      <c r="AU44" s="19">
        <f t="shared" ref="AU44:AU54" si="53">IFERROR(AS44/I44,"0")</f>
        <v>0</v>
      </c>
      <c r="AV44" s="29"/>
      <c r="AW44" s="30">
        <f t="shared" ref="AW44:AW54" si="54">IFERROR(AV44-AX44,"0")</f>
        <v>0</v>
      </c>
      <c r="AX44" s="19">
        <f t="shared" ref="AX44:AX54" si="55">IFERROR(AV44/I44,"0")</f>
        <v>0</v>
      </c>
      <c r="AY44" s="25">
        <f t="shared" ref="AY44:AY54" si="56">O44+R44+U44+X44+AA44+AD44+AG44+AJ44+AM44+AP44+AS44+AV44</f>
        <v>14000</v>
      </c>
    </row>
    <row r="45" spans="1:51" ht="24">
      <c r="A45" s="45">
        <v>43857</v>
      </c>
      <c r="B45" s="29" t="s">
        <v>108</v>
      </c>
      <c r="C45" s="29"/>
      <c r="D45" s="54"/>
      <c r="E45" s="29" t="s">
        <v>109</v>
      </c>
      <c r="F45" s="29" t="s">
        <v>225</v>
      </c>
      <c r="G45" s="29" t="s">
        <v>89</v>
      </c>
      <c r="H45" s="29">
        <v>33</v>
      </c>
      <c r="I45" s="30">
        <f t="shared" si="29"/>
        <v>4.0303030303030303</v>
      </c>
      <c r="J45" s="29">
        <v>25500</v>
      </c>
      <c r="K45" s="29"/>
      <c r="L45" s="29">
        <f t="shared" si="30"/>
        <v>8415</v>
      </c>
      <c r="M45" s="29">
        <f t="shared" si="31"/>
        <v>33915</v>
      </c>
      <c r="N45" s="55">
        <f>M45-(AY45+'2019'!AY45)</f>
        <v>8915</v>
      </c>
      <c r="O45" s="29">
        <v>5000</v>
      </c>
      <c r="P45" s="30">
        <f t="shared" si="32"/>
        <v>3759.3984962406012</v>
      </c>
      <c r="Q45" s="30">
        <f t="shared" si="33"/>
        <v>1240.6015037593986</v>
      </c>
      <c r="R45" s="29">
        <v>5000</v>
      </c>
      <c r="S45" s="30">
        <f t="shared" si="34"/>
        <v>3759.3984962406012</v>
      </c>
      <c r="T45" s="19">
        <f t="shared" si="35"/>
        <v>1240.6015037593986</v>
      </c>
      <c r="U45" s="127">
        <v>5000</v>
      </c>
      <c r="V45" s="121">
        <f t="shared" si="36"/>
        <v>3759.3984962406012</v>
      </c>
      <c r="W45" s="126">
        <f t="shared" si="37"/>
        <v>1240.6015037593986</v>
      </c>
      <c r="X45" s="122"/>
      <c r="Y45" s="30">
        <f t="shared" si="38"/>
        <v>0</v>
      </c>
      <c r="Z45" s="19">
        <f t="shared" si="39"/>
        <v>0</v>
      </c>
      <c r="AA45" s="29"/>
      <c r="AB45" s="30">
        <f t="shared" si="40"/>
        <v>0</v>
      </c>
      <c r="AC45" s="19">
        <f t="shared" si="41"/>
        <v>0</v>
      </c>
      <c r="AD45" s="29">
        <v>5000</v>
      </c>
      <c r="AE45" s="30">
        <f t="shared" si="42"/>
        <v>3759.3984962406012</v>
      </c>
      <c r="AF45" s="19">
        <f t="shared" si="43"/>
        <v>1240.6015037593986</v>
      </c>
      <c r="AG45" s="29">
        <v>5000</v>
      </c>
      <c r="AH45" s="30">
        <f t="shared" si="44"/>
        <v>3759.3984962406012</v>
      </c>
      <c r="AI45" s="19">
        <f t="shared" si="45"/>
        <v>1240.6015037593986</v>
      </c>
      <c r="AJ45" s="29"/>
      <c r="AK45" s="30">
        <f t="shared" si="46"/>
        <v>0</v>
      </c>
      <c r="AL45" s="19">
        <f t="shared" si="47"/>
        <v>0</v>
      </c>
      <c r="AM45" s="29"/>
      <c r="AN45" s="30">
        <f t="shared" si="48"/>
        <v>0</v>
      </c>
      <c r="AO45" s="19">
        <f t="shared" si="49"/>
        <v>0</v>
      </c>
      <c r="AP45" s="29"/>
      <c r="AQ45" s="30">
        <f t="shared" si="50"/>
        <v>0</v>
      </c>
      <c r="AR45" s="19">
        <f t="shared" si="51"/>
        <v>0</v>
      </c>
      <c r="AS45" s="29"/>
      <c r="AT45" s="30">
        <f t="shared" si="52"/>
        <v>0</v>
      </c>
      <c r="AU45" s="19">
        <f t="shared" si="53"/>
        <v>0</v>
      </c>
      <c r="AV45" s="29"/>
      <c r="AW45" s="30">
        <f t="shared" si="54"/>
        <v>0</v>
      </c>
      <c r="AX45" s="19">
        <f t="shared" si="55"/>
        <v>0</v>
      </c>
      <c r="AY45" s="25">
        <f t="shared" si="56"/>
        <v>25000</v>
      </c>
    </row>
    <row r="46" spans="1:51" ht="24">
      <c r="A46" s="45">
        <v>43859</v>
      </c>
      <c r="B46" s="29" t="s">
        <v>231</v>
      </c>
      <c r="C46" s="29" t="s">
        <v>232</v>
      </c>
      <c r="D46" s="54">
        <v>4500</v>
      </c>
      <c r="E46" s="29" t="s">
        <v>109</v>
      </c>
      <c r="F46" s="29" t="s">
        <v>114</v>
      </c>
      <c r="G46" s="29" t="s">
        <v>89</v>
      </c>
      <c r="H46" s="29">
        <v>33</v>
      </c>
      <c r="I46" s="30">
        <f t="shared" si="29"/>
        <v>4.0303030303030303</v>
      </c>
      <c r="J46" s="29">
        <v>38000</v>
      </c>
      <c r="K46" s="29"/>
      <c r="L46" s="29">
        <f t="shared" si="30"/>
        <v>12540</v>
      </c>
      <c r="M46" s="29">
        <f t="shared" si="31"/>
        <v>50540</v>
      </c>
      <c r="N46" s="55">
        <f>M46-(AY46+'2019'!AY46)</f>
        <v>21040</v>
      </c>
      <c r="O46" s="29">
        <v>4500</v>
      </c>
      <c r="P46" s="30">
        <f t="shared" si="32"/>
        <v>3383.458646616541</v>
      </c>
      <c r="Q46" s="30">
        <f t="shared" si="33"/>
        <v>1116.5413533834587</v>
      </c>
      <c r="R46" s="29">
        <v>5000</v>
      </c>
      <c r="S46" s="30">
        <f t="shared" si="34"/>
        <v>3759.3984962406012</v>
      </c>
      <c r="T46" s="19">
        <f t="shared" si="35"/>
        <v>1240.6015037593986</v>
      </c>
      <c r="U46" s="127">
        <v>5000</v>
      </c>
      <c r="V46" s="121">
        <f t="shared" si="36"/>
        <v>3759.3984962406012</v>
      </c>
      <c r="W46" s="126">
        <f t="shared" si="37"/>
        <v>1240.6015037593986</v>
      </c>
      <c r="X46" s="122">
        <v>5000</v>
      </c>
      <c r="Y46" s="30">
        <f t="shared" si="38"/>
        <v>3759.3984962406012</v>
      </c>
      <c r="Z46" s="19">
        <f t="shared" si="39"/>
        <v>1240.6015037593986</v>
      </c>
      <c r="AA46" s="29">
        <v>5000</v>
      </c>
      <c r="AB46" s="30">
        <f t="shared" si="40"/>
        <v>3759.3984962406012</v>
      </c>
      <c r="AC46" s="19">
        <f t="shared" si="41"/>
        <v>1240.6015037593986</v>
      </c>
      <c r="AD46" s="29">
        <v>5000</v>
      </c>
      <c r="AE46" s="30">
        <f t="shared" si="42"/>
        <v>3759.3984962406012</v>
      </c>
      <c r="AF46" s="19">
        <f t="shared" si="43"/>
        <v>1240.6015037593986</v>
      </c>
      <c r="AG46" s="29"/>
      <c r="AH46" s="30">
        <f t="shared" si="44"/>
        <v>0</v>
      </c>
      <c r="AI46" s="19">
        <f t="shared" si="45"/>
        <v>0</v>
      </c>
      <c r="AJ46" s="29"/>
      <c r="AK46" s="30">
        <f t="shared" si="46"/>
        <v>0</v>
      </c>
      <c r="AL46" s="19">
        <f t="shared" si="47"/>
        <v>0</v>
      </c>
      <c r="AM46" s="29"/>
      <c r="AN46" s="30">
        <f t="shared" si="48"/>
        <v>0</v>
      </c>
      <c r="AO46" s="19">
        <f t="shared" si="49"/>
        <v>0</v>
      </c>
      <c r="AP46" s="29"/>
      <c r="AQ46" s="30">
        <f t="shared" si="50"/>
        <v>0</v>
      </c>
      <c r="AR46" s="19">
        <f t="shared" si="51"/>
        <v>0</v>
      </c>
      <c r="AS46" s="29"/>
      <c r="AT46" s="30">
        <f t="shared" si="52"/>
        <v>0</v>
      </c>
      <c r="AU46" s="19">
        <f t="shared" si="53"/>
        <v>0</v>
      </c>
      <c r="AV46" s="29"/>
      <c r="AW46" s="30">
        <f t="shared" si="54"/>
        <v>0</v>
      </c>
      <c r="AX46" s="19">
        <f t="shared" si="55"/>
        <v>0</v>
      </c>
      <c r="AY46" s="25">
        <f t="shared" si="56"/>
        <v>29500</v>
      </c>
    </row>
    <row r="47" spans="1:51" ht="24">
      <c r="A47" s="45">
        <v>43859</v>
      </c>
      <c r="B47" s="29" t="s">
        <v>234</v>
      </c>
      <c r="C47" s="29" t="s">
        <v>235</v>
      </c>
      <c r="D47" s="54">
        <v>4000</v>
      </c>
      <c r="E47" s="29" t="s">
        <v>109</v>
      </c>
      <c r="F47" s="29" t="s">
        <v>236</v>
      </c>
      <c r="G47" s="29" t="s">
        <v>89</v>
      </c>
      <c r="H47" s="29">
        <v>33</v>
      </c>
      <c r="I47" s="30">
        <f t="shared" si="29"/>
        <v>4.0303030303030303</v>
      </c>
      <c r="J47" s="29">
        <v>32000</v>
      </c>
      <c r="K47" s="29"/>
      <c r="L47" s="29">
        <f t="shared" si="30"/>
        <v>10560</v>
      </c>
      <c r="M47" s="29">
        <f t="shared" si="31"/>
        <v>42560</v>
      </c>
      <c r="N47" s="55">
        <f>M47-(AY47+'2019'!AY47)</f>
        <v>18560</v>
      </c>
      <c r="O47" s="29">
        <v>4000</v>
      </c>
      <c r="P47" s="30">
        <f t="shared" si="32"/>
        <v>3007.5187969924809</v>
      </c>
      <c r="Q47" s="30">
        <f t="shared" si="33"/>
        <v>992.48120300751884</v>
      </c>
      <c r="R47" s="29">
        <v>4000</v>
      </c>
      <c r="S47" s="30">
        <f t="shared" si="34"/>
        <v>3007.5187969924809</v>
      </c>
      <c r="T47" s="19">
        <f t="shared" si="35"/>
        <v>992.48120300751884</v>
      </c>
      <c r="U47" s="127">
        <v>4000</v>
      </c>
      <c r="V47" s="121">
        <f t="shared" si="36"/>
        <v>3007.5187969924809</v>
      </c>
      <c r="W47" s="126">
        <f t="shared" si="37"/>
        <v>992.48120300751884</v>
      </c>
      <c r="X47" s="122"/>
      <c r="Y47" s="30">
        <f t="shared" si="38"/>
        <v>0</v>
      </c>
      <c r="Z47" s="19">
        <f t="shared" si="39"/>
        <v>0</v>
      </c>
      <c r="AA47" s="29">
        <v>4000</v>
      </c>
      <c r="AB47" s="30">
        <f t="shared" si="40"/>
        <v>3007.5187969924809</v>
      </c>
      <c r="AC47" s="19">
        <f t="shared" si="41"/>
        <v>992.48120300751884</v>
      </c>
      <c r="AD47" s="29">
        <v>4000</v>
      </c>
      <c r="AE47" s="30">
        <f t="shared" si="42"/>
        <v>3007.5187969924809</v>
      </c>
      <c r="AF47" s="19">
        <f t="shared" si="43"/>
        <v>992.48120300751884</v>
      </c>
      <c r="AG47" s="29">
        <v>4000</v>
      </c>
      <c r="AH47" s="30">
        <f t="shared" si="44"/>
        <v>3007.5187969924809</v>
      </c>
      <c r="AI47" s="19">
        <f t="shared" si="45"/>
        <v>992.48120300751884</v>
      </c>
      <c r="AJ47" s="29"/>
      <c r="AK47" s="30">
        <f t="shared" si="46"/>
        <v>0</v>
      </c>
      <c r="AL47" s="19">
        <f t="shared" si="47"/>
        <v>0</v>
      </c>
      <c r="AM47" s="29"/>
      <c r="AN47" s="30">
        <f t="shared" si="48"/>
        <v>0</v>
      </c>
      <c r="AO47" s="19">
        <f t="shared" si="49"/>
        <v>0</v>
      </c>
      <c r="AP47" s="29"/>
      <c r="AQ47" s="30">
        <f t="shared" si="50"/>
        <v>0</v>
      </c>
      <c r="AR47" s="19">
        <f t="shared" si="51"/>
        <v>0</v>
      </c>
      <c r="AS47" s="29"/>
      <c r="AT47" s="30">
        <f t="shared" si="52"/>
        <v>0</v>
      </c>
      <c r="AU47" s="19">
        <f t="shared" si="53"/>
        <v>0</v>
      </c>
      <c r="AV47" s="29"/>
      <c r="AW47" s="30">
        <f t="shared" si="54"/>
        <v>0</v>
      </c>
      <c r="AX47" s="19">
        <f t="shared" si="55"/>
        <v>0</v>
      </c>
      <c r="AY47" s="25">
        <f t="shared" si="56"/>
        <v>24000</v>
      </c>
    </row>
    <row r="48" spans="1:51" ht="24">
      <c r="A48" s="45">
        <v>43859</v>
      </c>
      <c r="B48" s="29" t="s">
        <v>237</v>
      </c>
      <c r="C48" s="29" t="s">
        <v>235</v>
      </c>
      <c r="D48" s="54">
        <v>2500</v>
      </c>
      <c r="E48" s="29" t="s">
        <v>109</v>
      </c>
      <c r="F48" s="29" t="s">
        <v>238</v>
      </c>
      <c r="G48" s="29" t="s">
        <v>89</v>
      </c>
      <c r="H48" s="29">
        <v>33</v>
      </c>
      <c r="I48" s="30">
        <f t="shared" si="29"/>
        <v>4.0303030303030303</v>
      </c>
      <c r="J48" s="29">
        <v>20000</v>
      </c>
      <c r="K48" s="29"/>
      <c r="L48" s="29">
        <f t="shared" si="30"/>
        <v>6600</v>
      </c>
      <c r="M48" s="29">
        <f t="shared" si="31"/>
        <v>26600</v>
      </c>
      <c r="N48" s="55">
        <f>M48-(AY48+'2019'!AY48)</f>
        <v>10600</v>
      </c>
      <c r="O48" s="29">
        <v>2500</v>
      </c>
      <c r="P48" s="30">
        <f t="shared" si="32"/>
        <v>1879.6992481203006</v>
      </c>
      <c r="Q48" s="30">
        <f t="shared" si="33"/>
        <v>620.30075187969931</v>
      </c>
      <c r="R48" s="29">
        <v>2500</v>
      </c>
      <c r="S48" s="30">
        <f t="shared" si="34"/>
        <v>1879.6992481203006</v>
      </c>
      <c r="T48" s="19">
        <f t="shared" si="35"/>
        <v>620.30075187969931</v>
      </c>
      <c r="U48" s="127">
        <v>2500</v>
      </c>
      <c r="V48" s="121">
        <f t="shared" si="36"/>
        <v>1879.6992481203006</v>
      </c>
      <c r="W48" s="126">
        <f t="shared" si="37"/>
        <v>620.30075187969931</v>
      </c>
      <c r="X48" s="122">
        <v>2500</v>
      </c>
      <c r="Y48" s="30">
        <f t="shared" si="38"/>
        <v>1879.6992481203006</v>
      </c>
      <c r="Z48" s="19">
        <f t="shared" si="39"/>
        <v>620.30075187969931</v>
      </c>
      <c r="AA48" s="29">
        <v>1000</v>
      </c>
      <c r="AB48" s="30">
        <f t="shared" si="40"/>
        <v>751.87969924812023</v>
      </c>
      <c r="AC48" s="19">
        <f t="shared" si="41"/>
        <v>248.12030075187971</v>
      </c>
      <c r="AD48" s="29">
        <v>2500</v>
      </c>
      <c r="AE48" s="30">
        <f t="shared" si="42"/>
        <v>1879.6992481203006</v>
      </c>
      <c r="AF48" s="19">
        <f t="shared" si="43"/>
        <v>620.30075187969931</v>
      </c>
      <c r="AG48" s="29">
        <v>2500</v>
      </c>
      <c r="AH48" s="30">
        <f t="shared" si="44"/>
        <v>1879.6992481203006</v>
      </c>
      <c r="AI48" s="19">
        <f t="shared" si="45"/>
        <v>620.30075187969931</v>
      </c>
      <c r="AJ48" s="29"/>
      <c r="AK48" s="30">
        <f t="shared" si="46"/>
        <v>0</v>
      </c>
      <c r="AL48" s="19">
        <f t="shared" si="47"/>
        <v>0</v>
      </c>
      <c r="AM48" s="29"/>
      <c r="AN48" s="30">
        <f t="shared" si="48"/>
        <v>0</v>
      </c>
      <c r="AO48" s="19">
        <f t="shared" si="49"/>
        <v>0</v>
      </c>
      <c r="AP48" s="29"/>
      <c r="AQ48" s="30">
        <f t="shared" si="50"/>
        <v>0</v>
      </c>
      <c r="AR48" s="19">
        <f t="shared" si="51"/>
        <v>0</v>
      </c>
      <c r="AS48" s="29"/>
      <c r="AT48" s="30">
        <f t="shared" si="52"/>
        <v>0</v>
      </c>
      <c r="AU48" s="19">
        <f t="shared" si="53"/>
        <v>0</v>
      </c>
      <c r="AV48" s="29"/>
      <c r="AW48" s="30">
        <f t="shared" si="54"/>
        <v>0</v>
      </c>
      <c r="AX48" s="19">
        <f t="shared" si="55"/>
        <v>0</v>
      </c>
      <c r="AY48" s="25">
        <f t="shared" si="56"/>
        <v>16000</v>
      </c>
    </row>
    <row r="49" spans="1:51" ht="24">
      <c r="A49" s="45">
        <v>43860</v>
      </c>
      <c r="B49" s="29" t="s">
        <v>241</v>
      </c>
      <c r="C49" s="29" t="s">
        <v>235</v>
      </c>
      <c r="D49" s="54">
        <v>2500</v>
      </c>
      <c r="E49" s="29" t="s">
        <v>109</v>
      </c>
      <c r="F49" s="29" t="s">
        <v>238</v>
      </c>
      <c r="G49" s="29" t="s">
        <v>74</v>
      </c>
      <c r="H49" s="29">
        <v>33</v>
      </c>
      <c r="I49" s="30">
        <f t="shared" si="29"/>
        <v>4.0303030303030303</v>
      </c>
      <c r="J49" s="29">
        <v>20000</v>
      </c>
      <c r="K49" s="29"/>
      <c r="L49" s="29">
        <f t="shared" si="30"/>
        <v>6600</v>
      </c>
      <c r="M49" s="29">
        <f t="shared" si="31"/>
        <v>26600</v>
      </c>
      <c r="N49" s="55">
        <f>M49-(AY49+'2019'!AY49)</f>
        <v>11600</v>
      </c>
      <c r="O49" s="29">
        <v>2500</v>
      </c>
      <c r="P49" s="30">
        <f t="shared" si="32"/>
        <v>1879.6992481203006</v>
      </c>
      <c r="Q49" s="30">
        <f t="shared" si="33"/>
        <v>620.30075187969931</v>
      </c>
      <c r="R49" s="29">
        <v>2500</v>
      </c>
      <c r="S49" s="30">
        <f t="shared" si="34"/>
        <v>1879.6992481203006</v>
      </c>
      <c r="T49" s="19">
        <f t="shared" si="35"/>
        <v>620.30075187969931</v>
      </c>
      <c r="U49" s="127">
        <v>2500</v>
      </c>
      <c r="V49" s="121">
        <f t="shared" si="36"/>
        <v>1879.6992481203006</v>
      </c>
      <c r="W49" s="126">
        <f t="shared" si="37"/>
        <v>620.30075187969931</v>
      </c>
      <c r="X49" s="122"/>
      <c r="Y49" s="30">
        <f t="shared" si="38"/>
        <v>0</v>
      </c>
      <c r="Z49" s="19">
        <f t="shared" si="39"/>
        <v>0</v>
      </c>
      <c r="AA49" s="29">
        <v>5000</v>
      </c>
      <c r="AB49" s="30">
        <f t="shared" si="40"/>
        <v>3759.3984962406012</v>
      </c>
      <c r="AC49" s="19">
        <f t="shared" si="41"/>
        <v>1240.6015037593986</v>
      </c>
      <c r="AD49" s="29">
        <v>2500</v>
      </c>
      <c r="AE49" s="30">
        <f t="shared" si="42"/>
        <v>1879.6992481203006</v>
      </c>
      <c r="AF49" s="19">
        <f t="shared" si="43"/>
        <v>620.30075187969931</v>
      </c>
      <c r="AG49" s="29"/>
      <c r="AH49" s="30">
        <f t="shared" si="44"/>
        <v>0</v>
      </c>
      <c r="AI49" s="19">
        <f t="shared" si="45"/>
        <v>0</v>
      </c>
      <c r="AJ49" s="29"/>
      <c r="AK49" s="30">
        <f t="shared" si="46"/>
        <v>0</v>
      </c>
      <c r="AL49" s="19">
        <f t="shared" si="47"/>
        <v>0</v>
      </c>
      <c r="AM49" s="29"/>
      <c r="AN49" s="30">
        <f t="shared" si="48"/>
        <v>0</v>
      </c>
      <c r="AO49" s="19">
        <f t="shared" si="49"/>
        <v>0</v>
      </c>
      <c r="AP49" s="29"/>
      <c r="AQ49" s="30">
        <f t="shared" si="50"/>
        <v>0</v>
      </c>
      <c r="AR49" s="19">
        <f t="shared" si="51"/>
        <v>0</v>
      </c>
      <c r="AS49" s="29"/>
      <c r="AT49" s="30">
        <f t="shared" si="52"/>
        <v>0</v>
      </c>
      <c r="AU49" s="19">
        <f t="shared" si="53"/>
        <v>0</v>
      </c>
      <c r="AV49" s="29"/>
      <c r="AW49" s="30">
        <f t="shared" si="54"/>
        <v>0</v>
      </c>
      <c r="AX49" s="19">
        <f t="shared" si="55"/>
        <v>0</v>
      </c>
      <c r="AY49" s="25">
        <f t="shared" si="56"/>
        <v>15000</v>
      </c>
    </row>
    <row r="50" spans="1:51" ht="24">
      <c r="A50" s="45">
        <v>43864</v>
      </c>
      <c r="B50" s="29" t="s">
        <v>413</v>
      </c>
      <c r="C50" s="29"/>
      <c r="D50" s="54">
        <v>2000</v>
      </c>
      <c r="E50" s="29" t="s">
        <v>106</v>
      </c>
      <c r="F50" s="29" t="s">
        <v>243</v>
      </c>
      <c r="G50" s="29" t="s">
        <v>89</v>
      </c>
      <c r="H50" s="29">
        <v>33</v>
      </c>
      <c r="I50" s="30">
        <f t="shared" si="29"/>
        <v>4.0303030303030303</v>
      </c>
      <c r="J50" s="29">
        <v>20500</v>
      </c>
      <c r="K50" s="29"/>
      <c r="L50" s="29">
        <f t="shared" si="30"/>
        <v>6765</v>
      </c>
      <c r="M50" s="29">
        <f t="shared" si="31"/>
        <v>27265</v>
      </c>
      <c r="N50" s="55">
        <f>M50-(AY50+'2019'!AY50)</f>
        <v>13265</v>
      </c>
      <c r="O50" s="29">
        <v>2000</v>
      </c>
      <c r="P50" s="30">
        <f t="shared" si="32"/>
        <v>1503.7593984962405</v>
      </c>
      <c r="Q50" s="30">
        <f t="shared" si="33"/>
        <v>496.24060150375942</v>
      </c>
      <c r="R50" s="29">
        <v>2000</v>
      </c>
      <c r="S50" s="30">
        <f t="shared" si="34"/>
        <v>1503.7593984962405</v>
      </c>
      <c r="T50" s="19">
        <f t="shared" si="35"/>
        <v>496.24060150375942</v>
      </c>
      <c r="U50" s="127">
        <v>2000</v>
      </c>
      <c r="V50" s="121">
        <f t="shared" si="36"/>
        <v>1503.7593984962405</v>
      </c>
      <c r="W50" s="126">
        <f t="shared" si="37"/>
        <v>496.24060150375942</v>
      </c>
      <c r="X50" s="122">
        <v>2000</v>
      </c>
      <c r="Y50" s="30">
        <f t="shared" si="38"/>
        <v>1503.7593984962405</v>
      </c>
      <c r="Z50" s="19">
        <f t="shared" si="39"/>
        <v>496.24060150375942</v>
      </c>
      <c r="AA50" s="29">
        <v>2000</v>
      </c>
      <c r="AB50" s="30">
        <f t="shared" si="40"/>
        <v>1503.7593984962405</v>
      </c>
      <c r="AC50" s="19">
        <f t="shared" si="41"/>
        <v>496.24060150375942</v>
      </c>
      <c r="AD50" s="29">
        <v>2000</v>
      </c>
      <c r="AE50" s="30">
        <f t="shared" si="42"/>
        <v>1503.7593984962405</v>
      </c>
      <c r="AF50" s="19">
        <f t="shared" si="43"/>
        <v>496.24060150375942</v>
      </c>
      <c r="AG50" s="29">
        <v>2000</v>
      </c>
      <c r="AH50" s="30">
        <f t="shared" si="44"/>
        <v>1503.7593984962405</v>
      </c>
      <c r="AI50" s="19">
        <f t="shared" si="45"/>
        <v>496.24060150375942</v>
      </c>
      <c r="AJ50" s="29"/>
      <c r="AK50" s="30">
        <f t="shared" si="46"/>
        <v>0</v>
      </c>
      <c r="AL50" s="19">
        <f t="shared" si="47"/>
        <v>0</v>
      </c>
      <c r="AM50" s="29"/>
      <c r="AN50" s="30">
        <f t="shared" si="48"/>
        <v>0</v>
      </c>
      <c r="AO50" s="19">
        <f t="shared" si="49"/>
        <v>0</v>
      </c>
      <c r="AP50" s="29"/>
      <c r="AQ50" s="30">
        <f t="shared" si="50"/>
        <v>0</v>
      </c>
      <c r="AR50" s="19">
        <f t="shared" si="51"/>
        <v>0</v>
      </c>
      <c r="AS50" s="29"/>
      <c r="AT50" s="30">
        <f t="shared" si="52"/>
        <v>0</v>
      </c>
      <c r="AU50" s="19">
        <f t="shared" si="53"/>
        <v>0</v>
      </c>
      <c r="AV50" s="29"/>
      <c r="AW50" s="30">
        <f t="shared" si="54"/>
        <v>0</v>
      </c>
      <c r="AX50" s="19">
        <f t="shared" si="55"/>
        <v>0</v>
      </c>
      <c r="AY50" s="25">
        <f t="shared" si="56"/>
        <v>14000</v>
      </c>
    </row>
    <row r="51" spans="1:51" ht="36">
      <c r="A51" s="45">
        <v>43864</v>
      </c>
      <c r="B51" s="29" t="s">
        <v>251</v>
      </c>
      <c r="C51" s="29" t="s">
        <v>252</v>
      </c>
      <c r="D51" s="54">
        <v>2000</v>
      </c>
      <c r="E51" s="29" t="s">
        <v>113</v>
      </c>
      <c r="F51" s="29" t="s">
        <v>253</v>
      </c>
      <c r="G51" s="29" t="s">
        <v>89</v>
      </c>
      <c r="H51" s="29">
        <v>33</v>
      </c>
      <c r="I51" s="30">
        <f t="shared" si="29"/>
        <v>4.0303030303030303</v>
      </c>
      <c r="J51" s="29">
        <v>24100</v>
      </c>
      <c r="K51" s="29"/>
      <c r="L51" s="29">
        <f t="shared" si="30"/>
        <v>7953</v>
      </c>
      <c r="M51" s="29">
        <f t="shared" si="31"/>
        <v>32053</v>
      </c>
      <c r="N51" s="55">
        <f>M51-(AY51+'2019'!AY51)</f>
        <v>20053</v>
      </c>
      <c r="O51" s="29">
        <v>2000</v>
      </c>
      <c r="P51" s="30">
        <f t="shared" si="32"/>
        <v>1503.7593984962405</v>
      </c>
      <c r="Q51" s="30">
        <f t="shared" si="33"/>
        <v>496.24060150375942</v>
      </c>
      <c r="R51" s="29">
        <v>2000</v>
      </c>
      <c r="S51" s="30">
        <f t="shared" si="34"/>
        <v>1503.7593984962405</v>
      </c>
      <c r="T51" s="19">
        <f t="shared" si="35"/>
        <v>496.24060150375942</v>
      </c>
      <c r="U51" s="127">
        <v>2000</v>
      </c>
      <c r="V51" s="121">
        <f t="shared" si="36"/>
        <v>1503.7593984962405</v>
      </c>
      <c r="W51" s="126">
        <f t="shared" si="37"/>
        <v>496.24060150375942</v>
      </c>
      <c r="X51" s="122">
        <v>2000</v>
      </c>
      <c r="Y51" s="30">
        <f t="shared" si="38"/>
        <v>1503.7593984962405</v>
      </c>
      <c r="Z51" s="19">
        <f t="shared" si="39"/>
        <v>496.24060150375942</v>
      </c>
      <c r="AA51" s="29">
        <v>2000</v>
      </c>
      <c r="AB51" s="30">
        <f t="shared" si="40"/>
        <v>1503.7593984962405</v>
      </c>
      <c r="AC51" s="19">
        <f t="shared" si="41"/>
        <v>496.24060150375942</v>
      </c>
      <c r="AD51" s="29">
        <v>2000</v>
      </c>
      <c r="AE51" s="30">
        <f t="shared" si="42"/>
        <v>1503.7593984962405</v>
      </c>
      <c r="AF51" s="19">
        <f t="shared" si="43"/>
        <v>496.24060150375942</v>
      </c>
      <c r="AG51" s="29"/>
      <c r="AH51" s="30">
        <f t="shared" si="44"/>
        <v>0</v>
      </c>
      <c r="AI51" s="19">
        <f t="shared" si="45"/>
        <v>0</v>
      </c>
      <c r="AJ51" s="29"/>
      <c r="AK51" s="30">
        <f t="shared" si="46"/>
        <v>0</v>
      </c>
      <c r="AL51" s="19">
        <f t="shared" si="47"/>
        <v>0</v>
      </c>
      <c r="AM51" s="29"/>
      <c r="AN51" s="30">
        <f t="shared" si="48"/>
        <v>0</v>
      </c>
      <c r="AO51" s="19">
        <f t="shared" si="49"/>
        <v>0</v>
      </c>
      <c r="AP51" s="29"/>
      <c r="AQ51" s="30">
        <f t="shared" si="50"/>
        <v>0</v>
      </c>
      <c r="AR51" s="19">
        <f t="shared" si="51"/>
        <v>0</v>
      </c>
      <c r="AS51" s="29"/>
      <c r="AT51" s="30">
        <f t="shared" si="52"/>
        <v>0</v>
      </c>
      <c r="AU51" s="19">
        <f t="shared" si="53"/>
        <v>0</v>
      </c>
      <c r="AV51" s="29"/>
      <c r="AW51" s="30">
        <f t="shared" si="54"/>
        <v>0</v>
      </c>
      <c r="AX51" s="19">
        <f t="shared" si="55"/>
        <v>0</v>
      </c>
      <c r="AY51" s="25">
        <f t="shared" si="56"/>
        <v>12000</v>
      </c>
    </row>
    <row r="52" spans="1:51" ht="24">
      <c r="A52" s="45">
        <v>43865</v>
      </c>
      <c r="B52" s="29" t="s">
        <v>256</v>
      </c>
      <c r="C52" s="29" t="s">
        <v>257</v>
      </c>
      <c r="D52" s="54">
        <v>2500</v>
      </c>
      <c r="E52" s="29" t="s">
        <v>109</v>
      </c>
      <c r="F52" s="29" t="s">
        <v>243</v>
      </c>
      <c r="G52" s="29" t="s">
        <v>74</v>
      </c>
      <c r="H52" s="29">
        <v>33</v>
      </c>
      <c r="I52" s="30">
        <f t="shared" si="29"/>
        <v>4.0303030303030303</v>
      </c>
      <c r="J52" s="29">
        <v>20000</v>
      </c>
      <c r="K52" s="29"/>
      <c r="L52" s="29">
        <f t="shared" si="30"/>
        <v>6600</v>
      </c>
      <c r="M52" s="29">
        <f t="shared" si="31"/>
        <v>26600</v>
      </c>
      <c r="N52" s="55">
        <f>M52-(AY52+'2019'!AY52)</f>
        <v>9100</v>
      </c>
      <c r="O52" s="29">
        <v>2500</v>
      </c>
      <c r="P52" s="30">
        <f t="shared" si="32"/>
        <v>1879.6992481203006</v>
      </c>
      <c r="Q52" s="30">
        <f t="shared" si="33"/>
        <v>620.30075187969931</v>
      </c>
      <c r="R52" s="29">
        <v>2500</v>
      </c>
      <c r="S52" s="30">
        <f t="shared" si="34"/>
        <v>1879.6992481203006</v>
      </c>
      <c r="T52" s="19">
        <f t="shared" si="35"/>
        <v>620.30075187969931</v>
      </c>
      <c r="U52" s="127">
        <v>2500</v>
      </c>
      <c r="V52" s="121">
        <f t="shared" si="36"/>
        <v>1879.6992481203006</v>
      </c>
      <c r="W52" s="126">
        <f t="shared" si="37"/>
        <v>620.30075187969931</v>
      </c>
      <c r="X52" s="122">
        <v>2500</v>
      </c>
      <c r="Y52" s="30">
        <f t="shared" si="38"/>
        <v>1879.6992481203006</v>
      </c>
      <c r="Z52" s="19">
        <f t="shared" si="39"/>
        <v>620.30075187969931</v>
      </c>
      <c r="AA52" s="29">
        <v>2500</v>
      </c>
      <c r="AB52" s="30">
        <f t="shared" si="40"/>
        <v>1879.6992481203006</v>
      </c>
      <c r="AC52" s="19">
        <f t="shared" si="41"/>
        <v>620.30075187969931</v>
      </c>
      <c r="AD52" s="29">
        <v>2500</v>
      </c>
      <c r="AE52" s="30">
        <f t="shared" si="42"/>
        <v>1879.6992481203006</v>
      </c>
      <c r="AF52" s="19">
        <f t="shared" si="43"/>
        <v>620.30075187969931</v>
      </c>
      <c r="AG52" s="29">
        <v>2500</v>
      </c>
      <c r="AH52" s="30">
        <f t="shared" si="44"/>
        <v>1879.6992481203006</v>
      </c>
      <c r="AI52" s="19">
        <f t="shared" si="45"/>
        <v>620.30075187969931</v>
      </c>
      <c r="AJ52" s="29"/>
      <c r="AK52" s="30">
        <f t="shared" si="46"/>
        <v>0</v>
      </c>
      <c r="AL52" s="19">
        <f t="shared" si="47"/>
        <v>0</v>
      </c>
      <c r="AM52" s="29"/>
      <c r="AN52" s="30">
        <f t="shared" si="48"/>
        <v>0</v>
      </c>
      <c r="AO52" s="19">
        <f t="shared" si="49"/>
        <v>0</v>
      </c>
      <c r="AP52" s="29"/>
      <c r="AQ52" s="30">
        <f t="shared" si="50"/>
        <v>0</v>
      </c>
      <c r="AR52" s="19">
        <f t="shared" si="51"/>
        <v>0</v>
      </c>
      <c r="AS52" s="29"/>
      <c r="AT52" s="30">
        <f t="shared" si="52"/>
        <v>0</v>
      </c>
      <c r="AU52" s="19">
        <f t="shared" si="53"/>
        <v>0</v>
      </c>
      <c r="AV52" s="29"/>
      <c r="AW52" s="30">
        <f t="shared" si="54"/>
        <v>0</v>
      </c>
      <c r="AX52" s="19">
        <f t="shared" si="55"/>
        <v>0</v>
      </c>
      <c r="AY52" s="25">
        <f t="shared" si="56"/>
        <v>17500</v>
      </c>
    </row>
    <row r="53" spans="1:51" ht="24">
      <c r="A53" s="45">
        <v>43869</v>
      </c>
      <c r="B53" s="29" t="s">
        <v>287</v>
      </c>
      <c r="C53" s="29"/>
      <c r="D53" s="54">
        <v>2000</v>
      </c>
      <c r="E53" s="29" t="s">
        <v>109</v>
      </c>
      <c r="F53" s="29" t="s">
        <v>265</v>
      </c>
      <c r="G53" s="29" t="s">
        <v>89</v>
      </c>
      <c r="H53" s="29">
        <v>33</v>
      </c>
      <c r="I53" s="30">
        <f t="shared" si="29"/>
        <v>4.0303030303030303</v>
      </c>
      <c r="J53" s="29">
        <v>20000</v>
      </c>
      <c r="K53" s="29"/>
      <c r="L53" s="29">
        <f t="shared" si="30"/>
        <v>6600</v>
      </c>
      <c r="M53" s="29">
        <f t="shared" si="31"/>
        <v>26600</v>
      </c>
      <c r="N53" s="55">
        <f>M53-(AY53+'2019'!AY53)</f>
        <v>12600</v>
      </c>
      <c r="O53" s="112">
        <v>2000</v>
      </c>
      <c r="P53" s="30">
        <f t="shared" si="32"/>
        <v>1503.7593984962405</v>
      </c>
      <c r="Q53" s="30">
        <f t="shared" si="33"/>
        <v>496.24060150375942</v>
      </c>
      <c r="R53" s="29">
        <v>2000</v>
      </c>
      <c r="S53" s="30">
        <f t="shared" si="34"/>
        <v>1503.7593984962405</v>
      </c>
      <c r="T53" s="19">
        <f t="shared" si="35"/>
        <v>496.24060150375942</v>
      </c>
      <c r="U53" s="127">
        <v>2000</v>
      </c>
      <c r="V53" s="121">
        <f t="shared" si="36"/>
        <v>1503.7593984962405</v>
      </c>
      <c r="W53" s="126">
        <f t="shared" si="37"/>
        <v>496.24060150375942</v>
      </c>
      <c r="X53" s="122"/>
      <c r="Y53" s="30">
        <f t="shared" si="38"/>
        <v>0</v>
      </c>
      <c r="Z53" s="19">
        <f t="shared" si="39"/>
        <v>0</v>
      </c>
      <c r="AA53" s="29">
        <v>4000</v>
      </c>
      <c r="AB53" s="30">
        <f t="shared" si="40"/>
        <v>3007.5187969924809</v>
      </c>
      <c r="AC53" s="19">
        <f t="shared" si="41"/>
        <v>992.48120300751884</v>
      </c>
      <c r="AD53" s="29">
        <v>2000</v>
      </c>
      <c r="AE53" s="30">
        <f t="shared" si="42"/>
        <v>1503.7593984962405</v>
      </c>
      <c r="AF53" s="19">
        <f t="shared" si="43"/>
        <v>496.24060150375942</v>
      </c>
      <c r="AG53" s="29">
        <v>2000</v>
      </c>
      <c r="AH53" s="30">
        <f t="shared" si="44"/>
        <v>1503.7593984962405</v>
      </c>
      <c r="AI53" s="19">
        <f t="shared" si="45"/>
        <v>496.24060150375942</v>
      </c>
      <c r="AJ53" s="29"/>
      <c r="AK53" s="30">
        <f t="shared" si="46"/>
        <v>0</v>
      </c>
      <c r="AL53" s="19">
        <f t="shared" si="47"/>
        <v>0</v>
      </c>
      <c r="AM53" s="29"/>
      <c r="AN53" s="30">
        <f t="shared" si="48"/>
        <v>0</v>
      </c>
      <c r="AO53" s="19">
        <f t="shared" si="49"/>
        <v>0</v>
      </c>
      <c r="AP53" s="29"/>
      <c r="AQ53" s="30">
        <f t="shared" si="50"/>
        <v>0</v>
      </c>
      <c r="AR53" s="19">
        <f t="shared" si="51"/>
        <v>0</v>
      </c>
      <c r="AS53" s="29"/>
      <c r="AT53" s="30">
        <f t="shared" si="52"/>
        <v>0</v>
      </c>
      <c r="AU53" s="19">
        <f t="shared" si="53"/>
        <v>0</v>
      </c>
      <c r="AV53" s="29"/>
      <c r="AW53" s="30">
        <f t="shared" si="54"/>
        <v>0</v>
      </c>
      <c r="AX53" s="19">
        <f t="shared" si="55"/>
        <v>0</v>
      </c>
      <c r="AY53" s="25">
        <f t="shared" si="56"/>
        <v>14000</v>
      </c>
    </row>
    <row r="54" spans="1:51" ht="24">
      <c r="A54" s="45">
        <v>43872</v>
      </c>
      <c r="B54" s="29" t="s">
        <v>266</v>
      </c>
      <c r="C54" s="29"/>
      <c r="D54" s="54">
        <v>4000</v>
      </c>
      <c r="E54" s="29"/>
      <c r="F54" s="29" t="s">
        <v>267</v>
      </c>
      <c r="G54" s="29" t="s">
        <v>89</v>
      </c>
      <c r="H54" s="29">
        <v>33</v>
      </c>
      <c r="I54" s="30">
        <f t="shared" si="29"/>
        <v>4.0303030303030303</v>
      </c>
      <c r="J54" s="29">
        <v>36000</v>
      </c>
      <c r="K54" s="29"/>
      <c r="L54" s="29">
        <f t="shared" si="30"/>
        <v>11880</v>
      </c>
      <c r="M54" s="29">
        <f t="shared" si="31"/>
        <v>47880</v>
      </c>
      <c r="N54" s="55">
        <f>M54-(AY54+'2019'!AY54)</f>
        <v>27880</v>
      </c>
      <c r="O54" s="29"/>
      <c r="P54" s="30">
        <f t="shared" si="32"/>
        <v>0</v>
      </c>
      <c r="Q54" s="30">
        <f t="shared" si="33"/>
        <v>0</v>
      </c>
      <c r="R54" s="29">
        <v>4000</v>
      </c>
      <c r="S54" s="30">
        <f t="shared" si="34"/>
        <v>3007.5187969924809</v>
      </c>
      <c r="T54" s="19">
        <f t="shared" si="35"/>
        <v>992.48120300751884</v>
      </c>
      <c r="U54" s="127">
        <v>4000</v>
      </c>
      <c r="V54" s="121">
        <f t="shared" si="36"/>
        <v>3007.5187969924809</v>
      </c>
      <c r="W54" s="126">
        <f t="shared" si="37"/>
        <v>992.48120300751884</v>
      </c>
      <c r="X54" s="122"/>
      <c r="Y54" s="30">
        <f t="shared" si="38"/>
        <v>0</v>
      </c>
      <c r="Z54" s="19">
        <f t="shared" si="39"/>
        <v>0</v>
      </c>
      <c r="AA54" s="29">
        <v>4000</v>
      </c>
      <c r="AB54" s="30">
        <f t="shared" si="40"/>
        <v>3007.5187969924809</v>
      </c>
      <c r="AC54" s="19">
        <f t="shared" si="41"/>
        <v>992.48120300751884</v>
      </c>
      <c r="AD54" s="29">
        <v>4000</v>
      </c>
      <c r="AE54" s="30">
        <f t="shared" si="42"/>
        <v>3007.5187969924809</v>
      </c>
      <c r="AF54" s="19">
        <f t="shared" si="43"/>
        <v>992.48120300751884</v>
      </c>
      <c r="AG54" s="29">
        <v>4000</v>
      </c>
      <c r="AH54" s="30">
        <f t="shared" si="44"/>
        <v>3007.5187969924809</v>
      </c>
      <c r="AI54" s="19">
        <f t="shared" si="45"/>
        <v>992.48120300751884</v>
      </c>
      <c r="AJ54" s="29"/>
      <c r="AK54" s="30">
        <f t="shared" si="46"/>
        <v>0</v>
      </c>
      <c r="AL54" s="19">
        <f t="shared" si="47"/>
        <v>0</v>
      </c>
      <c r="AM54" s="29"/>
      <c r="AN54" s="30">
        <f t="shared" si="48"/>
        <v>0</v>
      </c>
      <c r="AO54" s="19">
        <f t="shared" si="49"/>
        <v>0</v>
      </c>
      <c r="AP54" s="29"/>
      <c r="AQ54" s="30">
        <f t="shared" si="50"/>
        <v>0</v>
      </c>
      <c r="AR54" s="19">
        <f t="shared" si="51"/>
        <v>0</v>
      </c>
      <c r="AS54" s="29"/>
      <c r="AT54" s="30">
        <f t="shared" si="52"/>
        <v>0</v>
      </c>
      <c r="AU54" s="19">
        <f t="shared" si="53"/>
        <v>0</v>
      </c>
      <c r="AV54" s="29"/>
      <c r="AW54" s="30">
        <f t="shared" si="54"/>
        <v>0</v>
      </c>
      <c r="AX54" s="19">
        <f t="shared" si="55"/>
        <v>0</v>
      </c>
      <c r="AY54" s="25">
        <f t="shared" si="56"/>
        <v>20000</v>
      </c>
    </row>
    <row r="55" spans="1:51" ht="24">
      <c r="A55" s="106">
        <v>43834</v>
      </c>
      <c r="B55" s="107" t="s">
        <v>169</v>
      </c>
      <c r="C55" s="24" t="s">
        <v>170</v>
      </c>
      <c r="D55" s="24">
        <v>2000</v>
      </c>
      <c r="E55" s="24" t="s">
        <v>106</v>
      </c>
      <c r="F55" s="24" t="s">
        <v>171</v>
      </c>
      <c r="G55" s="29" t="s">
        <v>89</v>
      </c>
      <c r="H55" s="29">
        <v>33</v>
      </c>
      <c r="I55" s="30">
        <f t="shared" ref="I55:I62" si="57">IFERROR(M55/L55,"0")</f>
        <v>4.0303030303030303</v>
      </c>
      <c r="J55" s="29">
        <v>12492.5</v>
      </c>
      <c r="K55" s="29"/>
      <c r="L55" s="30">
        <f t="shared" ref="L55:L62" si="58">H55/100*J55</f>
        <v>4122.5250000000005</v>
      </c>
      <c r="M55" s="30">
        <f t="shared" ref="M55:M62" si="59">J55+L55</f>
        <v>16615.025000000001</v>
      </c>
      <c r="N55" s="58">
        <f>M55-(AY55+'2019'!AY55)</f>
        <v>6615.0250000000015</v>
      </c>
      <c r="O55" s="29"/>
      <c r="P55" s="30">
        <f t="shared" ref="P55:P62" si="60">IFERROR(O55-Q55,"0")</f>
        <v>0</v>
      </c>
      <c r="Q55" s="30">
        <f t="shared" ref="Q55:Q62" si="61">IFERROR(O55/I55,"0")</f>
        <v>0</v>
      </c>
      <c r="R55" s="29">
        <v>2000</v>
      </c>
      <c r="S55" s="30">
        <f t="shared" ref="S55:S62" si="62">IFERROR(R55-T55,"0")</f>
        <v>1503.7593984962405</v>
      </c>
      <c r="T55" s="19">
        <f t="shared" ref="T55:T62" si="63">IFERROR(R55/I55,"0")</f>
        <v>496.24060150375942</v>
      </c>
      <c r="U55" s="127">
        <v>2000</v>
      </c>
      <c r="V55" s="121">
        <f t="shared" ref="V55:V62" si="64">IFERROR(U55-W55,"0")</f>
        <v>1503.7593984962405</v>
      </c>
      <c r="W55" s="126">
        <f t="shared" ref="W55:W62" si="65">IFERROR(U55/I55,"0")</f>
        <v>496.24060150375942</v>
      </c>
      <c r="X55" s="122">
        <v>2000</v>
      </c>
      <c r="Y55" s="30">
        <f t="shared" ref="Y55:Y62" si="66">IFERROR(X55-Z55,"0")</f>
        <v>1503.7593984962405</v>
      </c>
      <c r="Z55" s="19">
        <f t="shared" ref="Z55:Z62" si="67">IFERROR(X55/I55,"0")</f>
        <v>496.24060150375942</v>
      </c>
      <c r="AA55" s="29">
        <v>2000</v>
      </c>
      <c r="AB55" s="30">
        <f t="shared" ref="AB55:AB62" si="68">IFERROR(AA55-AC55,"0")</f>
        <v>1503.7593984962405</v>
      </c>
      <c r="AC55" s="19">
        <f t="shared" ref="AC55:AC62" si="69">IFERROR(AA55/I55,"0")</f>
        <v>496.24060150375942</v>
      </c>
      <c r="AD55" s="29">
        <v>2000</v>
      </c>
      <c r="AE55" s="30">
        <f t="shared" ref="AE55:AE62" si="70">IFERROR(AD55-AF55,"0")</f>
        <v>1503.7593984962405</v>
      </c>
      <c r="AF55" s="19">
        <f t="shared" ref="AF55:AF62" si="71">IFERROR(AD55/I55,"0")</f>
        <v>496.24060150375942</v>
      </c>
      <c r="AG55" s="29"/>
      <c r="AH55" s="30">
        <f t="shared" ref="AH55:AH62" si="72">IFERROR(AG55-AI55,"0")</f>
        <v>0</v>
      </c>
      <c r="AI55" s="19">
        <f t="shared" ref="AI55:AI62" si="73">IFERROR(AG55/I55,"0")</f>
        <v>0</v>
      </c>
      <c r="AJ55" s="29"/>
      <c r="AK55" s="30">
        <f t="shared" ref="AK55:AK62" si="74">IFERROR(AJ55-AL55,"0")</f>
        <v>0</v>
      </c>
      <c r="AL55" s="19">
        <f t="shared" ref="AL55:AL62" si="75">IFERROR(AJ55/I55,"0")</f>
        <v>0</v>
      </c>
      <c r="AM55" s="29"/>
      <c r="AN55" s="30">
        <f t="shared" ref="AN55:AN62" si="76">IFERROR(AM55-AO55,"0")</f>
        <v>0</v>
      </c>
      <c r="AO55" s="19">
        <f t="shared" ref="AO55:AO62" si="77">IFERROR(AM55/I55,"0")</f>
        <v>0</v>
      </c>
      <c r="AP55" s="29"/>
      <c r="AQ55" s="30">
        <f t="shared" ref="AQ55:AQ62" si="78">IFERROR(AP55-AR55,"0")</f>
        <v>0</v>
      </c>
      <c r="AR55" s="19">
        <f t="shared" ref="AR55:AR62" si="79">IFERROR(AP55/I55,"0")</f>
        <v>0</v>
      </c>
      <c r="AS55" s="29"/>
      <c r="AT55" s="30">
        <f t="shared" ref="AT55:AT62" si="80">IFERROR(AS55-AU55,"0")</f>
        <v>0</v>
      </c>
      <c r="AU55" s="19">
        <f t="shared" ref="AU55:AU62" si="81">IFERROR(AS55/I55,"0")</f>
        <v>0</v>
      </c>
      <c r="AV55" s="29"/>
      <c r="AW55" s="30">
        <f t="shared" ref="AW55:AW62" si="82">IFERROR(AV55-AX55,"0")</f>
        <v>0</v>
      </c>
      <c r="AX55" s="19">
        <f t="shared" ref="AX55:AX62" si="83">IFERROR(AV55/I55,"0")</f>
        <v>0</v>
      </c>
      <c r="AY55" s="25">
        <f t="shared" ref="AY55:AY62" si="84">O55+R55+U55+X55+AA55+AD55+AG55+AJ55+AM55+AP55+AS55+AV55</f>
        <v>10000</v>
      </c>
    </row>
    <row r="56" spans="1:51" ht="24">
      <c r="A56" s="106">
        <v>43834</v>
      </c>
      <c r="B56" s="107" t="s">
        <v>172</v>
      </c>
      <c r="C56" s="24" t="s">
        <v>173</v>
      </c>
      <c r="D56" s="24">
        <v>1500</v>
      </c>
      <c r="E56" s="24" t="s">
        <v>106</v>
      </c>
      <c r="F56" s="24" t="s">
        <v>174</v>
      </c>
      <c r="G56" s="29" t="s">
        <v>89</v>
      </c>
      <c r="H56" s="29">
        <v>33</v>
      </c>
      <c r="I56" s="30">
        <f t="shared" si="57"/>
        <v>4.0303030303030303</v>
      </c>
      <c r="J56" s="29">
        <v>12244</v>
      </c>
      <c r="K56" s="29"/>
      <c r="L56" s="30">
        <f t="shared" si="58"/>
        <v>4040.52</v>
      </c>
      <c r="M56" s="30">
        <f t="shared" si="59"/>
        <v>16284.52</v>
      </c>
      <c r="N56" s="58">
        <f>M56-(AY56+'2019'!AY56)</f>
        <v>5784.52</v>
      </c>
      <c r="O56" s="29"/>
      <c r="P56" s="30">
        <f t="shared" si="60"/>
        <v>0</v>
      </c>
      <c r="Q56" s="30">
        <f t="shared" si="61"/>
        <v>0</v>
      </c>
      <c r="R56" s="29">
        <v>2500</v>
      </c>
      <c r="S56" s="30">
        <f t="shared" si="62"/>
        <v>1879.6992481203006</v>
      </c>
      <c r="T56" s="19">
        <f t="shared" si="63"/>
        <v>620.30075187969931</v>
      </c>
      <c r="U56" s="127">
        <v>2000</v>
      </c>
      <c r="V56" s="121">
        <f t="shared" si="64"/>
        <v>1503.7593984962405</v>
      </c>
      <c r="W56" s="126">
        <f t="shared" si="65"/>
        <v>496.24060150375942</v>
      </c>
      <c r="X56" s="122">
        <v>2000</v>
      </c>
      <c r="Y56" s="30">
        <f t="shared" si="66"/>
        <v>1503.7593984962405</v>
      </c>
      <c r="Z56" s="19">
        <f t="shared" si="67"/>
        <v>496.24060150375942</v>
      </c>
      <c r="AA56" s="29">
        <v>2000</v>
      </c>
      <c r="AB56" s="30">
        <f t="shared" si="68"/>
        <v>1503.7593984962405</v>
      </c>
      <c r="AC56" s="19">
        <f t="shared" si="69"/>
        <v>496.24060150375942</v>
      </c>
      <c r="AD56" s="29">
        <v>2000</v>
      </c>
      <c r="AE56" s="30">
        <f t="shared" si="70"/>
        <v>1503.7593984962405</v>
      </c>
      <c r="AF56" s="19">
        <f t="shared" si="71"/>
        <v>496.24060150375942</v>
      </c>
      <c r="AG56" s="29"/>
      <c r="AH56" s="30">
        <f t="shared" si="72"/>
        <v>0</v>
      </c>
      <c r="AI56" s="19">
        <f t="shared" si="73"/>
        <v>0</v>
      </c>
      <c r="AJ56" s="29"/>
      <c r="AK56" s="30">
        <f t="shared" si="74"/>
        <v>0</v>
      </c>
      <c r="AL56" s="19">
        <f t="shared" si="75"/>
        <v>0</v>
      </c>
      <c r="AM56" s="29"/>
      <c r="AN56" s="30">
        <f t="shared" si="76"/>
        <v>0</v>
      </c>
      <c r="AO56" s="19">
        <f t="shared" si="77"/>
        <v>0</v>
      </c>
      <c r="AP56" s="29"/>
      <c r="AQ56" s="30">
        <f t="shared" si="78"/>
        <v>0</v>
      </c>
      <c r="AR56" s="19">
        <f t="shared" si="79"/>
        <v>0</v>
      </c>
      <c r="AS56" s="29"/>
      <c r="AT56" s="30">
        <f t="shared" si="80"/>
        <v>0</v>
      </c>
      <c r="AU56" s="19">
        <f t="shared" si="81"/>
        <v>0</v>
      </c>
      <c r="AV56" s="29"/>
      <c r="AW56" s="30">
        <f t="shared" si="82"/>
        <v>0</v>
      </c>
      <c r="AX56" s="19">
        <f t="shared" si="83"/>
        <v>0</v>
      </c>
      <c r="AY56" s="25">
        <f t="shared" si="84"/>
        <v>10500</v>
      </c>
    </row>
    <row r="57" spans="1:51" ht="24">
      <c r="A57" s="106">
        <v>43834</v>
      </c>
      <c r="B57" s="108" t="s">
        <v>175</v>
      </c>
      <c r="C57" s="29" t="s">
        <v>176</v>
      </c>
      <c r="D57" s="29">
        <v>3000</v>
      </c>
      <c r="E57" s="29" t="s">
        <v>106</v>
      </c>
      <c r="F57" s="29" t="s">
        <v>177</v>
      </c>
      <c r="G57" s="29" t="s">
        <v>89</v>
      </c>
      <c r="H57" s="29">
        <v>33</v>
      </c>
      <c r="I57" s="30">
        <f t="shared" si="57"/>
        <v>4.0303030303030303</v>
      </c>
      <c r="J57" s="29">
        <v>25489</v>
      </c>
      <c r="K57" s="29"/>
      <c r="L57" s="30">
        <f t="shared" si="58"/>
        <v>8411.3700000000008</v>
      </c>
      <c r="M57" s="30">
        <f t="shared" si="59"/>
        <v>33900.370000000003</v>
      </c>
      <c r="N57" s="58">
        <f>M57-(AY57+'2019'!AY57)</f>
        <v>18900.370000000003</v>
      </c>
      <c r="O57" s="29"/>
      <c r="P57" s="30">
        <f t="shared" si="60"/>
        <v>0</v>
      </c>
      <c r="Q57" s="30">
        <f t="shared" si="61"/>
        <v>0</v>
      </c>
      <c r="R57" s="29">
        <v>3000</v>
      </c>
      <c r="S57" s="30">
        <f t="shared" si="62"/>
        <v>2255.6390977443607</v>
      </c>
      <c r="T57" s="19">
        <f t="shared" si="63"/>
        <v>744.36090225563908</v>
      </c>
      <c r="U57" s="127">
        <v>3000</v>
      </c>
      <c r="V57" s="121">
        <f t="shared" si="64"/>
        <v>2255.6390977443607</v>
      </c>
      <c r="W57" s="126">
        <f t="shared" si="65"/>
        <v>744.36090225563908</v>
      </c>
      <c r="X57" s="122">
        <v>3000</v>
      </c>
      <c r="Y57" s="30">
        <f t="shared" si="66"/>
        <v>2255.6390977443607</v>
      </c>
      <c r="Z57" s="19">
        <f t="shared" si="67"/>
        <v>744.36090225563908</v>
      </c>
      <c r="AA57" s="29">
        <v>3000</v>
      </c>
      <c r="AB57" s="30">
        <f t="shared" si="68"/>
        <v>2255.6390977443607</v>
      </c>
      <c r="AC57" s="19">
        <f t="shared" si="69"/>
        <v>744.36090225563908</v>
      </c>
      <c r="AD57" s="29">
        <v>3000</v>
      </c>
      <c r="AE57" s="30">
        <f t="shared" si="70"/>
        <v>2255.6390977443607</v>
      </c>
      <c r="AF57" s="19">
        <f t="shared" si="71"/>
        <v>744.36090225563908</v>
      </c>
      <c r="AG57" s="29"/>
      <c r="AH57" s="30">
        <f t="shared" si="72"/>
        <v>0</v>
      </c>
      <c r="AI57" s="19">
        <f t="shared" si="73"/>
        <v>0</v>
      </c>
      <c r="AJ57" s="29"/>
      <c r="AK57" s="30">
        <f t="shared" si="74"/>
        <v>0</v>
      </c>
      <c r="AL57" s="19">
        <f t="shared" si="75"/>
        <v>0</v>
      </c>
      <c r="AM57" s="29"/>
      <c r="AN57" s="30">
        <f t="shared" si="76"/>
        <v>0</v>
      </c>
      <c r="AO57" s="19">
        <f t="shared" si="77"/>
        <v>0</v>
      </c>
      <c r="AP57" s="29"/>
      <c r="AQ57" s="30">
        <f t="shared" si="78"/>
        <v>0</v>
      </c>
      <c r="AR57" s="19">
        <f t="shared" si="79"/>
        <v>0</v>
      </c>
      <c r="AS57" s="29"/>
      <c r="AT57" s="30">
        <f t="shared" si="80"/>
        <v>0</v>
      </c>
      <c r="AU57" s="19">
        <f t="shared" si="81"/>
        <v>0</v>
      </c>
      <c r="AV57" s="29"/>
      <c r="AW57" s="30">
        <f t="shared" si="82"/>
        <v>0</v>
      </c>
      <c r="AX57" s="19">
        <f t="shared" si="83"/>
        <v>0</v>
      </c>
      <c r="AY57" s="25">
        <f t="shared" si="84"/>
        <v>15000</v>
      </c>
    </row>
    <row r="58" spans="1:51" ht="24">
      <c r="A58" s="106">
        <v>43834</v>
      </c>
      <c r="B58" s="108" t="s">
        <v>329</v>
      </c>
      <c r="C58" s="29" t="s">
        <v>179</v>
      </c>
      <c r="D58" s="29">
        <v>2000</v>
      </c>
      <c r="E58" s="29" t="s">
        <v>106</v>
      </c>
      <c r="F58" s="29" t="s">
        <v>117</v>
      </c>
      <c r="G58" s="29" t="s">
        <v>89</v>
      </c>
      <c r="H58" s="29">
        <v>33</v>
      </c>
      <c r="I58" s="30">
        <f t="shared" si="57"/>
        <v>4.0303030303030303</v>
      </c>
      <c r="J58" s="29">
        <v>16992.5</v>
      </c>
      <c r="K58" s="29"/>
      <c r="L58" s="30">
        <f t="shared" si="58"/>
        <v>5607.5250000000005</v>
      </c>
      <c r="M58" s="30">
        <f t="shared" si="59"/>
        <v>22600.025000000001</v>
      </c>
      <c r="N58" s="58">
        <f>M58-(AY58+'2019'!AY58)</f>
        <v>10600.025000000001</v>
      </c>
      <c r="O58" s="29"/>
      <c r="P58" s="30">
        <f t="shared" si="60"/>
        <v>0</v>
      </c>
      <c r="Q58" s="30">
        <f t="shared" si="61"/>
        <v>0</v>
      </c>
      <c r="R58" s="29">
        <v>2000</v>
      </c>
      <c r="S58" s="30">
        <f t="shared" si="62"/>
        <v>1503.7593984962405</v>
      </c>
      <c r="T58" s="19">
        <f t="shared" si="63"/>
        <v>496.24060150375942</v>
      </c>
      <c r="U58" s="127">
        <v>2000</v>
      </c>
      <c r="V58" s="121">
        <f t="shared" si="64"/>
        <v>1503.7593984962405</v>
      </c>
      <c r="W58" s="126">
        <f t="shared" si="65"/>
        <v>496.24060150375942</v>
      </c>
      <c r="X58" s="122">
        <v>2000</v>
      </c>
      <c r="Y58" s="30">
        <f t="shared" si="66"/>
        <v>1503.7593984962405</v>
      </c>
      <c r="Z58" s="19">
        <f t="shared" si="67"/>
        <v>496.24060150375942</v>
      </c>
      <c r="AA58" s="29">
        <v>2000</v>
      </c>
      <c r="AB58" s="30">
        <f t="shared" si="68"/>
        <v>1503.7593984962405</v>
      </c>
      <c r="AC58" s="19">
        <f t="shared" si="69"/>
        <v>496.24060150375942</v>
      </c>
      <c r="AD58" s="29">
        <v>2000</v>
      </c>
      <c r="AE58" s="30">
        <f t="shared" si="70"/>
        <v>1503.7593984962405</v>
      </c>
      <c r="AF58" s="19">
        <f t="shared" si="71"/>
        <v>496.24060150375942</v>
      </c>
      <c r="AG58" s="29">
        <v>2000</v>
      </c>
      <c r="AH58" s="30">
        <f t="shared" si="72"/>
        <v>1503.7593984962405</v>
      </c>
      <c r="AI58" s="19">
        <f t="shared" si="73"/>
        <v>496.24060150375942</v>
      </c>
      <c r="AJ58" s="29"/>
      <c r="AK58" s="30">
        <f t="shared" si="74"/>
        <v>0</v>
      </c>
      <c r="AL58" s="19">
        <f t="shared" si="75"/>
        <v>0</v>
      </c>
      <c r="AM58" s="29"/>
      <c r="AN58" s="30">
        <f t="shared" si="76"/>
        <v>0</v>
      </c>
      <c r="AO58" s="19">
        <f t="shared" si="77"/>
        <v>0</v>
      </c>
      <c r="AP58" s="29"/>
      <c r="AQ58" s="30">
        <f t="shared" si="78"/>
        <v>0</v>
      </c>
      <c r="AR58" s="19">
        <f t="shared" si="79"/>
        <v>0</v>
      </c>
      <c r="AS58" s="29"/>
      <c r="AT58" s="30">
        <f t="shared" si="80"/>
        <v>0</v>
      </c>
      <c r="AU58" s="19">
        <f t="shared" si="81"/>
        <v>0</v>
      </c>
      <c r="AV58" s="29"/>
      <c r="AW58" s="30">
        <f t="shared" si="82"/>
        <v>0</v>
      </c>
      <c r="AX58" s="19">
        <f t="shared" si="83"/>
        <v>0</v>
      </c>
      <c r="AY58" s="25">
        <f t="shared" si="84"/>
        <v>12000</v>
      </c>
    </row>
    <row r="59" spans="1:51" ht="24">
      <c r="A59" s="106">
        <v>43836</v>
      </c>
      <c r="B59" s="108" t="s">
        <v>180</v>
      </c>
      <c r="C59" s="29" t="s">
        <v>129</v>
      </c>
      <c r="D59" s="29">
        <v>10000</v>
      </c>
      <c r="E59" s="29" t="s">
        <v>120</v>
      </c>
      <c r="F59" s="29" t="s">
        <v>181</v>
      </c>
      <c r="G59" s="29" t="s">
        <v>89</v>
      </c>
      <c r="H59" s="29">
        <v>33</v>
      </c>
      <c r="I59" s="30">
        <f t="shared" si="57"/>
        <v>4.0303030303030303</v>
      </c>
      <c r="J59" s="29">
        <v>64962.5</v>
      </c>
      <c r="K59" s="29"/>
      <c r="L59" s="30">
        <f t="shared" si="58"/>
        <v>21437.625</v>
      </c>
      <c r="M59" s="30">
        <f t="shared" si="59"/>
        <v>86400.125</v>
      </c>
      <c r="N59" s="58">
        <f>M59-(AY59+'2019'!AY59)</f>
        <v>26400.125</v>
      </c>
      <c r="O59" s="29"/>
      <c r="P59" s="30">
        <f t="shared" si="60"/>
        <v>0</v>
      </c>
      <c r="Q59" s="30">
        <f t="shared" si="61"/>
        <v>0</v>
      </c>
      <c r="R59" s="29">
        <v>10000</v>
      </c>
      <c r="S59" s="30">
        <f t="shared" si="62"/>
        <v>7518.7969924812023</v>
      </c>
      <c r="T59" s="19">
        <f t="shared" si="63"/>
        <v>2481.2030075187972</v>
      </c>
      <c r="U59" s="128">
        <v>10000</v>
      </c>
      <c r="V59" s="121">
        <f t="shared" si="64"/>
        <v>7518.7969924812023</v>
      </c>
      <c r="W59" s="126">
        <f t="shared" si="65"/>
        <v>2481.2030075187972</v>
      </c>
      <c r="X59" s="122">
        <v>10000</v>
      </c>
      <c r="Y59" s="30">
        <f t="shared" si="66"/>
        <v>7518.7969924812023</v>
      </c>
      <c r="Z59" s="19">
        <f t="shared" si="67"/>
        <v>2481.2030075187972</v>
      </c>
      <c r="AA59" s="29">
        <v>10000</v>
      </c>
      <c r="AB59" s="30">
        <f t="shared" si="68"/>
        <v>7518.7969924812023</v>
      </c>
      <c r="AC59" s="19">
        <f t="shared" si="69"/>
        <v>2481.2030075187972</v>
      </c>
      <c r="AD59" s="29">
        <v>10000</v>
      </c>
      <c r="AE59" s="30">
        <f t="shared" si="70"/>
        <v>7518.7969924812023</v>
      </c>
      <c r="AF59" s="19">
        <f t="shared" si="71"/>
        <v>2481.2030075187972</v>
      </c>
      <c r="AG59" s="29">
        <v>10000</v>
      </c>
      <c r="AH59" s="30">
        <f t="shared" si="72"/>
        <v>7518.7969924812023</v>
      </c>
      <c r="AI59" s="19">
        <f t="shared" si="73"/>
        <v>2481.2030075187972</v>
      </c>
      <c r="AJ59" s="29"/>
      <c r="AK59" s="30">
        <f t="shared" si="74"/>
        <v>0</v>
      </c>
      <c r="AL59" s="19">
        <f t="shared" si="75"/>
        <v>0</v>
      </c>
      <c r="AM59" s="29"/>
      <c r="AN59" s="30">
        <f t="shared" si="76"/>
        <v>0</v>
      </c>
      <c r="AO59" s="19">
        <f t="shared" si="77"/>
        <v>0</v>
      </c>
      <c r="AP59" s="29"/>
      <c r="AQ59" s="30">
        <f t="shared" si="78"/>
        <v>0</v>
      </c>
      <c r="AR59" s="19">
        <f t="shared" si="79"/>
        <v>0</v>
      </c>
      <c r="AS59" s="29"/>
      <c r="AT59" s="30">
        <f t="shared" si="80"/>
        <v>0</v>
      </c>
      <c r="AU59" s="19">
        <f t="shared" si="81"/>
        <v>0</v>
      </c>
      <c r="AV59" s="29"/>
      <c r="AW59" s="30">
        <f t="shared" si="82"/>
        <v>0</v>
      </c>
      <c r="AX59" s="19">
        <f t="shared" si="83"/>
        <v>0</v>
      </c>
      <c r="AY59" s="25">
        <f t="shared" si="84"/>
        <v>60000</v>
      </c>
    </row>
    <row r="60" spans="1:51" ht="24">
      <c r="A60" s="45">
        <v>43875</v>
      </c>
      <c r="B60" s="29" t="s">
        <v>273</v>
      </c>
      <c r="C60" s="29" t="s">
        <v>274</v>
      </c>
      <c r="D60" s="54">
        <v>5000</v>
      </c>
      <c r="E60" s="29" t="s">
        <v>120</v>
      </c>
      <c r="F60" s="29" t="s">
        <v>196</v>
      </c>
      <c r="G60" s="29" t="s">
        <v>74</v>
      </c>
      <c r="H60" s="29">
        <v>33</v>
      </c>
      <c r="I60" s="30">
        <f t="shared" si="57"/>
        <v>4.0303030303030303</v>
      </c>
      <c r="J60" s="29">
        <v>41500</v>
      </c>
      <c r="K60" s="29"/>
      <c r="L60" s="29">
        <f t="shared" si="58"/>
        <v>13695</v>
      </c>
      <c r="M60" s="29">
        <f t="shared" si="59"/>
        <v>55195</v>
      </c>
      <c r="N60" s="55">
        <f>M60-(AY60+'2019'!AY60)</f>
        <v>20195</v>
      </c>
      <c r="O60" s="29">
        <v>5000</v>
      </c>
      <c r="P60" s="30">
        <f t="shared" si="60"/>
        <v>3759.3984962406012</v>
      </c>
      <c r="Q60" s="30">
        <f t="shared" si="61"/>
        <v>1240.6015037593986</v>
      </c>
      <c r="R60" s="29">
        <v>5000</v>
      </c>
      <c r="S60" s="30">
        <f t="shared" si="62"/>
        <v>3759.3984962406012</v>
      </c>
      <c r="T60" s="19">
        <f t="shared" si="63"/>
        <v>1240.6015037593986</v>
      </c>
      <c r="U60" s="127">
        <v>5000</v>
      </c>
      <c r="V60" s="121">
        <f t="shared" si="64"/>
        <v>3759.3984962406012</v>
      </c>
      <c r="W60" s="126">
        <f t="shared" si="65"/>
        <v>1240.6015037593986</v>
      </c>
      <c r="X60" s="122">
        <v>5000</v>
      </c>
      <c r="Y60" s="30">
        <f t="shared" si="66"/>
        <v>3759.3984962406012</v>
      </c>
      <c r="Z60" s="19">
        <f t="shared" si="67"/>
        <v>1240.6015037593986</v>
      </c>
      <c r="AA60" s="29">
        <v>5000</v>
      </c>
      <c r="AB60" s="30">
        <f t="shared" si="68"/>
        <v>3759.3984962406012</v>
      </c>
      <c r="AC60" s="19">
        <f t="shared" si="69"/>
        <v>1240.6015037593986</v>
      </c>
      <c r="AD60" s="29">
        <v>5000</v>
      </c>
      <c r="AE60" s="30">
        <f t="shared" si="70"/>
        <v>3759.3984962406012</v>
      </c>
      <c r="AF60" s="19">
        <f t="shared" si="71"/>
        <v>1240.6015037593986</v>
      </c>
      <c r="AG60" s="29">
        <v>5000</v>
      </c>
      <c r="AH60" s="30">
        <f t="shared" si="72"/>
        <v>3759.3984962406012</v>
      </c>
      <c r="AI60" s="19">
        <f t="shared" si="73"/>
        <v>1240.6015037593986</v>
      </c>
      <c r="AJ60" s="29"/>
      <c r="AK60" s="30">
        <f t="shared" si="74"/>
        <v>0</v>
      </c>
      <c r="AL60" s="19">
        <f t="shared" si="75"/>
        <v>0</v>
      </c>
      <c r="AM60" s="29"/>
      <c r="AN60" s="30">
        <f t="shared" si="76"/>
        <v>0</v>
      </c>
      <c r="AO60" s="19">
        <f t="shared" si="77"/>
        <v>0</v>
      </c>
      <c r="AP60" s="29"/>
      <c r="AQ60" s="30">
        <f t="shared" si="78"/>
        <v>0</v>
      </c>
      <c r="AR60" s="19">
        <f t="shared" si="79"/>
        <v>0</v>
      </c>
      <c r="AS60" s="29"/>
      <c r="AT60" s="30">
        <f t="shared" si="80"/>
        <v>0</v>
      </c>
      <c r="AU60" s="19">
        <f t="shared" si="81"/>
        <v>0</v>
      </c>
      <c r="AV60" s="29"/>
      <c r="AW60" s="30">
        <f t="shared" si="82"/>
        <v>0</v>
      </c>
      <c r="AX60" s="19">
        <f t="shared" si="83"/>
        <v>0</v>
      </c>
      <c r="AY60" s="25">
        <f t="shared" si="84"/>
        <v>35000</v>
      </c>
    </row>
    <row r="61" spans="1:51" ht="24">
      <c r="A61" s="45">
        <v>43882</v>
      </c>
      <c r="B61" s="29" t="s">
        <v>275</v>
      </c>
      <c r="C61" s="29"/>
      <c r="D61" s="54">
        <v>2500</v>
      </c>
      <c r="E61" s="29" t="s">
        <v>109</v>
      </c>
      <c r="F61" s="29" t="s">
        <v>196</v>
      </c>
      <c r="G61" s="29" t="s">
        <v>74</v>
      </c>
      <c r="H61" s="29">
        <v>33</v>
      </c>
      <c r="I61" s="30">
        <f t="shared" si="57"/>
        <v>4.0303030303030303</v>
      </c>
      <c r="J61" s="29">
        <v>20200</v>
      </c>
      <c r="K61" s="29"/>
      <c r="L61" s="29">
        <f t="shared" si="58"/>
        <v>6666</v>
      </c>
      <c r="M61" s="29">
        <f t="shared" si="59"/>
        <v>26866</v>
      </c>
      <c r="N61" s="55">
        <f>M61-(AY61+'2019'!AY61)</f>
        <v>14866</v>
      </c>
      <c r="O61" s="112">
        <v>2500</v>
      </c>
      <c r="P61" s="30">
        <f t="shared" si="60"/>
        <v>1879.6992481203006</v>
      </c>
      <c r="Q61" s="30">
        <f t="shared" si="61"/>
        <v>620.30075187969931</v>
      </c>
      <c r="R61" s="29"/>
      <c r="S61" s="30">
        <f t="shared" si="62"/>
        <v>0</v>
      </c>
      <c r="T61" s="19">
        <f t="shared" si="63"/>
        <v>0</v>
      </c>
      <c r="U61" s="127">
        <v>2500</v>
      </c>
      <c r="V61" s="121">
        <f t="shared" si="64"/>
        <v>1879.6992481203006</v>
      </c>
      <c r="W61" s="126">
        <f t="shared" si="65"/>
        <v>620.30075187969931</v>
      </c>
      <c r="X61" s="122"/>
      <c r="Y61" s="30">
        <f t="shared" si="66"/>
        <v>0</v>
      </c>
      <c r="Z61" s="19">
        <f t="shared" si="67"/>
        <v>0</v>
      </c>
      <c r="AA61" s="29">
        <v>2500</v>
      </c>
      <c r="AB61" s="30">
        <f t="shared" si="68"/>
        <v>1879.6992481203006</v>
      </c>
      <c r="AC61" s="19">
        <f t="shared" si="69"/>
        <v>620.30075187969931</v>
      </c>
      <c r="AD61" s="29">
        <v>2500</v>
      </c>
      <c r="AE61" s="30">
        <f t="shared" si="70"/>
        <v>1879.6992481203006</v>
      </c>
      <c r="AF61" s="19">
        <f t="shared" si="71"/>
        <v>620.30075187969931</v>
      </c>
      <c r="AG61" s="29">
        <v>2000</v>
      </c>
      <c r="AH61" s="30">
        <f t="shared" si="72"/>
        <v>1503.7593984962405</v>
      </c>
      <c r="AI61" s="19">
        <f t="shared" si="73"/>
        <v>496.24060150375942</v>
      </c>
      <c r="AJ61" s="29"/>
      <c r="AK61" s="30">
        <f t="shared" si="74"/>
        <v>0</v>
      </c>
      <c r="AL61" s="19">
        <f t="shared" si="75"/>
        <v>0</v>
      </c>
      <c r="AM61" s="29"/>
      <c r="AN61" s="30">
        <f t="shared" si="76"/>
        <v>0</v>
      </c>
      <c r="AO61" s="19">
        <f t="shared" si="77"/>
        <v>0</v>
      </c>
      <c r="AP61" s="29"/>
      <c r="AQ61" s="30">
        <f t="shared" si="78"/>
        <v>0</v>
      </c>
      <c r="AR61" s="19">
        <f t="shared" si="79"/>
        <v>0</v>
      </c>
      <c r="AS61" s="29"/>
      <c r="AT61" s="30">
        <f t="shared" si="80"/>
        <v>0</v>
      </c>
      <c r="AU61" s="19">
        <f t="shared" si="81"/>
        <v>0</v>
      </c>
      <c r="AV61" s="29"/>
      <c r="AW61" s="30">
        <f t="shared" si="82"/>
        <v>0</v>
      </c>
      <c r="AX61" s="19">
        <f t="shared" si="83"/>
        <v>0</v>
      </c>
      <c r="AY61" s="25">
        <f t="shared" si="84"/>
        <v>12000</v>
      </c>
    </row>
    <row r="62" spans="1:51" ht="24">
      <c r="A62" s="45">
        <v>43888</v>
      </c>
      <c r="B62" s="29" t="s">
        <v>276</v>
      </c>
      <c r="C62" s="29" t="s">
        <v>277</v>
      </c>
      <c r="D62" s="54">
        <v>2000</v>
      </c>
      <c r="E62" s="29" t="s">
        <v>106</v>
      </c>
      <c r="F62" s="29" t="s">
        <v>278</v>
      </c>
      <c r="G62" s="29" t="s">
        <v>89</v>
      </c>
      <c r="H62" s="29">
        <v>33</v>
      </c>
      <c r="I62" s="30">
        <f t="shared" si="57"/>
        <v>4.0303030303030303</v>
      </c>
      <c r="J62" s="29">
        <v>30000</v>
      </c>
      <c r="K62" s="29"/>
      <c r="L62" s="29">
        <f t="shared" si="58"/>
        <v>9900</v>
      </c>
      <c r="M62" s="29">
        <f t="shared" si="59"/>
        <v>39900</v>
      </c>
      <c r="N62" s="55">
        <f>M62-(AY62+'2019'!AY62)</f>
        <v>31900</v>
      </c>
      <c r="O62" s="29"/>
      <c r="P62" s="30">
        <f t="shared" si="60"/>
        <v>0</v>
      </c>
      <c r="Q62" s="30">
        <f t="shared" si="61"/>
        <v>0</v>
      </c>
      <c r="R62" s="29">
        <v>2000</v>
      </c>
      <c r="S62" s="30">
        <f t="shared" si="62"/>
        <v>1503.7593984962405</v>
      </c>
      <c r="T62" s="19">
        <f t="shared" si="63"/>
        <v>496.24060150375942</v>
      </c>
      <c r="U62" s="127">
        <v>2000</v>
      </c>
      <c r="V62" s="121">
        <f t="shared" si="64"/>
        <v>1503.7593984962405</v>
      </c>
      <c r="W62" s="126">
        <f t="shared" si="65"/>
        <v>496.24060150375942</v>
      </c>
      <c r="X62" s="122"/>
      <c r="Y62" s="30">
        <f t="shared" si="66"/>
        <v>0</v>
      </c>
      <c r="Z62" s="19">
        <f t="shared" si="67"/>
        <v>0</v>
      </c>
      <c r="AA62" s="29">
        <v>2000</v>
      </c>
      <c r="AB62" s="30">
        <f t="shared" si="68"/>
        <v>1503.7593984962405</v>
      </c>
      <c r="AC62" s="19">
        <f t="shared" si="69"/>
        <v>496.24060150375942</v>
      </c>
      <c r="AD62" s="29">
        <v>2000</v>
      </c>
      <c r="AE62" s="30">
        <f t="shared" si="70"/>
        <v>1503.7593984962405</v>
      </c>
      <c r="AF62" s="19">
        <f t="shared" si="71"/>
        <v>496.24060150375942</v>
      </c>
      <c r="AG62" s="29"/>
      <c r="AH62" s="30">
        <f t="shared" si="72"/>
        <v>0</v>
      </c>
      <c r="AI62" s="19">
        <f t="shared" si="73"/>
        <v>0</v>
      </c>
      <c r="AJ62" s="29"/>
      <c r="AK62" s="30">
        <f t="shared" si="74"/>
        <v>0</v>
      </c>
      <c r="AL62" s="19">
        <f t="shared" si="75"/>
        <v>0</v>
      </c>
      <c r="AM62" s="29"/>
      <c r="AN62" s="30">
        <f t="shared" si="76"/>
        <v>0</v>
      </c>
      <c r="AO62" s="19">
        <f t="shared" si="77"/>
        <v>0</v>
      </c>
      <c r="AP62" s="29"/>
      <c r="AQ62" s="30">
        <f t="shared" si="78"/>
        <v>0</v>
      </c>
      <c r="AR62" s="19">
        <f t="shared" si="79"/>
        <v>0</v>
      </c>
      <c r="AS62" s="29"/>
      <c r="AT62" s="30">
        <f t="shared" si="80"/>
        <v>0</v>
      </c>
      <c r="AU62" s="19">
        <f t="shared" si="81"/>
        <v>0</v>
      </c>
      <c r="AV62" s="29"/>
      <c r="AW62" s="30">
        <f t="shared" si="82"/>
        <v>0</v>
      </c>
      <c r="AX62" s="19">
        <f t="shared" si="83"/>
        <v>0</v>
      </c>
      <c r="AY62" s="25">
        <f t="shared" si="84"/>
        <v>8000</v>
      </c>
    </row>
    <row r="63" spans="1:51" ht="24">
      <c r="A63" s="45">
        <v>43893</v>
      </c>
      <c r="B63" s="29" t="s">
        <v>289</v>
      </c>
      <c r="C63" s="29" t="s">
        <v>277</v>
      </c>
      <c r="D63" s="54">
        <v>2000</v>
      </c>
      <c r="E63" s="29" t="s">
        <v>106</v>
      </c>
      <c r="F63" s="29" t="s">
        <v>196</v>
      </c>
      <c r="G63" s="29" t="s">
        <v>74</v>
      </c>
      <c r="H63" s="29">
        <v>33</v>
      </c>
      <c r="I63" s="30">
        <f t="shared" ref="I63:I68" si="85">IFERROR(M63/L63,"0")</f>
        <v>4.0303030303030303</v>
      </c>
      <c r="J63" s="29">
        <v>20500</v>
      </c>
      <c r="K63" s="29"/>
      <c r="L63" s="29">
        <f t="shared" ref="L63:L68" si="86">H63/100*J63</f>
        <v>6765</v>
      </c>
      <c r="M63" s="29">
        <f t="shared" ref="M63:M68" si="87">J63+L63</f>
        <v>27265</v>
      </c>
      <c r="N63" s="55">
        <f>M63-(AY63+'2019'!AY63)</f>
        <v>19265</v>
      </c>
      <c r="O63" s="29"/>
      <c r="P63" s="30">
        <f t="shared" ref="P63:P68" si="88">IFERROR(O63-Q63,"0")</f>
        <v>0</v>
      </c>
      <c r="Q63" s="30">
        <f t="shared" ref="Q63:Q68" si="89">IFERROR(O63/I63,"0")</f>
        <v>0</v>
      </c>
      <c r="R63" s="29">
        <v>2000</v>
      </c>
      <c r="S63" s="30">
        <f t="shared" ref="S63:S68" si="90">IFERROR(R63-T63,"0")</f>
        <v>1503.7593984962405</v>
      </c>
      <c r="T63" s="19">
        <f t="shared" ref="T63:T68" si="91">IFERROR(R63/I63,"0")</f>
        <v>496.24060150375942</v>
      </c>
      <c r="U63" s="127">
        <v>2000</v>
      </c>
      <c r="V63" s="121">
        <f t="shared" ref="V63:V68" si="92">IFERROR(U63-W63,"0")</f>
        <v>1503.7593984962405</v>
      </c>
      <c r="W63" s="126">
        <f t="shared" ref="W63:W68" si="93">IFERROR(U63/I63,"0")</f>
        <v>496.24060150375942</v>
      </c>
      <c r="X63" s="122"/>
      <c r="Y63" s="30">
        <f t="shared" ref="Y63:Y68" si="94">IFERROR(X63-Z63,"0")</f>
        <v>0</v>
      </c>
      <c r="Z63" s="19">
        <f t="shared" ref="Z63:Z68" si="95">IFERROR(X63/I63,"0")</f>
        <v>0</v>
      </c>
      <c r="AA63" s="29">
        <v>2000</v>
      </c>
      <c r="AB63" s="30">
        <f t="shared" ref="AB63:AB68" si="96">IFERROR(AA63-AC63,"0")</f>
        <v>1503.7593984962405</v>
      </c>
      <c r="AC63" s="19">
        <f t="shared" ref="AC63:AC68" si="97">IFERROR(AA63/I63,"0")</f>
        <v>496.24060150375942</v>
      </c>
      <c r="AD63" s="29">
        <v>2000</v>
      </c>
      <c r="AE63" s="30">
        <f t="shared" ref="AE63:AE68" si="98">IFERROR(AD63-AF63,"0")</f>
        <v>1503.7593984962405</v>
      </c>
      <c r="AF63" s="19">
        <f t="shared" ref="AF63:AF68" si="99">IFERROR(AD63/I63,"0")</f>
        <v>496.24060150375942</v>
      </c>
      <c r="AG63" s="29"/>
      <c r="AH63" s="30">
        <f t="shared" ref="AH63:AH68" si="100">IFERROR(AG63-AI63,"0")</f>
        <v>0</v>
      </c>
      <c r="AI63" s="19">
        <f t="shared" ref="AI63:AI68" si="101">IFERROR(AG63/I63,"0")</f>
        <v>0</v>
      </c>
      <c r="AJ63" s="29"/>
      <c r="AK63" s="30">
        <f t="shared" ref="AK63:AK68" si="102">IFERROR(AJ63-AL63,"0")</f>
        <v>0</v>
      </c>
      <c r="AL63" s="19">
        <f t="shared" ref="AL63:AL68" si="103">IFERROR(AJ63/I63,"0")</f>
        <v>0</v>
      </c>
      <c r="AM63" s="29"/>
      <c r="AN63" s="30">
        <f t="shared" ref="AN63:AN68" si="104">IFERROR(AM63-AO63,"0")</f>
        <v>0</v>
      </c>
      <c r="AO63" s="19">
        <f t="shared" ref="AO63:AO68" si="105">IFERROR(AM63/I63,"0")</f>
        <v>0</v>
      </c>
      <c r="AP63" s="29"/>
      <c r="AQ63" s="30">
        <f t="shared" ref="AQ63:AQ68" si="106">IFERROR(AP63-AR63,"0")</f>
        <v>0</v>
      </c>
      <c r="AR63" s="19">
        <f t="shared" ref="AR63:AR68" si="107">IFERROR(AP63/I63,"0")</f>
        <v>0</v>
      </c>
      <c r="AS63" s="29"/>
      <c r="AT63" s="30">
        <f t="shared" ref="AT63:AT68" si="108">IFERROR(AS63-AU63,"0")</f>
        <v>0</v>
      </c>
      <c r="AU63" s="19">
        <f t="shared" ref="AU63:AU68" si="109">IFERROR(AS63/I63,"0")</f>
        <v>0</v>
      </c>
      <c r="AV63" s="29"/>
      <c r="AW63" s="30">
        <f t="shared" ref="AW63:AW68" si="110">IFERROR(AV63-AX63,"0")</f>
        <v>0</v>
      </c>
      <c r="AX63" s="19">
        <f t="shared" ref="AX63:AX68" si="111">IFERROR(AV63/I63,"0")</f>
        <v>0</v>
      </c>
      <c r="AY63" s="25">
        <f t="shared" ref="AY63:AY68" si="112">O63+R63+U63+X63+AA63+AD63+AG63+AJ63+AM63+AP63+AS63+AV63</f>
        <v>8000</v>
      </c>
    </row>
    <row r="64" spans="1:51" ht="24">
      <c r="A64" s="45">
        <v>43894</v>
      </c>
      <c r="B64" s="29" t="s">
        <v>292</v>
      </c>
      <c r="C64" s="29">
        <v>3139513303</v>
      </c>
      <c r="D64" s="54">
        <v>3000</v>
      </c>
      <c r="E64" s="29" t="s">
        <v>109</v>
      </c>
      <c r="F64" s="29" t="s">
        <v>196</v>
      </c>
      <c r="G64" s="29" t="s">
        <v>89</v>
      </c>
      <c r="H64" s="29">
        <v>33</v>
      </c>
      <c r="I64" s="30">
        <f t="shared" si="85"/>
        <v>4.0303030303030303</v>
      </c>
      <c r="J64" s="29">
        <v>24500</v>
      </c>
      <c r="K64" s="29"/>
      <c r="L64" s="29">
        <f t="shared" si="86"/>
        <v>8085</v>
      </c>
      <c r="M64" s="29">
        <f t="shared" si="87"/>
        <v>32585</v>
      </c>
      <c r="N64" s="55">
        <f>M64-(AY64+'2019'!AY64)</f>
        <v>20585</v>
      </c>
      <c r="O64" s="29"/>
      <c r="P64" s="30">
        <f t="shared" si="88"/>
        <v>0</v>
      </c>
      <c r="Q64" s="30">
        <f t="shared" si="89"/>
        <v>0</v>
      </c>
      <c r="R64" s="112">
        <v>3000</v>
      </c>
      <c r="S64" s="30">
        <f t="shared" si="90"/>
        <v>2255.6390977443607</v>
      </c>
      <c r="T64" s="19">
        <f t="shared" si="91"/>
        <v>744.36090225563908</v>
      </c>
      <c r="U64" s="127">
        <v>3000</v>
      </c>
      <c r="V64" s="121">
        <f t="shared" si="92"/>
        <v>2255.6390977443607</v>
      </c>
      <c r="W64" s="126">
        <f t="shared" si="93"/>
        <v>744.36090225563908</v>
      </c>
      <c r="X64" s="122">
        <v>3000</v>
      </c>
      <c r="Y64" s="30">
        <f t="shared" si="94"/>
        <v>2255.6390977443607</v>
      </c>
      <c r="Z64" s="19">
        <f t="shared" si="95"/>
        <v>744.36090225563908</v>
      </c>
      <c r="AA64" s="29">
        <v>3000</v>
      </c>
      <c r="AB64" s="30">
        <f t="shared" si="96"/>
        <v>2255.6390977443607</v>
      </c>
      <c r="AC64" s="19">
        <f t="shared" si="97"/>
        <v>744.36090225563908</v>
      </c>
      <c r="AD64" s="29"/>
      <c r="AE64" s="30">
        <f t="shared" si="98"/>
        <v>0</v>
      </c>
      <c r="AF64" s="19">
        <f t="shared" si="99"/>
        <v>0</v>
      </c>
      <c r="AG64" s="29"/>
      <c r="AH64" s="30">
        <f t="shared" si="100"/>
        <v>0</v>
      </c>
      <c r="AI64" s="19">
        <f t="shared" si="101"/>
        <v>0</v>
      </c>
      <c r="AJ64" s="29"/>
      <c r="AK64" s="30">
        <f t="shared" si="102"/>
        <v>0</v>
      </c>
      <c r="AL64" s="19">
        <f t="shared" si="103"/>
        <v>0</v>
      </c>
      <c r="AM64" s="29"/>
      <c r="AN64" s="30">
        <f t="shared" si="104"/>
        <v>0</v>
      </c>
      <c r="AO64" s="19">
        <f t="shared" si="105"/>
        <v>0</v>
      </c>
      <c r="AP64" s="29"/>
      <c r="AQ64" s="30">
        <f t="shared" si="106"/>
        <v>0</v>
      </c>
      <c r="AR64" s="19">
        <f t="shared" si="107"/>
        <v>0</v>
      </c>
      <c r="AS64" s="29"/>
      <c r="AT64" s="30">
        <f t="shared" si="108"/>
        <v>0</v>
      </c>
      <c r="AU64" s="19">
        <f t="shared" si="109"/>
        <v>0</v>
      </c>
      <c r="AV64" s="29"/>
      <c r="AW64" s="30">
        <f t="shared" si="110"/>
        <v>0</v>
      </c>
      <c r="AX64" s="19">
        <f t="shared" si="111"/>
        <v>0</v>
      </c>
      <c r="AY64" s="25">
        <f t="shared" si="112"/>
        <v>12000</v>
      </c>
    </row>
    <row r="65" spans="1:51" ht="24">
      <c r="A65" s="45">
        <v>43895</v>
      </c>
      <c r="B65" s="29" t="s">
        <v>118</v>
      </c>
      <c r="C65" s="29"/>
      <c r="D65" s="54">
        <v>2000</v>
      </c>
      <c r="E65" s="29" t="s">
        <v>120</v>
      </c>
      <c r="F65" s="29" t="s">
        <v>293</v>
      </c>
      <c r="G65" s="29" t="s">
        <v>74</v>
      </c>
      <c r="H65" s="29">
        <v>20</v>
      </c>
      <c r="I65" s="30">
        <f t="shared" si="85"/>
        <v>6</v>
      </c>
      <c r="J65" s="29">
        <v>9500</v>
      </c>
      <c r="K65" s="29"/>
      <c r="L65" s="29">
        <f t="shared" si="86"/>
        <v>1900</v>
      </c>
      <c r="M65" s="29">
        <f t="shared" si="87"/>
        <v>11400</v>
      </c>
      <c r="N65" s="55">
        <f>M65-(AY65+'2019'!AY65)</f>
        <v>400</v>
      </c>
      <c r="O65" s="29"/>
      <c r="P65" s="30">
        <f t="shared" si="88"/>
        <v>0</v>
      </c>
      <c r="Q65" s="30">
        <f t="shared" si="89"/>
        <v>0</v>
      </c>
      <c r="R65" s="29">
        <v>2000</v>
      </c>
      <c r="S65" s="30">
        <f t="shared" si="90"/>
        <v>1666.6666666666667</v>
      </c>
      <c r="T65" s="19">
        <f t="shared" si="91"/>
        <v>333.33333333333331</v>
      </c>
      <c r="U65" s="128">
        <v>2000</v>
      </c>
      <c r="V65" s="121">
        <f t="shared" si="92"/>
        <v>1666.6666666666667</v>
      </c>
      <c r="W65" s="126">
        <f t="shared" si="93"/>
        <v>333.33333333333331</v>
      </c>
      <c r="X65" s="122">
        <v>1500</v>
      </c>
      <c r="Y65" s="30">
        <f t="shared" si="94"/>
        <v>1250</v>
      </c>
      <c r="Z65" s="19">
        <f t="shared" si="95"/>
        <v>250</v>
      </c>
      <c r="AA65" s="29">
        <v>1500</v>
      </c>
      <c r="AB65" s="30">
        <f t="shared" si="96"/>
        <v>1250</v>
      </c>
      <c r="AC65" s="19">
        <f t="shared" si="97"/>
        <v>250</v>
      </c>
      <c r="AD65" s="29">
        <v>2000</v>
      </c>
      <c r="AE65" s="30">
        <f t="shared" si="98"/>
        <v>1666.6666666666667</v>
      </c>
      <c r="AF65" s="19">
        <f t="shared" si="99"/>
        <v>333.33333333333331</v>
      </c>
      <c r="AG65" s="29">
        <v>2000</v>
      </c>
      <c r="AH65" s="30">
        <f t="shared" si="100"/>
        <v>1666.6666666666667</v>
      </c>
      <c r="AI65" s="19">
        <f t="shared" si="101"/>
        <v>333.33333333333331</v>
      </c>
      <c r="AJ65" s="29"/>
      <c r="AK65" s="30">
        <f t="shared" si="102"/>
        <v>0</v>
      </c>
      <c r="AL65" s="19">
        <f t="shared" si="103"/>
        <v>0</v>
      </c>
      <c r="AM65" s="29"/>
      <c r="AN65" s="30">
        <f t="shared" si="104"/>
        <v>0</v>
      </c>
      <c r="AO65" s="19">
        <f t="shared" si="105"/>
        <v>0</v>
      </c>
      <c r="AP65" s="29"/>
      <c r="AQ65" s="30">
        <f t="shared" si="106"/>
        <v>0</v>
      </c>
      <c r="AR65" s="19">
        <f t="shared" si="107"/>
        <v>0</v>
      </c>
      <c r="AS65" s="29"/>
      <c r="AT65" s="30">
        <f t="shared" si="108"/>
        <v>0</v>
      </c>
      <c r="AU65" s="19">
        <f t="shared" si="109"/>
        <v>0</v>
      </c>
      <c r="AV65" s="29"/>
      <c r="AW65" s="30">
        <f t="shared" si="110"/>
        <v>0</v>
      </c>
      <c r="AX65" s="19">
        <f t="shared" si="111"/>
        <v>0</v>
      </c>
      <c r="AY65" s="25">
        <f t="shared" si="112"/>
        <v>11000</v>
      </c>
    </row>
    <row r="66" spans="1:51" ht="24" hidden="1">
      <c r="A66" s="45">
        <v>43895</v>
      </c>
      <c r="B66" s="29" t="s">
        <v>295</v>
      </c>
      <c r="C66" s="29"/>
      <c r="D66" s="54">
        <v>13500</v>
      </c>
      <c r="E66" s="29" t="s">
        <v>120</v>
      </c>
      <c r="F66" s="29" t="s">
        <v>296</v>
      </c>
      <c r="G66" s="29" t="s">
        <v>74</v>
      </c>
      <c r="H66" s="29">
        <v>15</v>
      </c>
      <c r="I66" s="30">
        <f t="shared" si="85"/>
        <v>7.666666666666667</v>
      </c>
      <c r="J66" s="29">
        <v>35000</v>
      </c>
      <c r="K66" s="29"/>
      <c r="L66" s="29">
        <f t="shared" si="86"/>
        <v>5250</v>
      </c>
      <c r="M66" s="29">
        <f t="shared" si="87"/>
        <v>40250</v>
      </c>
      <c r="N66" s="55">
        <f>M66-(AY66+'2019'!AY66)</f>
        <v>0</v>
      </c>
      <c r="O66" s="29"/>
      <c r="P66" s="30">
        <f t="shared" si="88"/>
        <v>0</v>
      </c>
      <c r="Q66" s="30">
        <f t="shared" si="89"/>
        <v>0</v>
      </c>
      <c r="R66" s="29">
        <v>13500</v>
      </c>
      <c r="S66" s="30">
        <f t="shared" si="90"/>
        <v>11739.130434782608</v>
      </c>
      <c r="T66" s="19">
        <f t="shared" si="91"/>
        <v>1760.8695652173913</v>
      </c>
      <c r="U66" s="127">
        <v>15000</v>
      </c>
      <c r="V66" s="121">
        <f t="shared" si="92"/>
        <v>13043.478260869566</v>
      </c>
      <c r="W66" s="126">
        <f t="shared" si="93"/>
        <v>1956.5217391304348</v>
      </c>
      <c r="X66" s="122"/>
      <c r="Y66" s="30">
        <f t="shared" si="94"/>
        <v>0</v>
      </c>
      <c r="Z66" s="19">
        <f t="shared" si="95"/>
        <v>0</v>
      </c>
      <c r="AA66" s="29">
        <v>11750</v>
      </c>
      <c r="AB66" s="30">
        <f t="shared" si="96"/>
        <v>10217.391304347826</v>
      </c>
      <c r="AC66" s="19">
        <f t="shared" si="97"/>
        <v>1532.6086956521738</v>
      </c>
      <c r="AD66" s="29"/>
      <c r="AE66" s="30">
        <f t="shared" si="98"/>
        <v>0</v>
      </c>
      <c r="AF66" s="19">
        <f t="shared" si="99"/>
        <v>0</v>
      </c>
      <c r="AG66" s="29"/>
      <c r="AH66" s="30">
        <f t="shared" si="100"/>
        <v>0</v>
      </c>
      <c r="AI66" s="19">
        <f t="shared" si="101"/>
        <v>0</v>
      </c>
      <c r="AJ66" s="29"/>
      <c r="AK66" s="30">
        <f t="shared" si="102"/>
        <v>0</v>
      </c>
      <c r="AL66" s="19">
        <f t="shared" si="103"/>
        <v>0</v>
      </c>
      <c r="AM66" s="29"/>
      <c r="AN66" s="30">
        <f t="shared" si="104"/>
        <v>0</v>
      </c>
      <c r="AO66" s="19">
        <f t="shared" si="105"/>
        <v>0</v>
      </c>
      <c r="AP66" s="29"/>
      <c r="AQ66" s="30">
        <f t="shared" si="106"/>
        <v>0</v>
      </c>
      <c r="AR66" s="19">
        <f t="shared" si="107"/>
        <v>0</v>
      </c>
      <c r="AS66" s="29"/>
      <c r="AT66" s="30">
        <f t="shared" si="108"/>
        <v>0</v>
      </c>
      <c r="AU66" s="19">
        <f t="shared" si="109"/>
        <v>0</v>
      </c>
      <c r="AV66" s="29"/>
      <c r="AW66" s="30">
        <f t="shared" si="110"/>
        <v>0</v>
      </c>
      <c r="AX66" s="19">
        <f t="shared" si="111"/>
        <v>0</v>
      </c>
      <c r="AY66" s="25">
        <f t="shared" si="112"/>
        <v>40250</v>
      </c>
    </row>
    <row r="67" spans="1:51" ht="24">
      <c r="A67" s="45">
        <v>43897</v>
      </c>
      <c r="B67" s="29" t="s">
        <v>297</v>
      </c>
      <c r="C67" s="29"/>
      <c r="D67" s="54">
        <v>4500</v>
      </c>
      <c r="E67" s="29" t="s">
        <v>106</v>
      </c>
      <c r="F67" s="29" t="s">
        <v>196</v>
      </c>
      <c r="G67" s="29" t="s">
        <v>89</v>
      </c>
      <c r="H67" s="29">
        <v>33</v>
      </c>
      <c r="I67" s="30">
        <f t="shared" si="85"/>
        <v>4.0303030303030303</v>
      </c>
      <c r="J67" s="29">
        <v>40500</v>
      </c>
      <c r="K67" s="29"/>
      <c r="L67" s="29">
        <f t="shared" si="86"/>
        <v>13365</v>
      </c>
      <c r="M67" s="29">
        <f t="shared" si="87"/>
        <v>53865</v>
      </c>
      <c r="N67" s="55">
        <f>M67-(AY67+'2019'!AY67)</f>
        <v>41865</v>
      </c>
      <c r="O67" s="29"/>
      <c r="P67" s="30">
        <f t="shared" si="88"/>
        <v>0</v>
      </c>
      <c r="Q67" s="30">
        <f t="shared" si="89"/>
        <v>0</v>
      </c>
      <c r="R67" s="29"/>
      <c r="S67" s="30">
        <f t="shared" si="90"/>
        <v>0</v>
      </c>
      <c r="T67" s="19">
        <f t="shared" si="91"/>
        <v>0</v>
      </c>
      <c r="U67" s="127">
        <v>4000</v>
      </c>
      <c r="V67" s="121">
        <f t="shared" si="92"/>
        <v>3007.5187969924809</v>
      </c>
      <c r="W67" s="126">
        <f t="shared" si="93"/>
        <v>992.48120300751884</v>
      </c>
      <c r="X67" s="122"/>
      <c r="Y67" s="30">
        <f t="shared" si="94"/>
        <v>0</v>
      </c>
      <c r="Z67" s="19">
        <f t="shared" si="95"/>
        <v>0</v>
      </c>
      <c r="AA67" s="29">
        <v>4000</v>
      </c>
      <c r="AB67" s="30">
        <f t="shared" si="96"/>
        <v>3007.5187969924809</v>
      </c>
      <c r="AC67" s="19">
        <f t="shared" si="97"/>
        <v>992.48120300751884</v>
      </c>
      <c r="AD67" s="29">
        <v>4000</v>
      </c>
      <c r="AE67" s="30">
        <f t="shared" si="98"/>
        <v>3007.5187969924809</v>
      </c>
      <c r="AF67" s="19">
        <f t="shared" si="99"/>
        <v>992.48120300751884</v>
      </c>
      <c r="AG67" s="29"/>
      <c r="AH67" s="30">
        <f t="shared" si="100"/>
        <v>0</v>
      </c>
      <c r="AI67" s="19">
        <f t="shared" si="101"/>
        <v>0</v>
      </c>
      <c r="AJ67" s="29"/>
      <c r="AK67" s="30">
        <f t="shared" si="102"/>
        <v>0</v>
      </c>
      <c r="AL67" s="19">
        <f t="shared" si="103"/>
        <v>0</v>
      </c>
      <c r="AM67" s="29"/>
      <c r="AN67" s="30">
        <f t="shared" si="104"/>
        <v>0</v>
      </c>
      <c r="AO67" s="19">
        <f t="shared" si="105"/>
        <v>0</v>
      </c>
      <c r="AP67" s="29"/>
      <c r="AQ67" s="30">
        <f t="shared" si="106"/>
        <v>0</v>
      </c>
      <c r="AR67" s="19">
        <f t="shared" si="107"/>
        <v>0</v>
      </c>
      <c r="AS67" s="29"/>
      <c r="AT67" s="30">
        <f t="shared" si="108"/>
        <v>0</v>
      </c>
      <c r="AU67" s="19">
        <f t="shared" si="109"/>
        <v>0</v>
      </c>
      <c r="AV67" s="29"/>
      <c r="AW67" s="30">
        <f t="shared" si="110"/>
        <v>0</v>
      </c>
      <c r="AX67" s="19">
        <f t="shared" si="111"/>
        <v>0</v>
      </c>
      <c r="AY67" s="25">
        <f t="shared" si="112"/>
        <v>12000</v>
      </c>
    </row>
    <row r="68" spans="1:51" ht="24">
      <c r="A68" s="45">
        <v>43897</v>
      </c>
      <c r="B68" s="29" t="s">
        <v>298</v>
      </c>
      <c r="C68" s="29"/>
      <c r="D68" s="54"/>
      <c r="E68" s="29" t="s">
        <v>109</v>
      </c>
      <c r="F68" s="29" t="s">
        <v>196</v>
      </c>
      <c r="G68" s="29" t="s">
        <v>74</v>
      </c>
      <c r="H68" s="29">
        <v>33</v>
      </c>
      <c r="I68" s="30">
        <f t="shared" si="85"/>
        <v>4.0303030303030303</v>
      </c>
      <c r="J68" s="29">
        <v>20000</v>
      </c>
      <c r="K68" s="29"/>
      <c r="L68" s="29">
        <f t="shared" si="86"/>
        <v>6600</v>
      </c>
      <c r="M68" s="29">
        <f t="shared" si="87"/>
        <v>26600</v>
      </c>
      <c r="N68" s="55">
        <f>M68-(AY68+'2019'!AY68)</f>
        <v>14100</v>
      </c>
      <c r="O68" s="29"/>
      <c r="P68" s="30">
        <f t="shared" si="88"/>
        <v>0</v>
      </c>
      <c r="Q68" s="30">
        <f t="shared" si="89"/>
        <v>0</v>
      </c>
      <c r="R68" s="29">
        <v>2500</v>
      </c>
      <c r="S68" s="30">
        <f t="shared" si="90"/>
        <v>1879.6992481203006</v>
      </c>
      <c r="T68" s="19">
        <f t="shared" si="91"/>
        <v>620.30075187969931</v>
      </c>
      <c r="U68" s="127"/>
      <c r="V68" s="121">
        <f t="shared" si="92"/>
        <v>0</v>
      </c>
      <c r="W68" s="126">
        <f t="shared" si="93"/>
        <v>0</v>
      </c>
      <c r="X68" s="122"/>
      <c r="Y68" s="30">
        <f t="shared" si="94"/>
        <v>0</v>
      </c>
      <c r="Z68" s="19">
        <f t="shared" si="95"/>
        <v>0</v>
      </c>
      <c r="AA68" s="29">
        <v>7500</v>
      </c>
      <c r="AB68" s="30">
        <f t="shared" si="96"/>
        <v>5639.0977443609027</v>
      </c>
      <c r="AC68" s="19">
        <f t="shared" si="97"/>
        <v>1860.9022556390978</v>
      </c>
      <c r="AD68" s="29">
        <v>2500</v>
      </c>
      <c r="AE68" s="30">
        <f t="shared" si="98"/>
        <v>1879.6992481203006</v>
      </c>
      <c r="AF68" s="19">
        <f t="shared" si="99"/>
        <v>620.30075187969931</v>
      </c>
      <c r="AG68" s="29"/>
      <c r="AH68" s="30">
        <f t="shared" si="100"/>
        <v>0</v>
      </c>
      <c r="AI68" s="19">
        <f t="shared" si="101"/>
        <v>0</v>
      </c>
      <c r="AJ68" s="29"/>
      <c r="AK68" s="30">
        <f t="shared" si="102"/>
        <v>0</v>
      </c>
      <c r="AL68" s="19">
        <f t="shared" si="103"/>
        <v>0</v>
      </c>
      <c r="AM68" s="29"/>
      <c r="AN68" s="30">
        <f t="shared" si="104"/>
        <v>0</v>
      </c>
      <c r="AO68" s="19">
        <f t="shared" si="105"/>
        <v>0</v>
      </c>
      <c r="AP68" s="29"/>
      <c r="AQ68" s="30">
        <f t="shared" si="106"/>
        <v>0</v>
      </c>
      <c r="AR68" s="19">
        <f t="shared" si="107"/>
        <v>0</v>
      </c>
      <c r="AS68" s="29"/>
      <c r="AT68" s="30">
        <f t="shared" si="108"/>
        <v>0</v>
      </c>
      <c r="AU68" s="19">
        <f t="shared" si="109"/>
        <v>0</v>
      </c>
      <c r="AV68" s="29"/>
      <c r="AW68" s="30">
        <f t="shared" si="110"/>
        <v>0</v>
      </c>
      <c r="AX68" s="19">
        <f t="shared" si="111"/>
        <v>0</v>
      </c>
      <c r="AY68" s="25">
        <f t="shared" si="112"/>
        <v>12500</v>
      </c>
    </row>
    <row r="69" spans="1:51" ht="24">
      <c r="A69" s="45">
        <v>43899</v>
      </c>
      <c r="B69" s="29" t="s">
        <v>412</v>
      </c>
      <c r="C69" s="29"/>
      <c r="D69" s="54">
        <v>2000</v>
      </c>
      <c r="E69" s="29" t="s">
        <v>106</v>
      </c>
      <c r="F69" s="29" t="s">
        <v>196</v>
      </c>
      <c r="G69" s="29" t="s">
        <v>74</v>
      </c>
      <c r="H69" s="29">
        <v>33</v>
      </c>
      <c r="I69" s="30">
        <f t="shared" ref="I69:I75" si="113">IFERROR(M69/L69,"0")</f>
        <v>4.0303030303030303</v>
      </c>
      <c r="J69" s="29">
        <v>20500</v>
      </c>
      <c r="K69" s="29"/>
      <c r="L69" s="29">
        <f t="shared" ref="L69:L75" si="114">H69/100*J69</f>
        <v>6765</v>
      </c>
      <c r="M69" s="29">
        <f t="shared" ref="M69:M75" si="115">J69+L69</f>
        <v>27265</v>
      </c>
      <c r="N69" s="55">
        <f>M69-(AY69+'2019'!AY69)</f>
        <v>15265</v>
      </c>
      <c r="O69" s="29"/>
      <c r="P69" s="30">
        <f t="shared" ref="P69:P75" si="116">IFERROR(O69-Q69,"0")</f>
        <v>0</v>
      </c>
      <c r="Q69" s="30">
        <f t="shared" ref="Q69:Q75" si="117">IFERROR(O69/I69,"0")</f>
        <v>0</v>
      </c>
      <c r="R69" s="112">
        <v>2000</v>
      </c>
      <c r="S69" s="30">
        <f t="shared" ref="S69:S75" si="118">IFERROR(R69-T69,"0")</f>
        <v>1503.7593984962405</v>
      </c>
      <c r="T69" s="19">
        <f t="shared" ref="T69:T75" si="119">IFERROR(R69/I69,"0")</f>
        <v>496.24060150375942</v>
      </c>
      <c r="U69" s="127">
        <v>2000</v>
      </c>
      <c r="V69" s="121">
        <f t="shared" ref="V69:V75" si="120">IFERROR(U69-W69,"0")</f>
        <v>1503.7593984962405</v>
      </c>
      <c r="W69" s="126">
        <f t="shared" ref="W69:W75" si="121">IFERROR(U69/I69,"0")</f>
        <v>496.24060150375942</v>
      </c>
      <c r="X69" s="122">
        <v>2000</v>
      </c>
      <c r="Y69" s="30">
        <f t="shared" ref="Y69:Y75" si="122">IFERROR(X69-Z69,"0")</f>
        <v>1503.7593984962405</v>
      </c>
      <c r="Z69" s="19">
        <f t="shared" ref="Z69:Z75" si="123">IFERROR(X69/I69,"0")</f>
        <v>496.24060150375942</v>
      </c>
      <c r="AA69" s="29">
        <v>2000</v>
      </c>
      <c r="AB69" s="30">
        <f t="shared" ref="AB69:AB75" si="124">IFERROR(AA69-AC69,"0")</f>
        <v>1503.7593984962405</v>
      </c>
      <c r="AC69" s="19">
        <f t="shared" ref="AC69:AC75" si="125">IFERROR(AA69/I69,"0")</f>
        <v>496.24060150375942</v>
      </c>
      <c r="AD69" s="29">
        <v>2000</v>
      </c>
      <c r="AE69" s="30">
        <f t="shared" ref="AE69:AE75" si="126">IFERROR(AD69-AF69,"0")</f>
        <v>1503.7593984962405</v>
      </c>
      <c r="AF69" s="19">
        <f t="shared" ref="AF69:AF75" si="127">IFERROR(AD69/I69,"0")</f>
        <v>496.24060150375942</v>
      </c>
      <c r="AG69" s="29">
        <v>2000</v>
      </c>
      <c r="AH69" s="30">
        <f t="shared" ref="AH69:AH75" si="128">IFERROR(AG69-AI69,"0")</f>
        <v>1503.7593984962405</v>
      </c>
      <c r="AI69" s="19">
        <f t="shared" ref="AI69:AI75" si="129">IFERROR(AG69/I69,"0")</f>
        <v>496.24060150375942</v>
      </c>
      <c r="AJ69" s="29"/>
      <c r="AK69" s="30">
        <f t="shared" ref="AK69:AK75" si="130">IFERROR(AJ69-AL69,"0")</f>
        <v>0</v>
      </c>
      <c r="AL69" s="19">
        <f t="shared" ref="AL69:AL75" si="131">IFERROR(AJ69/I69,"0")</f>
        <v>0</v>
      </c>
      <c r="AM69" s="29"/>
      <c r="AN69" s="30">
        <f t="shared" ref="AN69:AN75" si="132">IFERROR(AM69-AO69,"0")</f>
        <v>0</v>
      </c>
      <c r="AO69" s="19">
        <f t="shared" ref="AO69:AO75" si="133">IFERROR(AM69/I69,"0")</f>
        <v>0</v>
      </c>
      <c r="AP69" s="29"/>
      <c r="AQ69" s="30">
        <f t="shared" ref="AQ69:AQ75" si="134">IFERROR(AP69-AR69,"0")</f>
        <v>0</v>
      </c>
      <c r="AR69" s="19">
        <f t="shared" ref="AR69:AR75" si="135">IFERROR(AP69/I69,"0")</f>
        <v>0</v>
      </c>
      <c r="AS69" s="29"/>
      <c r="AT69" s="30">
        <f t="shared" ref="AT69:AT75" si="136">IFERROR(AS69-AU69,"0")</f>
        <v>0</v>
      </c>
      <c r="AU69" s="19">
        <f t="shared" ref="AU69:AU75" si="137">IFERROR(AS69/I69,"0")</f>
        <v>0</v>
      </c>
      <c r="AV69" s="29"/>
      <c r="AW69" s="30">
        <f t="shared" ref="AW69:AW75" si="138">IFERROR(AV69-AX69,"0")</f>
        <v>0</v>
      </c>
      <c r="AX69" s="19">
        <f t="shared" ref="AX69:AX75" si="139">IFERROR(AV69/I69,"0")</f>
        <v>0</v>
      </c>
      <c r="AY69" s="25">
        <f t="shared" ref="AY69:AY75" si="140">O69+R69+U69+X69+AA69+AD69+AG69+AJ69+AM69+AP69+AS69+AV69</f>
        <v>12000</v>
      </c>
    </row>
    <row r="70" spans="1:51" ht="24">
      <c r="A70" s="45">
        <v>43899</v>
      </c>
      <c r="B70" s="29" t="s">
        <v>301</v>
      </c>
      <c r="C70" s="29"/>
      <c r="D70" s="54">
        <v>2000</v>
      </c>
      <c r="E70" s="29" t="s">
        <v>106</v>
      </c>
      <c r="F70" s="29" t="s">
        <v>196</v>
      </c>
      <c r="G70" s="29" t="s">
        <v>74</v>
      </c>
      <c r="H70" s="29">
        <v>33</v>
      </c>
      <c r="I70" s="30">
        <f t="shared" si="113"/>
        <v>4.0303030303030303</v>
      </c>
      <c r="J70" s="29">
        <v>20850</v>
      </c>
      <c r="K70" s="29"/>
      <c r="L70" s="30">
        <f t="shared" si="114"/>
        <v>6880.5</v>
      </c>
      <c r="M70" s="30">
        <f t="shared" si="115"/>
        <v>27730.5</v>
      </c>
      <c r="N70" s="58">
        <f>M70-(AY70+'2019'!AY70)</f>
        <v>19730.5</v>
      </c>
      <c r="O70" s="29"/>
      <c r="P70" s="30">
        <f t="shared" si="116"/>
        <v>0</v>
      </c>
      <c r="Q70" s="30">
        <f t="shared" si="117"/>
        <v>0</v>
      </c>
      <c r="R70" s="29"/>
      <c r="S70" s="30">
        <f t="shared" si="118"/>
        <v>0</v>
      </c>
      <c r="T70" s="19">
        <f t="shared" si="119"/>
        <v>0</v>
      </c>
      <c r="U70" s="127"/>
      <c r="V70" s="121">
        <f t="shared" si="120"/>
        <v>0</v>
      </c>
      <c r="W70" s="126">
        <f t="shared" si="121"/>
        <v>0</v>
      </c>
      <c r="X70" s="122"/>
      <c r="Y70" s="30">
        <f t="shared" si="122"/>
        <v>0</v>
      </c>
      <c r="Z70" s="19">
        <f t="shared" si="123"/>
        <v>0</v>
      </c>
      <c r="AA70" s="29">
        <v>4000</v>
      </c>
      <c r="AB70" s="30">
        <f t="shared" si="124"/>
        <v>3007.5187969924809</v>
      </c>
      <c r="AC70" s="19">
        <f t="shared" si="125"/>
        <v>992.48120300751884</v>
      </c>
      <c r="AD70" s="29">
        <v>2000</v>
      </c>
      <c r="AE70" s="30">
        <f t="shared" si="126"/>
        <v>1503.7593984962405</v>
      </c>
      <c r="AF70" s="19">
        <f t="shared" si="127"/>
        <v>496.24060150375942</v>
      </c>
      <c r="AG70" s="29">
        <v>2000</v>
      </c>
      <c r="AH70" s="30">
        <f t="shared" si="128"/>
        <v>1503.7593984962405</v>
      </c>
      <c r="AI70" s="19">
        <f t="shared" si="129"/>
        <v>496.24060150375942</v>
      </c>
      <c r="AJ70" s="29"/>
      <c r="AK70" s="30">
        <f t="shared" si="130"/>
        <v>0</v>
      </c>
      <c r="AL70" s="19">
        <f t="shared" si="131"/>
        <v>0</v>
      </c>
      <c r="AM70" s="29"/>
      <c r="AN70" s="30">
        <f t="shared" si="132"/>
        <v>0</v>
      </c>
      <c r="AO70" s="19">
        <f t="shared" si="133"/>
        <v>0</v>
      </c>
      <c r="AP70" s="29"/>
      <c r="AQ70" s="30">
        <f t="shared" si="134"/>
        <v>0</v>
      </c>
      <c r="AR70" s="19">
        <f t="shared" si="135"/>
        <v>0</v>
      </c>
      <c r="AS70" s="29"/>
      <c r="AT70" s="30">
        <f t="shared" si="136"/>
        <v>0</v>
      </c>
      <c r="AU70" s="19">
        <f t="shared" si="137"/>
        <v>0</v>
      </c>
      <c r="AV70" s="29"/>
      <c r="AW70" s="30">
        <f t="shared" si="138"/>
        <v>0</v>
      </c>
      <c r="AX70" s="19">
        <f t="shared" si="139"/>
        <v>0</v>
      </c>
      <c r="AY70" s="25">
        <f t="shared" si="140"/>
        <v>8000</v>
      </c>
    </row>
    <row r="71" spans="1:51" ht="24">
      <c r="A71" s="45">
        <v>43901</v>
      </c>
      <c r="B71" s="14" t="s">
        <v>303</v>
      </c>
      <c r="C71" s="29"/>
      <c r="D71" s="54">
        <v>3000</v>
      </c>
      <c r="E71" s="14" t="s">
        <v>106</v>
      </c>
      <c r="F71" s="14" t="s">
        <v>196</v>
      </c>
      <c r="G71" s="14" t="s">
        <v>74</v>
      </c>
      <c r="H71" s="29">
        <v>33</v>
      </c>
      <c r="I71" s="30">
        <f t="shared" si="113"/>
        <v>4.0303030303030303</v>
      </c>
      <c r="J71" s="29">
        <v>24000</v>
      </c>
      <c r="K71" s="29"/>
      <c r="L71" s="30">
        <f t="shared" si="114"/>
        <v>7920</v>
      </c>
      <c r="M71" s="30">
        <f t="shared" si="115"/>
        <v>31920</v>
      </c>
      <c r="N71" s="55">
        <f>M71-(AY71+'2019'!AY71)</f>
        <v>16920</v>
      </c>
      <c r="O71" s="29"/>
      <c r="P71" s="30">
        <f t="shared" si="116"/>
        <v>0</v>
      </c>
      <c r="Q71" s="30">
        <f t="shared" si="117"/>
        <v>0</v>
      </c>
      <c r="R71" s="29"/>
      <c r="S71" s="30">
        <f t="shared" si="118"/>
        <v>0</v>
      </c>
      <c r="T71" s="19">
        <f t="shared" si="119"/>
        <v>0</v>
      </c>
      <c r="U71" s="127">
        <v>3000</v>
      </c>
      <c r="V71" s="121">
        <f t="shared" si="120"/>
        <v>2255.6390977443607</v>
      </c>
      <c r="W71" s="126">
        <f t="shared" si="121"/>
        <v>744.36090225563908</v>
      </c>
      <c r="X71" s="122">
        <v>3000</v>
      </c>
      <c r="Y71" s="30">
        <f t="shared" si="122"/>
        <v>2255.6390977443607</v>
      </c>
      <c r="Z71" s="19">
        <f t="shared" si="123"/>
        <v>744.36090225563908</v>
      </c>
      <c r="AA71" s="29">
        <v>3000</v>
      </c>
      <c r="AB71" s="30">
        <f t="shared" si="124"/>
        <v>2255.6390977443607</v>
      </c>
      <c r="AC71" s="19">
        <f t="shared" si="125"/>
        <v>744.36090225563908</v>
      </c>
      <c r="AD71" s="29">
        <v>3000</v>
      </c>
      <c r="AE71" s="30">
        <f t="shared" si="126"/>
        <v>2255.6390977443607</v>
      </c>
      <c r="AF71" s="19">
        <f t="shared" si="127"/>
        <v>744.36090225563908</v>
      </c>
      <c r="AG71" s="29">
        <v>3000</v>
      </c>
      <c r="AH71" s="30">
        <f t="shared" si="128"/>
        <v>2255.6390977443607</v>
      </c>
      <c r="AI71" s="19">
        <f t="shared" si="129"/>
        <v>744.36090225563908</v>
      </c>
      <c r="AJ71" s="29"/>
      <c r="AK71" s="30">
        <f t="shared" si="130"/>
        <v>0</v>
      </c>
      <c r="AL71" s="19">
        <f t="shared" si="131"/>
        <v>0</v>
      </c>
      <c r="AM71" s="29"/>
      <c r="AN71" s="30">
        <f t="shared" si="132"/>
        <v>0</v>
      </c>
      <c r="AO71" s="19">
        <f t="shared" si="133"/>
        <v>0</v>
      </c>
      <c r="AP71" s="29"/>
      <c r="AQ71" s="30">
        <f t="shared" si="134"/>
        <v>0</v>
      </c>
      <c r="AR71" s="19">
        <f t="shared" si="135"/>
        <v>0</v>
      </c>
      <c r="AS71" s="29"/>
      <c r="AT71" s="30">
        <f t="shared" si="136"/>
        <v>0</v>
      </c>
      <c r="AU71" s="19">
        <f t="shared" si="137"/>
        <v>0</v>
      </c>
      <c r="AV71" s="29"/>
      <c r="AW71" s="30">
        <f t="shared" si="138"/>
        <v>0</v>
      </c>
      <c r="AX71" s="19">
        <f t="shared" si="139"/>
        <v>0</v>
      </c>
      <c r="AY71" s="25">
        <f t="shared" si="140"/>
        <v>15000</v>
      </c>
    </row>
    <row r="72" spans="1:51" ht="24">
      <c r="A72" s="45">
        <v>43956</v>
      </c>
      <c r="B72" s="29" t="s">
        <v>313</v>
      </c>
      <c r="C72" s="29"/>
      <c r="D72" s="54"/>
      <c r="E72" s="29" t="s">
        <v>109</v>
      </c>
      <c r="F72" s="29" t="s">
        <v>196</v>
      </c>
      <c r="G72" s="29" t="s">
        <v>89</v>
      </c>
      <c r="H72" s="29">
        <v>33</v>
      </c>
      <c r="I72" s="30">
        <f t="shared" si="113"/>
        <v>4.0303030303030303</v>
      </c>
      <c r="J72" s="29">
        <v>33000</v>
      </c>
      <c r="K72" s="29"/>
      <c r="L72" s="30">
        <f t="shared" si="114"/>
        <v>10890</v>
      </c>
      <c r="M72" s="30">
        <f t="shared" si="115"/>
        <v>43890</v>
      </c>
      <c r="N72" s="55">
        <f>M72-(AY72+'2019'!AY72)</f>
        <v>37000</v>
      </c>
      <c r="O72" s="29"/>
      <c r="P72" s="30">
        <f t="shared" si="116"/>
        <v>0</v>
      </c>
      <c r="Q72" s="30">
        <f t="shared" si="117"/>
        <v>0</v>
      </c>
      <c r="R72" s="29"/>
      <c r="S72" s="30">
        <f t="shared" si="118"/>
        <v>0</v>
      </c>
      <c r="T72" s="19">
        <f t="shared" si="119"/>
        <v>0</v>
      </c>
      <c r="U72" s="128"/>
      <c r="V72" s="121">
        <f t="shared" si="120"/>
        <v>0</v>
      </c>
      <c r="W72" s="126">
        <f t="shared" si="121"/>
        <v>0</v>
      </c>
      <c r="X72" s="122"/>
      <c r="Y72" s="30">
        <f t="shared" si="122"/>
        <v>0</v>
      </c>
      <c r="Z72" s="19">
        <f t="shared" si="123"/>
        <v>0</v>
      </c>
      <c r="AA72" s="29">
        <v>1000</v>
      </c>
      <c r="AB72" s="30">
        <f t="shared" si="124"/>
        <v>751.87969924812023</v>
      </c>
      <c r="AC72" s="19">
        <f t="shared" si="125"/>
        <v>248.12030075187971</v>
      </c>
      <c r="AD72" s="29">
        <v>5890</v>
      </c>
      <c r="AE72" s="30">
        <f t="shared" si="126"/>
        <v>4428.5714285714284</v>
      </c>
      <c r="AF72" s="19">
        <f t="shared" si="127"/>
        <v>1461.4285714285713</v>
      </c>
      <c r="AG72" s="29"/>
      <c r="AH72" s="30">
        <f t="shared" si="128"/>
        <v>0</v>
      </c>
      <c r="AI72" s="19">
        <f t="shared" si="129"/>
        <v>0</v>
      </c>
      <c r="AJ72" s="29"/>
      <c r="AK72" s="30">
        <f t="shared" si="130"/>
        <v>0</v>
      </c>
      <c r="AL72" s="19">
        <f t="shared" si="131"/>
        <v>0</v>
      </c>
      <c r="AM72" s="29"/>
      <c r="AN72" s="30">
        <f t="shared" si="132"/>
        <v>0</v>
      </c>
      <c r="AO72" s="19">
        <f t="shared" si="133"/>
        <v>0</v>
      </c>
      <c r="AP72" s="29"/>
      <c r="AQ72" s="30">
        <f t="shared" si="134"/>
        <v>0</v>
      </c>
      <c r="AR72" s="19">
        <f t="shared" si="135"/>
        <v>0</v>
      </c>
      <c r="AS72" s="29"/>
      <c r="AT72" s="30">
        <f t="shared" si="136"/>
        <v>0</v>
      </c>
      <c r="AU72" s="19">
        <f t="shared" si="137"/>
        <v>0</v>
      </c>
      <c r="AV72" s="29"/>
      <c r="AW72" s="30">
        <f t="shared" si="138"/>
        <v>0</v>
      </c>
      <c r="AX72" s="19">
        <f t="shared" si="139"/>
        <v>0</v>
      </c>
      <c r="AY72" s="25">
        <f t="shared" si="140"/>
        <v>6890</v>
      </c>
    </row>
    <row r="73" spans="1:51" ht="24">
      <c r="A73" s="45">
        <v>43958</v>
      </c>
      <c r="B73" s="29" t="s">
        <v>314</v>
      </c>
      <c r="C73" s="29" t="s">
        <v>315</v>
      </c>
      <c r="D73" s="54">
        <v>2000</v>
      </c>
      <c r="E73" s="29" t="s">
        <v>224</v>
      </c>
      <c r="F73" s="29" t="s">
        <v>196</v>
      </c>
      <c r="G73" s="29" t="s">
        <v>89</v>
      </c>
      <c r="H73" s="29">
        <v>33</v>
      </c>
      <c r="I73" s="30">
        <f t="shared" si="113"/>
        <v>4.0303030303030303</v>
      </c>
      <c r="J73" s="29">
        <v>21000</v>
      </c>
      <c r="K73" s="29"/>
      <c r="L73" s="30">
        <f t="shared" si="114"/>
        <v>6930</v>
      </c>
      <c r="M73" s="30">
        <f t="shared" si="115"/>
        <v>27930</v>
      </c>
      <c r="N73" s="55">
        <f>M73-(AY73+'2019'!AY73)</f>
        <v>21930</v>
      </c>
      <c r="O73" s="29"/>
      <c r="P73" s="30">
        <f t="shared" si="116"/>
        <v>0</v>
      </c>
      <c r="Q73" s="30">
        <f t="shared" si="117"/>
        <v>0</v>
      </c>
      <c r="R73" s="29"/>
      <c r="S73" s="30">
        <f t="shared" si="118"/>
        <v>0</v>
      </c>
      <c r="T73" s="19">
        <f t="shared" si="119"/>
        <v>0</v>
      </c>
      <c r="U73" s="128"/>
      <c r="V73" s="121">
        <f t="shared" si="120"/>
        <v>0</v>
      </c>
      <c r="W73" s="126">
        <f t="shared" si="121"/>
        <v>0</v>
      </c>
      <c r="X73" s="122">
        <v>2000</v>
      </c>
      <c r="Y73" s="30">
        <f t="shared" si="122"/>
        <v>1503.7593984962405</v>
      </c>
      <c r="Z73" s="19">
        <f t="shared" si="123"/>
        <v>496.24060150375942</v>
      </c>
      <c r="AA73" s="29">
        <v>2000</v>
      </c>
      <c r="AB73" s="30">
        <f t="shared" si="124"/>
        <v>1503.7593984962405</v>
      </c>
      <c r="AC73" s="19">
        <f t="shared" si="125"/>
        <v>496.24060150375942</v>
      </c>
      <c r="AD73" s="29"/>
      <c r="AE73" s="30">
        <f t="shared" si="126"/>
        <v>0</v>
      </c>
      <c r="AF73" s="19">
        <f t="shared" si="127"/>
        <v>0</v>
      </c>
      <c r="AG73" s="29">
        <v>2000</v>
      </c>
      <c r="AH73" s="30">
        <f t="shared" si="128"/>
        <v>1503.7593984962405</v>
      </c>
      <c r="AI73" s="19">
        <f t="shared" si="129"/>
        <v>496.24060150375942</v>
      </c>
      <c r="AJ73" s="29"/>
      <c r="AK73" s="30">
        <f t="shared" si="130"/>
        <v>0</v>
      </c>
      <c r="AL73" s="19">
        <f t="shared" si="131"/>
        <v>0</v>
      </c>
      <c r="AM73" s="29"/>
      <c r="AN73" s="30">
        <f t="shared" si="132"/>
        <v>0</v>
      </c>
      <c r="AO73" s="19">
        <f t="shared" si="133"/>
        <v>0</v>
      </c>
      <c r="AP73" s="29"/>
      <c r="AQ73" s="30">
        <f t="shared" si="134"/>
        <v>0</v>
      </c>
      <c r="AR73" s="19">
        <f t="shared" si="135"/>
        <v>0</v>
      </c>
      <c r="AS73" s="29"/>
      <c r="AT73" s="30">
        <f t="shared" si="136"/>
        <v>0</v>
      </c>
      <c r="AU73" s="19">
        <f t="shared" si="137"/>
        <v>0</v>
      </c>
      <c r="AV73" s="29"/>
      <c r="AW73" s="30">
        <f t="shared" si="138"/>
        <v>0</v>
      </c>
      <c r="AX73" s="19">
        <f t="shared" si="139"/>
        <v>0</v>
      </c>
      <c r="AY73" s="25">
        <f t="shared" si="140"/>
        <v>6000</v>
      </c>
    </row>
    <row r="74" spans="1:51" ht="24">
      <c r="A74" s="45">
        <v>43962</v>
      </c>
      <c r="B74" s="29" t="s">
        <v>330</v>
      </c>
      <c r="C74" s="29"/>
      <c r="D74" s="54">
        <v>4000</v>
      </c>
      <c r="E74" s="29" t="s">
        <v>106</v>
      </c>
      <c r="F74" s="29" t="s">
        <v>196</v>
      </c>
      <c r="G74" s="29" t="s">
        <v>74</v>
      </c>
      <c r="H74" s="29">
        <v>33</v>
      </c>
      <c r="I74" s="30">
        <f t="shared" si="113"/>
        <v>4.0303030303030303</v>
      </c>
      <c r="J74" s="29">
        <v>33500</v>
      </c>
      <c r="K74" s="29"/>
      <c r="L74" s="30">
        <f t="shared" si="114"/>
        <v>11055</v>
      </c>
      <c r="M74" s="30">
        <f t="shared" si="115"/>
        <v>44555</v>
      </c>
      <c r="N74" s="55">
        <f>M74-(AY74+'2019'!AY74)</f>
        <v>28555</v>
      </c>
      <c r="O74" s="29"/>
      <c r="P74" s="30">
        <f t="shared" si="116"/>
        <v>0</v>
      </c>
      <c r="Q74" s="30">
        <f t="shared" si="117"/>
        <v>0</v>
      </c>
      <c r="R74" s="29"/>
      <c r="S74" s="30">
        <f t="shared" si="118"/>
        <v>0</v>
      </c>
      <c r="T74" s="19">
        <f t="shared" si="119"/>
        <v>0</v>
      </c>
      <c r="U74" s="128"/>
      <c r="V74" s="121">
        <f t="shared" si="120"/>
        <v>0</v>
      </c>
      <c r="W74" s="126">
        <f t="shared" si="121"/>
        <v>0</v>
      </c>
      <c r="X74" s="122">
        <v>4000</v>
      </c>
      <c r="Y74" s="30">
        <f t="shared" si="122"/>
        <v>3007.5187969924809</v>
      </c>
      <c r="Z74" s="19">
        <f t="shared" si="123"/>
        <v>992.48120300751884</v>
      </c>
      <c r="AA74" s="29">
        <v>4000</v>
      </c>
      <c r="AB74" s="30">
        <f t="shared" si="124"/>
        <v>3007.5187969924809</v>
      </c>
      <c r="AC74" s="19">
        <f t="shared" si="125"/>
        <v>992.48120300751884</v>
      </c>
      <c r="AD74" s="29">
        <v>4000</v>
      </c>
      <c r="AE74" s="30">
        <f t="shared" si="126"/>
        <v>3007.5187969924809</v>
      </c>
      <c r="AF74" s="19">
        <f t="shared" si="127"/>
        <v>992.48120300751884</v>
      </c>
      <c r="AG74" s="29">
        <v>4000</v>
      </c>
      <c r="AH74" s="30">
        <f t="shared" si="128"/>
        <v>3007.5187969924809</v>
      </c>
      <c r="AI74" s="19">
        <f t="shared" si="129"/>
        <v>992.48120300751884</v>
      </c>
      <c r="AJ74" s="29"/>
      <c r="AK74" s="30">
        <f t="shared" si="130"/>
        <v>0</v>
      </c>
      <c r="AL74" s="19">
        <f t="shared" si="131"/>
        <v>0</v>
      </c>
      <c r="AM74" s="29"/>
      <c r="AN74" s="30">
        <f t="shared" si="132"/>
        <v>0</v>
      </c>
      <c r="AO74" s="19">
        <f t="shared" si="133"/>
        <v>0</v>
      </c>
      <c r="AP74" s="29"/>
      <c r="AQ74" s="30">
        <f t="shared" si="134"/>
        <v>0</v>
      </c>
      <c r="AR74" s="19">
        <f t="shared" si="135"/>
        <v>0</v>
      </c>
      <c r="AS74" s="29"/>
      <c r="AT74" s="30">
        <f t="shared" si="136"/>
        <v>0</v>
      </c>
      <c r="AU74" s="19">
        <f t="shared" si="137"/>
        <v>0</v>
      </c>
      <c r="AV74" s="29"/>
      <c r="AW74" s="30">
        <f t="shared" si="138"/>
        <v>0</v>
      </c>
      <c r="AX74" s="19">
        <f t="shared" si="139"/>
        <v>0</v>
      </c>
      <c r="AY74" s="25">
        <f t="shared" si="140"/>
        <v>16000</v>
      </c>
    </row>
    <row r="75" spans="1:51" ht="24">
      <c r="A75" s="45">
        <v>43963</v>
      </c>
      <c r="B75" s="29" t="s">
        <v>316</v>
      </c>
      <c r="C75" s="29"/>
      <c r="D75" s="54"/>
      <c r="E75" s="29" t="s">
        <v>109</v>
      </c>
      <c r="F75" s="29" t="s">
        <v>196</v>
      </c>
      <c r="G75" s="29" t="s">
        <v>89</v>
      </c>
      <c r="H75" s="29">
        <v>33</v>
      </c>
      <c r="I75" s="30">
        <f t="shared" si="113"/>
        <v>4.0303030303030303</v>
      </c>
      <c r="J75" s="29">
        <v>26000</v>
      </c>
      <c r="K75" s="29"/>
      <c r="L75" s="30">
        <f t="shared" si="114"/>
        <v>8580</v>
      </c>
      <c r="M75" s="30">
        <f t="shared" si="115"/>
        <v>34580</v>
      </c>
      <c r="N75" s="55">
        <f>M75-(AY75+'2019'!AY75)</f>
        <v>25580</v>
      </c>
      <c r="O75" s="29"/>
      <c r="P75" s="30">
        <f t="shared" si="116"/>
        <v>0</v>
      </c>
      <c r="Q75" s="30">
        <f t="shared" si="117"/>
        <v>0</v>
      </c>
      <c r="R75" s="29"/>
      <c r="S75" s="30">
        <f t="shared" si="118"/>
        <v>0</v>
      </c>
      <c r="T75" s="19">
        <f t="shared" si="119"/>
        <v>0</v>
      </c>
      <c r="U75" s="128"/>
      <c r="V75" s="121">
        <f t="shared" si="120"/>
        <v>0</v>
      </c>
      <c r="W75" s="126">
        <f t="shared" si="121"/>
        <v>0</v>
      </c>
      <c r="X75" s="122">
        <v>3000</v>
      </c>
      <c r="Y75" s="30">
        <f t="shared" si="122"/>
        <v>2255.6390977443607</v>
      </c>
      <c r="Z75" s="19">
        <f t="shared" si="123"/>
        <v>744.36090225563908</v>
      </c>
      <c r="AA75" s="29">
        <v>3000</v>
      </c>
      <c r="AB75" s="30">
        <f t="shared" si="124"/>
        <v>2255.6390977443607</v>
      </c>
      <c r="AC75" s="19">
        <f t="shared" si="125"/>
        <v>744.36090225563908</v>
      </c>
      <c r="AD75" s="29">
        <v>3000</v>
      </c>
      <c r="AE75" s="30">
        <f t="shared" si="126"/>
        <v>2255.6390977443607</v>
      </c>
      <c r="AF75" s="19">
        <f t="shared" si="127"/>
        <v>744.36090225563908</v>
      </c>
      <c r="AG75" s="29"/>
      <c r="AH75" s="30">
        <f t="shared" si="128"/>
        <v>0</v>
      </c>
      <c r="AI75" s="19">
        <f t="shared" si="129"/>
        <v>0</v>
      </c>
      <c r="AJ75" s="29"/>
      <c r="AK75" s="30">
        <f t="shared" si="130"/>
        <v>0</v>
      </c>
      <c r="AL75" s="19">
        <f t="shared" si="131"/>
        <v>0</v>
      </c>
      <c r="AM75" s="29"/>
      <c r="AN75" s="30">
        <f t="shared" si="132"/>
        <v>0</v>
      </c>
      <c r="AO75" s="19">
        <f t="shared" si="133"/>
        <v>0</v>
      </c>
      <c r="AP75" s="29"/>
      <c r="AQ75" s="30">
        <f t="shared" si="134"/>
        <v>0</v>
      </c>
      <c r="AR75" s="19">
        <f t="shared" si="135"/>
        <v>0</v>
      </c>
      <c r="AS75" s="29"/>
      <c r="AT75" s="30">
        <f t="shared" si="136"/>
        <v>0</v>
      </c>
      <c r="AU75" s="19">
        <f t="shared" si="137"/>
        <v>0</v>
      </c>
      <c r="AV75" s="29"/>
      <c r="AW75" s="30">
        <f t="shared" si="138"/>
        <v>0</v>
      </c>
      <c r="AX75" s="19">
        <f t="shared" si="139"/>
        <v>0</v>
      </c>
      <c r="AY75" s="25">
        <f t="shared" si="140"/>
        <v>9000</v>
      </c>
    </row>
    <row r="76" spans="1:51" ht="24">
      <c r="A76" s="45">
        <v>43963</v>
      </c>
      <c r="B76" s="29" t="s">
        <v>317</v>
      </c>
      <c r="C76" s="29"/>
      <c r="D76" s="54"/>
      <c r="E76" s="29" t="s">
        <v>109</v>
      </c>
      <c r="F76" s="29" t="s">
        <v>196</v>
      </c>
      <c r="G76" s="29" t="s">
        <v>74</v>
      </c>
      <c r="H76" s="29">
        <v>33</v>
      </c>
      <c r="I76" s="30">
        <f t="shared" ref="I76:I81" si="141">IFERROR(M76/L76,"0")</f>
        <v>4.0303030303030303</v>
      </c>
      <c r="J76" s="29">
        <v>29000</v>
      </c>
      <c r="K76" s="29"/>
      <c r="L76" s="30">
        <f t="shared" ref="L76:L81" si="142">H76/100*J76</f>
        <v>9570</v>
      </c>
      <c r="M76" s="30">
        <f t="shared" ref="M76:M81" si="143">J76+L76</f>
        <v>38570</v>
      </c>
      <c r="N76" s="55">
        <f>M76-(AY76+'2019'!AY76)</f>
        <v>24570</v>
      </c>
      <c r="O76" s="29"/>
      <c r="P76" s="30">
        <f t="shared" ref="P76:P81" si="144">IFERROR(O76-Q76,"0")</f>
        <v>0</v>
      </c>
      <c r="Q76" s="30">
        <f t="shared" ref="Q76:Q81" si="145">IFERROR(O76/I76,"0")</f>
        <v>0</v>
      </c>
      <c r="R76" s="29"/>
      <c r="S76" s="30">
        <f t="shared" ref="S76:S81" si="146">IFERROR(R76-T76,"0")</f>
        <v>0</v>
      </c>
      <c r="T76" s="19">
        <f t="shared" ref="T76:T81" si="147">IFERROR(R76/I76,"0")</f>
        <v>0</v>
      </c>
      <c r="U76" s="128"/>
      <c r="V76" s="121">
        <f t="shared" ref="V76:V81" si="148">IFERROR(U76-W76,"0")</f>
        <v>0</v>
      </c>
      <c r="W76" s="126">
        <f t="shared" ref="W76:W81" si="149">IFERROR(U76/I76,"0")</f>
        <v>0</v>
      </c>
      <c r="X76" s="122">
        <v>5000</v>
      </c>
      <c r="Y76" s="30">
        <f t="shared" ref="Y76:Y81" si="150">IFERROR(X76-Z76,"0")</f>
        <v>3759.3984962406012</v>
      </c>
      <c r="Z76" s="19">
        <f t="shared" ref="Z76:Z81" si="151">IFERROR(X76/I76,"0")</f>
        <v>1240.6015037593986</v>
      </c>
      <c r="AA76" s="29">
        <v>3000</v>
      </c>
      <c r="AB76" s="30">
        <f t="shared" ref="AB76:AB81" si="152">IFERROR(AA76-AC76,"0")</f>
        <v>2255.6390977443607</v>
      </c>
      <c r="AC76" s="19">
        <f t="shared" ref="AC76:AC81" si="153">IFERROR(AA76/I76,"0")</f>
        <v>744.36090225563908</v>
      </c>
      <c r="AD76" s="29">
        <v>3000</v>
      </c>
      <c r="AE76" s="30">
        <f t="shared" ref="AE76:AE81" si="154">IFERROR(AD76-AF76,"0")</f>
        <v>2255.6390977443607</v>
      </c>
      <c r="AF76" s="19">
        <f t="shared" ref="AF76:AF81" si="155">IFERROR(AD76/I76,"0")</f>
        <v>744.36090225563908</v>
      </c>
      <c r="AG76" s="29">
        <v>3000</v>
      </c>
      <c r="AH76" s="30">
        <f t="shared" ref="AH76:AH81" si="156">IFERROR(AG76-AI76,"0")</f>
        <v>2255.6390977443607</v>
      </c>
      <c r="AI76" s="19">
        <f t="shared" ref="AI76:AI81" si="157">IFERROR(AG76/I76,"0")</f>
        <v>744.36090225563908</v>
      </c>
      <c r="AJ76" s="29"/>
      <c r="AK76" s="30">
        <f t="shared" ref="AK76:AK81" si="158">IFERROR(AJ76-AL76,"0")</f>
        <v>0</v>
      </c>
      <c r="AL76" s="19">
        <f t="shared" ref="AL76:AL81" si="159">IFERROR(AJ76/I76,"0")</f>
        <v>0</v>
      </c>
      <c r="AM76" s="29"/>
      <c r="AN76" s="30">
        <f t="shared" ref="AN76:AN81" si="160">IFERROR(AM76-AO76,"0")</f>
        <v>0</v>
      </c>
      <c r="AO76" s="19">
        <f t="shared" ref="AO76:AO81" si="161">IFERROR(AM76/I76,"0")</f>
        <v>0</v>
      </c>
      <c r="AP76" s="29"/>
      <c r="AQ76" s="30">
        <f t="shared" ref="AQ76:AQ81" si="162">IFERROR(AP76-AR76,"0")</f>
        <v>0</v>
      </c>
      <c r="AR76" s="19">
        <f t="shared" ref="AR76:AR81" si="163">IFERROR(AP76/I76,"0")</f>
        <v>0</v>
      </c>
      <c r="AS76" s="29"/>
      <c r="AT76" s="30">
        <f t="shared" ref="AT76:AT81" si="164">IFERROR(AS76-AU76,"0")</f>
        <v>0</v>
      </c>
      <c r="AU76" s="19">
        <f t="shared" ref="AU76:AU81" si="165">IFERROR(AS76/I76,"0")</f>
        <v>0</v>
      </c>
      <c r="AV76" s="29"/>
      <c r="AW76" s="30">
        <f t="shared" ref="AW76:AW81" si="166">IFERROR(AV76-AX76,"0")</f>
        <v>0</v>
      </c>
      <c r="AX76" s="19">
        <f t="shared" ref="AX76:AX81" si="167">IFERROR(AV76/I76,"0")</f>
        <v>0</v>
      </c>
      <c r="AY76" s="25">
        <f t="shared" ref="AY76:AY81" si="168">O76+R76+U76+X76+AA76+AD76+AG76+AJ76+AM76+AP76+AS76+AV76</f>
        <v>14000</v>
      </c>
    </row>
    <row r="77" spans="1:51" ht="24">
      <c r="A77" s="45">
        <v>43963</v>
      </c>
      <c r="B77" s="29" t="s">
        <v>318</v>
      </c>
      <c r="C77" s="29"/>
      <c r="D77" s="54"/>
      <c r="E77" s="29" t="s">
        <v>109</v>
      </c>
      <c r="F77" s="29" t="s">
        <v>319</v>
      </c>
      <c r="G77" s="29" t="s">
        <v>74</v>
      </c>
      <c r="H77" s="29">
        <v>33</v>
      </c>
      <c r="I77" s="30">
        <f t="shared" si="141"/>
        <v>4.0303030303030303</v>
      </c>
      <c r="J77" s="29">
        <v>25000</v>
      </c>
      <c r="K77" s="29"/>
      <c r="L77" s="30">
        <f t="shared" si="142"/>
        <v>8250</v>
      </c>
      <c r="M77" s="30">
        <f t="shared" si="143"/>
        <v>33250</v>
      </c>
      <c r="N77" s="55">
        <f>M77-(AY77+'2019'!AY77)</f>
        <v>25750</v>
      </c>
      <c r="O77" s="29"/>
      <c r="P77" s="30">
        <f t="shared" si="144"/>
        <v>0</v>
      </c>
      <c r="Q77" s="30">
        <f t="shared" si="145"/>
        <v>0</v>
      </c>
      <c r="R77" s="29"/>
      <c r="S77" s="30">
        <f t="shared" si="146"/>
        <v>0</v>
      </c>
      <c r="T77" s="19">
        <f t="shared" si="147"/>
        <v>0</v>
      </c>
      <c r="U77" s="128"/>
      <c r="V77" s="121">
        <f t="shared" si="148"/>
        <v>0</v>
      </c>
      <c r="W77" s="126">
        <f t="shared" si="149"/>
        <v>0</v>
      </c>
      <c r="X77" s="122"/>
      <c r="Y77" s="30">
        <f t="shared" si="150"/>
        <v>0</v>
      </c>
      <c r="Z77" s="19">
        <f t="shared" si="151"/>
        <v>0</v>
      </c>
      <c r="AA77" s="29">
        <v>2500</v>
      </c>
      <c r="AB77" s="30">
        <f t="shared" si="152"/>
        <v>1879.6992481203006</v>
      </c>
      <c r="AC77" s="19">
        <f t="shared" si="153"/>
        <v>620.30075187969931</v>
      </c>
      <c r="AD77" s="29">
        <v>2500</v>
      </c>
      <c r="AE77" s="30">
        <f t="shared" si="154"/>
        <v>1879.6992481203006</v>
      </c>
      <c r="AF77" s="19">
        <f t="shared" si="155"/>
        <v>620.30075187969931</v>
      </c>
      <c r="AG77" s="29">
        <v>2500</v>
      </c>
      <c r="AH77" s="30">
        <f t="shared" si="156"/>
        <v>1879.6992481203006</v>
      </c>
      <c r="AI77" s="19">
        <f t="shared" si="157"/>
        <v>620.30075187969931</v>
      </c>
      <c r="AJ77" s="29"/>
      <c r="AK77" s="30">
        <f t="shared" si="158"/>
        <v>0</v>
      </c>
      <c r="AL77" s="19">
        <f t="shared" si="159"/>
        <v>0</v>
      </c>
      <c r="AM77" s="29"/>
      <c r="AN77" s="30">
        <f t="shared" si="160"/>
        <v>0</v>
      </c>
      <c r="AO77" s="19">
        <f t="shared" si="161"/>
        <v>0</v>
      </c>
      <c r="AP77" s="29"/>
      <c r="AQ77" s="30">
        <f t="shared" si="162"/>
        <v>0</v>
      </c>
      <c r="AR77" s="19">
        <f t="shared" si="163"/>
        <v>0</v>
      </c>
      <c r="AS77" s="29"/>
      <c r="AT77" s="30">
        <f t="shared" si="164"/>
        <v>0</v>
      </c>
      <c r="AU77" s="19">
        <f t="shared" si="165"/>
        <v>0</v>
      </c>
      <c r="AV77" s="29"/>
      <c r="AW77" s="30">
        <f t="shared" si="166"/>
        <v>0</v>
      </c>
      <c r="AX77" s="19">
        <f t="shared" si="167"/>
        <v>0</v>
      </c>
      <c r="AY77" s="25">
        <f t="shared" si="168"/>
        <v>7500</v>
      </c>
    </row>
    <row r="78" spans="1:51">
      <c r="A78" s="45">
        <v>43988</v>
      </c>
      <c r="B78" s="29" t="s">
        <v>333</v>
      </c>
      <c r="C78" s="29"/>
      <c r="D78" s="54">
        <v>3000</v>
      </c>
      <c r="E78" s="29" t="s">
        <v>109</v>
      </c>
      <c r="F78" s="29" t="s">
        <v>196</v>
      </c>
      <c r="G78" s="29" t="s">
        <v>332</v>
      </c>
      <c r="H78" s="29">
        <v>33</v>
      </c>
      <c r="I78" s="30">
        <f t="shared" si="141"/>
        <v>4.0303030303030303</v>
      </c>
      <c r="J78" s="29">
        <v>29000</v>
      </c>
      <c r="K78" s="29"/>
      <c r="L78" s="30">
        <f t="shared" si="142"/>
        <v>9570</v>
      </c>
      <c r="M78" s="30">
        <f t="shared" si="143"/>
        <v>38570</v>
      </c>
      <c r="N78" s="55">
        <f>M78-(AY78+'2019'!AY78)</f>
        <v>29570</v>
      </c>
      <c r="O78" s="29"/>
      <c r="P78" s="30">
        <f t="shared" si="144"/>
        <v>0</v>
      </c>
      <c r="Q78" s="30">
        <f t="shared" si="145"/>
        <v>0</v>
      </c>
      <c r="R78" s="29"/>
      <c r="S78" s="30">
        <f t="shared" si="146"/>
        <v>0</v>
      </c>
      <c r="T78" s="19">
        <f t="shared" si="147"/>
        <v>0</v>
      </c>
      <c r="U78" s="128"/>
      <c r="V78" s="121">
        <f t="shared" si="148"/>
        <v>0</v>
      </c>
      <c r="W78" s="126">
        <f t="shared" si="149"/>
        <v>0</v>
      </c>
      <c r="X78" s="122"/>
      <c r="Y78" s="30">
        <f t="shared" si="150"/>
        <v>0</v>
      </c>
      <c r="Z78" s="19">
        <f t="shared" si="151"/>
        <v>0</v>
      </c>
      <c r="AA78" s="29">
        <v>3000</v>
      </c>
      <c r="AB78" s="30">
        <f t="shared" si="152"/>
        <v>2255.6390977443607</v>
      </c>
      <c r="AC78" s="19">
        <f t="shared" si="153"/>
        <v>744.36090225563908</v>
      </c>
      <c r="AD78" s="29">
        <v>3000</v>
      </c>
      <c r="AE78" s="30">
        <f t="shared" si="154"/>
        <v>2255.6390977443607</v>
      </c>
      <c r="AF78" s="19">
        <f t="shared" si="155"/>
        <v>744.36090225563908</v>
      </c>
      <c r="AG78" s="29">
        <v>3000</v>
      </c>
      <c r="AH78" s="30">
        <f t="shared" si="156"/>
        <v>2255.6390977443607</v>
      </c>
      <c r="AI78" s="19">
        <f t="shared" si="157"/>
        <v>744.36090225563908</v>
      </c>
      <c r="AJ78" s="29"/>
      <c r="AK78" s="30">
        <f t="shared" si="158"/>
        <v>0</v>
      </c>
      <c r="AL78" s="19">
        <f t="shared" si="159"/>
        <v>0</v>
      </c>
      <c r="AM78" s="29"/>
      <c r="AN78" s="30">
        <f t="shared" si="160"/>
        <v>0</v>
      </c>
      <c r="AO78" s="19">
        <f t="shared" si="161"/>
        <v>0</v>
      </c>
      <c r="AP78" s="29"/>
      <c r="AQ78" s="30">
        <f t="shared" si="162"/>
        <v>0</v>
      </c>
      <c r="AR78" s="19">
        <f t="shared" si="163"/>
        <v>0</v>
      </c>
      <c r="AS78" s="29"/>
      <c r="AT78" s="30">
        <f t="shared" si="164"/>
        <v>0</v>
      </c>
      <c r="AU78" s="19">
        <f t="shared" si="165"/>
        <v>0</v>
      </c>
      <c r="AV78" s="29"/>
      <c r="AW78" s="30">
        <f t="shared" si="166"/>
        <v>0</v>
      </c>
      <c r="AX78" s="19">
        <f t="shared" si="167"/>
        <v>0</v>
      </c>
      <c r="AY78" s="25">
        <f t="shared" si="168"/>
        <v>9000</v>
      </c>
    </row>
    <row r="79" spans="1:51">
      <c r="A79" s="45">
        <v>43988</v>
      </c>
      <c r="B79" s="29" t="s">
        <v>334</v>
      </c>
      <c r="C79" s="29"/>
      <c r="D79" s="54">
        <v>2000</v>
      </c>
      <c r="E79" s="29" t="s">
        <v>109</v>
      </c>
      <c r="F79" s="29" t="s">
        <v>196</v>
      </c>
      <c r="G79" s="29" t="s">
        <v>332</v>
      </c>
      <c r="H79" s="29">
        <v>33</v>
      </c>
      <c r="I79" s="30">
        <f t="shared" si="141"/>
        <v>4.0303030303030303</v>
      </c>
      <c r="J79" s="29">
        <v>20000</v>
      </c>
      <c r="K79" s="29"/>
      <c r="L79" s="30">
        <f t="shared" si="142"/>
        <v>6600</v>
      </c>
      <c r="M79" s="30">
        <f t="shared" si="143"/>
        <v>26600</v>
      </c>
      <c r="N79" s="55">
        <f>M79-(AY79+'2019'!AY79)</f>
        <v>19100</v>
      </c>
      <c r="O79" s="29"/>
      <c r="P79" s="30">
        <f t="shared" si="144"/>
        <v>0</v>
      </c>
      <c r="Q79" s="30">
        <f t="shared" si="145"/>
        <v>0</v>
      </c>
      <c r="R79" s="29"/>
      <c r="S79" s="30">
        <f t="shared" si="146"/>
        <v>0</v>
      </c>
      <c r="T79" s="134">
        <f t="shared" si="147"/>
        <v>0</v>
      </c>
      <c r="U79" s="135"/>
      <c r="V79" s="136">
        <f t="shared" si="148"/>
        <v>0</v>
      </c>
      <c r="W79" s="137">
        <f t="shared" si="149"/>
        <v>0</v>
      </c>
      <c r="X79" s="138"/>
      <c r="Y79" s="139">
        <f t="shared" si="150"/>
        <v>0</v>
      </c>
      <c r="Z79" s="19">
        <f t="shared" si="151"/>
        <v>0</v>
      </c>
      <c r="AA79" s="29">
        <v>2500</v>
      </c>
      <c r="AB79" s="30">
        <f t="shared" si="152"/>
        <v>1879.6992481203006</v>
      </c>
      <c r="AC79" s="19">
        <f t="shared" si="153"/>
        <v>620.30075187969931</v>
      </c>
      <c r="AD79" s="29">
        <v>3000</v>
      </c>
      <c r="AE79" s="30">
        <f t="shared" si="154"/>
        <v>2255.6390977443607</v>
      </c>
      <c r="AF79" s="19">
        <f t="shared" si="155"/>
        <v>744.36090225563908</v>
      </c>
      <c r="AG79" s="29">
        <v>2000</v>
      </c>
      <c r="AH79" s="30">
        <f t="shared" si="156"/>
        <v>1503.7593984962405</v>
      </c>
      <c r="AI79" s="19">
        <f t="shared" si="157"/>
        <v>496.24060150375942</v>
      </c>
      <c r="AJ79" s="29"/>
      <c r="AK79" s="30">
        <f t="shared" si="158"/>
        <v>0</v>
      </c>
      <c r="AL79" s="19">
        <f t="shared" si="159"/>
        <v>0</v>
      </c>
      <c r="AM79" s="29"/>
      <c r="AN79" s="30">
        <f t="shared" si="160"/>
        <v>0</v>
      </c>
      <c r="AO79" s="19">
        <f t="shared" si="161"/>
        <v>0</v>
      </c>
      <c r="AP79" s="29"/>
      <c r="AQ79" s="30">
        <f t="shared" si="162"/>
        <v>0</v>
      </c>
      <c r="AR79" s="19">
        <f t="shared" si="163"/>
        <v>0</v>
      </c>
      <c r="AS79" s="29"/>
      <c r="AT79" s="30">
        <f t="shared" si="164"/>
        <v>0</v>
      </c>
      <c r="AU79" s="19">
        <f t="shared" si="165"/>
        <v>0</v>
      </c>
      <c r="AV79" s="29"/>
      <c r="AW79" s="30">
        <f t="shared" si="166"/>
        <v>0</v>
      </c>
      <c r="AX79" s="19">
        <f t="shared" si="167"/>
        <v>0</v>
      </c>
      <c r="AY79" s="25">
        <f t="shared" si="168"/>
        <v>7500</v>
      </c>
    </row>
    <row r="80" spans="1:51">
      <c r="A80" s="45">
        <v>43988</v>
      </c>
      <c r="B80" s="29" t="s">
        <v>335</v>
      </c>
      <c r="C80" s="29"/>
      <c r="D80" s="54"/>
      <c r="E80" s="29" t="s">
        <v>109</v>
      </c>
      <c r="F80" s="29" t="s">
        <v>336</v>
      </c>
      <c r="G80" s="29" t="s">
        <v>332</v>
      </c>
      <c r="H80" s="29">
        <v>30</v>
      </c>
      <c r="I80" s="30">
        <f t="shared" si="141"/>
        <v>4.333333333333333</v>
      </c>
      <c r="J80" s="29">
        <v>82000</v>
      </c>
      <c r="K80" s="29"/>
      <c r="L80" s="30">
        <f t="shared" si="142"/>
        <v>24600</v>
      </c>
      <c r="M80" s="30">
        <f t="shared" si="143"/>
        <v>106600</v>
      </c>
      <c r="N80" s="55">
        <f>M80-(AY80+'2019'!AY80)</f>
        <v>82600</v>
      </c>
      <c r="O80" s="29"/>
      <c r="P80" s="30">
        <f t="shared" si="144"/>
        <v>0</v>
      </c>
      <c r="Q80" s="30">
        <f t="shared" si="145"/>
        <v>0</v>
      </c>
      <c r="R80" s="29"/>
      <c r="S80" s="30">
        <f t="shared" si="146"/>
        <v>0</v>
      </c>
      <c r="T80" s="134">
        <f t="shared" si="147"/>
        <v>0</v>
      </c>
      <c r="U80" s="135"/>
      <c r="V80" s="136">
        <f t="shared" si="148"/>
        <v>0</v>
      </c>
      <c r="W80" s="137">
        <f t="shared" si="149"/>
        <v>0</v>
      </c>
      <c r="X80" s="138"/>
      <c r="Y80" s="139">
        <f t="shared" si="150"/>
        <v>0</v>
      </c>
      <c r="Z80" s="19">
        <f t="shared" si="151"/>
        <v>0</v>
      </c>
      <c r="AA80" s="29">
        <v>8000</v>
      </c>
      <c r="AB80" s="30">
        <f t="shared" si="152"/>
        <v>6153.8461538461543</v>
      </c>
      <c r="AC80" s="19">
        <f t="shared" si="153"/>
        <v>1846.1538461538462</v>
      </c>
      <c r="AD80" s="29">
        <v>8000</v>
      </c>
      <c r="AE80" s="30">
        <f t="shared" si="154"/>
        <v>6153.8461538461543</v>
      </c>
      <c r="AF80" s="19">
        <f t="shared" si="155"/>
        <v>1846.1538461538462</v>
      </c>
      <c r="AG80" s="29">
        <v>8000</v>
      </c>
      <c r="AH80" s="30">
        <f t="shared" si="156"/>
        <v>6153.8461538461543</v>
      </c>
      <c r="AI80" s="19">
        <f t="shared" si="157"/>
        <v>1846.1538461538462</v>
      </c>
      <c r="AJ80" s="29"/>
      <c r="AK80" s="30">
        <f t="shared" si="158"/>
        <v>0</v>
      </c>
      <c r="AL80" s="19">
        <f t="shared" si="159"/>
        <v>0</v>
      </c>
      <c r="AM80" s="29"/>
      <c r="AN80" s="30">
        <f t="shared" si="160"/>
        <v>0</v>
      </c>
      <c r="AO80" s="19">
        <f t="shared" si="161"/>
        <v>0</v>
      </c>
      <c r="AP80" s="29"/>
      <c r="AQ80" s="30">
        <f t="shared" si="162"/>
        <v>0</v>
      </c>
      <c r="AR80" s="19">
        <f t="shared" si="163"/>
        <v>0</v>
      </c>
      <c r="AS80" s="29"/>
      <c r="AT80" s="30">
        <f t="shared" si="164"/>
        <v>0</v>
      </c>
      <c r="AU80" s="19">
        <f t="shared" si="165"/>
        <v>0</v>
      </c>
      <c r="AV80" s="29"/>
      <c r="AW80" s="30">
        <f t="shared" si="166"/>
        <v>0</v>
      </c>
      <c r="AX80" s="19">
        <f t="shared" si="167"/>
        <v>0</v>
      </c>
      <c r="AY80" s="25">
        <f t="shared" si="168"/>
        <v>24000</v>
      </c>
    </row>
    <row r="81" spans="1:51" ht="24">
      <c r="A81" s="45">
        <v>43991</v>
      </c>
      <c r="B81" s="29" t="s">
        <v>339</v>
      </c>
      <c r="C81" s="29"/>
      <c r="D81" s="54"/>
      <c r="E81" s="29" t="s">
        <v>109</v>
      </c>
      <c r="F81" s="29" t="s">
        <v>196</v>
      </c>
      <c r="G81" s="29" t="s">
        <v>332</v>
      </c>
      <c r="H81" s="29">
        <v>33</v>
      </c>
      <c r="I81" s="30">
        <f t="shared" si="141"/>
        <v>4.0303030303030303</v>
      </c>
      <c r="J81" s="29">
        <v>40000</v>
      </c>
      <c r="K81" s="29"/>
      <c r="L81" s="30">
        <f t="shared" si="142"/>
        <v>13200</v>
      </c>
      <c r="M81" s="30">
        <f t="shared" si="143"/>
        <v>53200</v>
      </c>
      <c r="N81" s="55">
        <f>M81-(AY81+'2019'!AY81)</f>
        <v>43200</v>
      </c>
      <c r="O81" s="29"/>
      <c r="P81" s="30">
        <f t="shared" si="144"/>
        <v>0</v>
      </c>
      <c r="Q81" s="30">
        <f t="shared" si="145"/>
        <v>0</v>
      </c>
      <c r="R81" s="29"/>
      <c r="S81" s="30">
        <f t="shared" si="146"/>
        <v>0</v>
      </c>
      <c r="T81" s="134">
        <f t="shared" si="147"/>
        <v>0</v>
      </c>
      <c r="U81" s="135"/>
      <c r="V81" s="136">
        <f t="shared" si="148"/>
        <v>0</v>
      </c>
      <c r="W81" s="137">
        <f t="shared" si="149"/>
        <v>0</v>
      </c>
      <c r="X81" s="138"/>
      <c r="Y81" s="139">
        <f t="shared" si="150"/>
        <v>0</v>
      </c>
      <c r="Z81" s="19">
        <f t="shared" si="151"/>
        <v>0</v>
      </c>
      <c r="AA81" s="29">
        <v>5000</v>
      </c>
      <c r="AB81" s="30">
        <f t="shared" si="152"/>
        <v>3759.3984962406012</v>
      </c>
      <c r="AC81" s="19">
        <f t="shared" si="153"/>
        <v>1240.6015037593986</v>
      </c>
      <c r="AD81" s="29">
        <v>5000</v>
      </c>
      <c r="AE81" s="30">
        <f t="shared" si="154"/>
        <v>3759.3984962406012</v>
      </c>
      <c r="AF81" s="19">
        <f t="shared" si="155"/>
        <v>1240.6015037593986</v>
      </c>
      <c r="AG81" s="29"/>
      <c r="AH81" s="30">
        <f t="shared" si="156"/>
        <v>0</v>
      </c>
      <c r="AI81" s="19">
        <f t="shared" si="157"/>
        <v>0</v>
      </c>
      <c r="AJ81" s="29"/>
      <c r="AK81" s="30">
        <f t="shared" si="158"/>
        <v>0</v>
      </c>
      <c r="AL81" s="19">
        <f t="shared" si="159"/>
        <v>0</v>
      </c>
      <c r="AM81" s="29"/>
      <c r="AN81" s="30">
        <f t="shared" si="160"/>
        <v>0</v>
      </c>
      <c r="AO81" s="19">
        <f t="shared" si="161"/>
        <v>0</v>
      </c>
      <c r="AP81" s="29"/>
      <c r="AQ81" s="30">
        <f t="shared" si="162"/>
        <v>0</v>
      </c>
      <c r="AR81" s="19">
        <f t="shared" si="163"/>
        <v>0</v>
      </c>
      <c r="AS81" s="29"/>
      <c r="AT81" s="30">
        <f t="shared" si="164"/>
        <v>0</v>
      </c>
      <c r="AU81" s="19">
        <f t="shared" si="165"/>
        <v>0</v>
      </c>
      <c r="AV81" s="29"/>
      <c r="AW81" s="30">
        <f t="shared" si="166"/>
        <v>0</v>
      </c>
      <c r="AX81" s="19">
        <f t="shared" si="167"/>
        <v>0</v>
      </c>
      <c r="AY81" s="25">
        <f t="shared" si="168"/>
        <v>10000</v>
      </c>
    </row>
    <row r="82" spans="1:51">
      <c r="A82" s="45">
        <v>43993</v>
      </c>
      <c r="B82" s="29" t="s">
        <v>341</v>
      </c>
      <c r="C82" s="29"/>
      <c r="D82" s="54">
        <v>4000</v>
      </c>
      <c r="E82" s="29" t="s">
        <v>109</v>
      </c>
      <c r="F82" s="29" t="s">
        <v>342</v>
      </c>
      <c r="G82" s="29" t="s">
        <v>332</v>
      </c>
      <c r="H82" s="29">
        <v>33</v>
      </c>
      <c r="I82" s="30">
        <f t="shared" ref="I82:I86" si="169">IFERROR(M82/L82,"0")</f>
        <v>4.0303030303030303</v>
      </c>
      <c r="J82" s="29">
        <v>32500</v>
      </c>
      <c r="K82" s="29"/>
      <c r="L82" s="30">
        <f t="shared" ref="L82:L86" si="170">H82/100*J82</f>
        <v>10725</v>
      </c>
      <c r="M82" s="30">
        <f t="shared" ref="M82:M86" si="171">J82+L82</f>
        <v>43225</v>
      </c>
      <c r="N82" s="55">
        <f>M82-(AY82+'2019'!AY82)</f>
        <v>32425</v>
      </c>
      <c r="O82" s="29"/>
      <c r="P82" s="30">
        <f t="shared" ref="P82:P86" si="172">IFERROR(O82-Q82,"0")</f>
        <v>0</v>
      </c>
      <c r="Q82" s="30">
        <f t="shared" ref="Q82:Q86" si="173">IFERROR(O82/I82,"0")</f>
        <v>0</v>
      </c>
      <c r="R82" s="29"/>
      <c r="S82" s="30">
        <f t="shared" ref="S82:S86" si="174">IFERROR(R82-T82,"0")</f>
        <v>0</v>
      </c>
      <c r="T82" s="134">
        <f t="shared" ref="T82:T86" si="175">IFERROR(R82/I82,"0")</f>
        <v>0</v>
      </c>
      <c r="U82" s="135"/>
      <c r="V82" s="136">
        <f t="shared" ref="V82:V86" si="176">IFERROR(U82-W82,"0")</f>
        <v>0</v>
      </c>
      <c r="W82" s="137">
        <f t="shared" ref="W82:W86" si="177">IFERROR(U82/I82,"0")</f>
        <v>0</v>
      </c>
      <c r="X82" s="138"/>
      <c r="Y82" s="139">
        <f t="shared" ref="Y82:Y86" si="178">IFERROR(X82-Z82,"0")</f>
        <v>0</v>
      </c>
      <c r="Z82" s="19">
        <f t="shared" ref="Z82:Z86" si="179">IFERROR(X82/I82,"0")</f>
        <v>0</v>
      </c>
      <c r="AA82" s="29">
        <v>3600</v>
      </c>
      <c r="AB82" s="30">
        <f t="shared" ref="AB82:AB86" si="180">IFERROR(AA82-AC82,"0")</f>
        <v>2706.7669172932328</v>
      </c>
      <c r="AC82" s="19">
        <f t="shared" ref="AC82:AC86" si="181">IFERROR(AA82/I82,"0")</f>
        <v>893.23308270676694</v>
      </c>
      <c r="AD82" s="29">
        <v>3600</v>
      </c>
      <c r="AE82" s="30">
        <f t="shared" ref="AE82:AE86" si="182">IFERROR(AD82-AF82,"0")</f>
        <v>2706.7669172932328</v>
      </c>
      <c r="AF82" s="19">
        <f t="shared" ref="AF82:AF86" si="183">IFERROR(AD82/I82,"0")</f>
        <v>893.23308270676694</v>
      </c>
      <c r="AG82" s="29">
        <v>3600</v>
      </c>
      <c r="AH82" s="30">
        <f t="shared" ref="AH82:AH86" si="184">IFERROR(AG82-AI82,"0")</f>
        <v>2706.7669172932328</v>
      </c>
      <c r="AI82" s="19">
        <f t="shared" ref="AI82:AI86" si="185">IFERROR(AG82/I82,"0")</f>
        <v>893.23308270676694</v>
      </c>
      <c r="AJ82" s="29"/>
      <c r="AK82" s="30">
        <f t="shared" ref="AK82:AK86" si="186">IFERROR(AJ82-AL82,"0")</f>
        <v>0</v>
      </c>
      <c r="AL82" s="19">
        <f t="shared" ref="AL82:AL86" si="187">IFERROR(AJ82/I82,"0")</f>
        <v>0</v>
      </c>
      <c r="AM82" s="29"/>
      <c r="AN82" s="30">
        <f t="shared" ref="AN82:AN86" si="188">IFERROR(AM82-AO82,"0")</f>
        <v>0</v>
      </c>
      <c r="AO82" s="19">
        <f t="shared" ref="AO82:AO86" si="189">IFERROR(AM82/I82,"0")</f>
        <v>0</v>
      </c>
      <c r="AP82" s="29"/>
      <c r="AQ82" s="30">
        <f t="shared" ref="AQ82:AQ86" si="190">IFERROR(AP82-AR82,"0")</f>
        <v>0</v>
      </c>
      <c r="AR82" s="19">
        <f t="shared" ref="AR82:AR86" si="191">IFERROR(AP82/I82,"0")</f>
        <v>0</v>
      </c>
      <c r="AS82" s="29"/>
      <c r="AT82" s="30">
        <f t="shared" ref="AT82:AT86" si="192">IFERROR(AS82-AU82,"0")</f>
        <v>0</v>
      </c>
      <c r="AU82" s="19">
        <f t="shared" ref="AU82:AU86" si="193">IFERROR(AS82/I82,"0")</f>
        <v>0</v>
      </c>
      <c r="AV82" s="29"/>
      <c r="AW82" s="30">
        <f t="shared" ref="AW82:AW86" si="194">IFERROR(AV82-AX82,"0")</f>
        <v>0</v>
      </c>
      <c r="AX82" s="19">
        <f t="shared" ref="AX82:AX86" si="195">IFERROR(AV82/I82,"0")</f>
        <v>0</v>
      </c>
      <c r="AY82" s="25">
        <f t="shared" ref="AY82:AY86" si="196">O82+R82+U82+X82+AA82+AD82+AG82+AJ82+AM82+AP82+AS82+AV82</f>
        <v>10800</v>
      </c>
    </row>
    <row r="83" spans="1:51" ht="24">
      <c r="A83" s="45">
        <v>43997</v>
      </c>
      <c r="B83" s="29" t="s">
        <v>344</v>
      </c>
      <c r="C83" s="29"/>
      <c r="D83" s="54"/>
      <c r="E83" s="29" t="s">
        <v>109</v>
      </c>
      <c r="F83" s="29" t="s">
        <v>196</v>
      </c>
      <c r="G83" s="29" t="s">
        <v>89</v>
      </c>
      <c r="H83" s="29">
        <v>25</v>
      </c>
      <c r="I83" s="30">
        <f t="shared" si="169"/>
        <v>5</v>
      </c>
      <c r="J83" s="29">
        <v>47000</v>
      </c>
      <c r="K83" s="29"/>
      <c r="L83" s="30">
        <f t="shared" si="170"/>
        <v>11750</v>
      </c>
      <c r="M83" s="30">
        <f t="shared" si="171"/>
        <v>58750</v>
      </c>
      <c r="N83" s="55">
        <f>M83-(AY83+'2019'!AY84)</f>
        <v>36750</v>
      </c>
      <c r="O83" s="29"/>
      <c r="P83" s="30">
        <f t="shared" si="172"/>
        <v>0</v>
      </c>
      <c r="Q83" s="30">
        <f t="shared" si="173"/>
        <v>0</v>
      </c>
      <c r="R83" s="29"/>
      <c r="S83" s="30">
        <f t="shared" si="174"/>
        <v>0</v>
      </c>
      <c r="T83" s="134">
        <f t="shared" si="175"/>
        <v>0</v>
      </c>
      <c r="U83" s="135"/>
      <c r="V83" s="136">
        <f t="shared" si="176"/>
        <v>0</v>
      </c>
      <c r="W83" s="137">
        <f t="shared" si="177"/>
        <v>0</v>
      </c>
      <c r="X83" s="138"/>
      <c r="Y83" s="139">
        <f t="shared" si="178"/>
        <v>0</v>
      </c>
      <c r="Z83" s="19">
        <f t="shared" si="179"/>
        <v>0</v>
      </c>
      <c r="AA83" s="29">
        <v>4000</v>
      </c>
      <c r="AB83" s="30">
        <f t="shared" si="180"/>
        <v>3200</v>
      </c>
      <c r="AC83" s="19">
        <f t="shared" si="181"/>
        <v>800</v>
      </c>
      <c r="AD83" s="29">
        <v>4000</v>
      </c>
      <c r="AE83" s="30">
        <f t="shared" si="182"/>
        <v>3200</v>
      </c>
      <c r="AF83" s="19">
        <f t="shared" si="183"/>
        <v>800</v>
      </c>
      <c r="AG83" s="29">
        <v>14000</v>
      </c>
      <c r="AH83" s="30">
        <f t="shared" si="184"/>
        <v>11200</v>
      </c>
      <c r="AI83" s="19">
        <f t="shared" si="185"/>
        <v>2800</v>
      </c>
      <c r="AJ83" s="29"/>
      <c r="AK83" s="30">
        <f t="shared" si="186"/>
        <v>0</v>
      </c>
      <c r="AL83" s="19">
        <f t="shared" si="187"/>
        <v>0</v>
      </c>
      <c r="AM83" s="29"/>
      <c r="AN83" s="30">
        <f t="shared" si="188"/>
        <v>0</v>
      </c>
      <c r="AO83" s="19">
        <f t="shared" si="189"/>
        <v>0</v>
      </c>
      <c r="AP83" s="29"/>
      <c r="AQ83" s="30">
        <f t="shared" si="190"/>
        <v>0</v>
      </c>
      <c r="AR83" s="19">
        <f t="shared" si="191"/>
        <v>0</v>
      </c>
      <c r="AS83" s="29"/>
      <c r="AT83" s="30">
        <f t="shared" si="192"/>
        <v>0</v>
      </c>
      <c r="AU83" s="19">
        <f t="shared" si="193"/>
        <v>0</v>
      </c>
      <c r="AV83" s="29"/>
      <c r="AW83" s="30">
        <f t="shared" si="194"/>
        <v>0</v>
      </c>
      <c r="AX83" s="19">
        <f t="shared" si="195"/>
        <v>0</v>
      </c>
      <c r="AY83" s="25">
        <f t="shared" si="196"/>
        <v>22000</v>
      </c>
    </row>
    <row r="84" spans="1:51" ht="24">
      <c r="A84" s="45">
        <v>43998</v>
      </c>
      <c r="B84" s="29" t="s">
        <v>345</v>
      </c>
      <c r="C84" s="29"/>
      <c r="D84" s="54"/>
      <c r="E84" s="29" t="s">
        <v>109</v>
      </c>
      <c r="F84" s="29" t="s">
        <v>196</v>
      </c>
      <c r="G84" s="29" t="s">
        <v>89</v>
      </c>
      <c r="H84" s="29">
        <v>33</v>
      </c>
      <c r="I84" s="30">
        <f t="shared" si="169"/>
        <v>4.0303030303030303</v>
      </c>
      <c r="J84" s="29">
        <v>33000</v>
      </c>
      <c r="K84" s="29"/>
      <c r="L84" s="30">
        <f t="shared" si="170"/>
        <v>10890</v>
      </c>
      <c r="M84" s="30">
        <f t="shared" si="171"/>
        <v>43890</v>
      </c>
      <c r="N84" s="55">
        <f>M84-(AY84+'2019'!AY85)</f>
        <v>40890</v>
      </c>
      <c r="O84" s="29"/>
      <c r="P84" s="30">
        <f t="shared" si="172"/>
        <v>0</v>
      </c>
      <c r="Q84" s="30">
        <f t="shared" si="173"/>
        <v>0</v>
      </c>
      <c r="R84" s="29"/>
      <c r="S84" s="30">
        <f t="shared" si="174"/>
        <v>0</v>
      </c>
      <c r="T84" s="134">
        <f t="shared" si="175"/>
        <v>0</v>
      </c>
      <c r="U84" s="135"/>
      <c r="V84" s="136">
        <f t="shared" si="176"/>
        <v>0</v>
      </c>
      <c r="W84" s="137">
        <f t="shared" si="177"/>
        <v>0</v>
      </c>
      <c r="X84" s="138"/>
      <c r="Y84" s="139">
        <f t="shared" si="178"/>
        <v>0</v>
      </c>
      <c r="Z84" s="19">
        <f t="shared" si="179"/>
        <v>0</v>
      </c>
      <c r="AA84" s="29"/>
      <c r="AB84" s="30">
        <f t="shared" si="180"/>
        <v>0</v>
      </c>
      <c r="AC84" s="19">
        <f t="shared" si="181"/>
        <v>0</v>
      </c>
      <c r="AD84" s="29">
        <v>3000</v>
      </c>
      <c r="AE84" s="30">
        <f t="shared" si="182"/>
        <v>2255.6390977443607</v>
      </c>
      <c r="AF84" s="19">
        <f t="shared" si="183"/>
        <v>744.36090225563908</v>
      </c>
      <c r="AG84" s="29"/>
      <c r="AH84" s="30">
        <f t="shared" si="184"/>
        <v>0</v>
      </c>
      <c r="AI84" s="19">
        <f t="shared" si="185"/>
        <v>0</v>
      </c>
      <c r="AJ84" s="29"/>
      <c r="AK84" s="30">
        <f t="shared" si="186"/>
        <v>0</v>
      </c>
      <c r="AL84" s="19">
        <f t="shared" si="187"/>
        <v>0</v>
      </c>
      <c r="AM84" s="29"/>
      <c r="AN84" s="30">
        <f t="shared" si="188"/>
        <v>0</v>
      </c>
      <c r="AO84" s="19">
        <f t="shared" si="189"/>
        <v>0</v>
      </c>
      <c r="AP84" s="29"/>
      <c r="AQ84" s="30">
        <f t="shared" si="190"/>
        <v>0</v>
      </c>
      <c r="AR84" s="19">
        <f t="shared" si="191"/>
        <v>0</v>
      </c>
      <c r="AS84" s="29"/>
      <c r="AT84" s="30">
        <f t="shared" si="192"/>
        <v>0</v>
      </c>
      <c r="AU84" s="19">
        <f t="shared" si="193"/>
        <v>0</v>
      </c>
      <c r="AV84" s="29"/>
      <c r="AW84" s="30">
        <f t="shared" si="194"/>
        <v>0</v>
      </c>
      <c r="AX84" s="19">
        <f t="shared" si="195"/>
        <v>0</v>
      </c>
      <c r="AY84" s="25">
        <f t="shared" si="196"/>
        <v>3000</v>
      </c>
    </row>
    <row r="85" spans="1:51" ht="24">
      <c r="A85" s="45">
        <v>43998</v>
      </c>
      <c r="B85" s="29" t="s">
        <v>346</v>
      </c>
      <c r="C85" s="29"/>
      <c r="D85" s="54"/>
      <c r="E85" s="29" t="s">
        <v>109</v>
      </c>
      <c r="F85" s="29" t="s">
        <v>196</v>
      </c>
      <c r="G85" s="29" t="s">
        <v>332</v>
      </c>
      <c r="H85" s="29">
        <v>33</v>
      </c>
      <c r="I85" s="30">
        <f t="shared" si="169"/>
        <v>4.0303030303030303</v>
      </c>
      <c r="J85" s="29">
        <v>10000</v>
      </c>
      <c r="K85" s="29"/>
      <c r="L85" s="30">
        <f t="shared" si="170"/>
        <v>3300</v>
      </c>
      <c r="M85" s="30">
        <f t="shared" si="171"/>
        <v>13300</v>
      </c>
      <c r="N85" s="55">
        <f>M85-(AY85+'2019'!AY86)</f>
        <v>12300</v>
      </c>
      <c r="O85" s="29"/>
      <c r="P85" s="30">
        <f t="shared" si="172"/>
        <v>0</v>
      </c>
      <c r="Q85" s="30">
        <f t="shared" si="173"/>
        <v>0</v>
      </c>
      <c r="R85" s="29"/>
      <c r="S85" s="30">
        <f t="shared" si="174"/>
        <v>0</v>
      </c>
      <c r="T85" s="134">
        <f t="shared" si="175"/>
        <v>0</v>
      </c>
      <c r="U85" s="135"/>
      <c r="V85" s="136">
        <f t="shared" si="176"/>
        <v>0</v>
      </c>
      <c r="W85" s="137">
        <f t="shared" si="177"/>
        <v>0</v>
      </c>
      <c r="X85" s="138"/>
      <c r="Y85" s="139">
        <f t="shared" si="178"/>
        <v>0</v>
      </c>
      <c r="Z85" s="19">
        <f t="shared" si="179"/>
        <v>0</v>
      </c>
      <c r="AA85" s="29"/>
      <c r="AB85" s="30">
        <f t="shared" si="180"/>
        <v>0</v>
      </c>
      <c r="AC85" s="19">
        <f t="shared" si="181"/>
        <v>0</v>
      </c>
      <c r="AD85" s="29">
        <v>1000</v>
      </c>
      <c r="AE85" s="30">
        <f t="shared" si="182"/>
        <v>751.87969924812023</v>
      </c>
      <c r="AF85" s="19">
        <f t="shared" si="183"/>
        <v>248.12030075187971</v>
      </c>
      <c r="AG85" s="29"/>
      <c r="AH85" s="30">
        <f t="shared" si="184"/>
        <v>0</v>
      </c>
      <c r="AI85" s="19">
        <f t="shared" si="185"/>
        <v>0</v>
      </c>
      <c r="AJ85" s="29"/>
      <c r="AK85" s="30">
        <f t="shared" si="186"/>
        <v>0</v>
      </c>
      <c r="AL85" s="19">
        <f t="shared" si="187"/>
        <v>0</v>
      </c>
      <c r="AM85" s="29"/>
      <c r="AN85" s="30">
        <f t="shared" si="188"/>
        <v>0</v>
      </c>
      <c r="AO85" s="19">
        <f t="shared" si="189"/>
        <v>0</v>
      </c>
      <c r="AP85" s="29"/>
      <c r="AQ85" s="30">
        <f t="shared" si="190"/>
        <v>0</v>
      </c>
      <c r="AR85" s="19">
        <f t="shared" si="191"/>
        <v>0</v>
      </c>
      <c r="AS85" s="29"/>
      <c r="AT85" s="30">
        <f t="shared" si="192"/>
        <v>0</v>
      </c>
      <c r="AU85" s="19">
        <f t="shared" si="193"/>
        <v>0</v>
      </c>
      <c r="AV85" s="29"/>
      <c r="AW85" s="30">
        <f t="shared" si="194"/>
        <v>0</v>
      </c>
      <c r="AX85" s="19">
        <f t="shared" si="195"/>
        <v>0</v>
      </c>
      <c r="AY85" s="25">
        <f t="shared" si="196"/>
        <v>1000</v>
      </c>
    </row>
    <row r="86" spans="1:51">
      <c r="A86" s="45">
        <v>44016</v>
      </c>
      <c r="B86" s="29" t="s">
        <v>348</v>
      </c>
      <c r="C86" s="29"/>
      <c r="D86" s="54"/>
      <c r="E86" s="29" t="s">
        <v>106</v>
      </c>
      <c r="F86" s="29" t="s">
        <v>196</v>
      </c>
      <c r="G86" s="29" t="s">
        <v>332</v>
      </c>
      <c r="H86" s="29">
        <v>20</v>
      </c>
      <c r="I86" s="30">
        <f t="shared" si="169"/>
        <v>6</v>
      </c>
      <c r="J86" s="29">
        <v>13000</v>
      </c>
      <c r="K86" s="29"/>
      <c r="L86" s="30">
        <f t="shared" si="170"/>
        <v>2600</v>
      </c>
      <c r="M86" s="30">
        <f t="shared" si="171"/>
        <v>15600</v>
      </c>
      <c r="N86" s="55">
        <f>M86-(AY86+'2019'!AY87)</f>
        <v>12600</v>
      </c>
      <c r="O86" s="29"/>
      <c r="P86" s="30">
        <f t="shared" si="172"/>
        <v>0</v>
      </c>
      <c r="Q86" s="30">
        <f t="shared" si="173"/>
        <v>0</v>
      </c>
      <c r="R86" s="29"/>
      <c r="S86" s="30">
        <f t="shared" si="174"/>
        <v>0</v>
      </c>
      <c r="T86" s="134">
        <f t="shared" si="175"/>
        <v>0</v>
      </c>
      <c r="U86" s="135"/>
      <c r="V86" s="136">
        <f t="shared" si="176"/>
        <v>0</v>
      </c>
      <c r="W86" s="137">
        <f t="shared" si="177"/>
        <v>0</v>
      </c>
      <c r="X86" s="138"/>
      <c r="Y86" s="139">
        <f t="shared" si="178"/>
        <v>0</v>
      </c>
      <c r="Z86" s="19">
        <f t="shared" si="179"/>
        <v>0</v>
      </c>
      <c r="AA86" s="29"/>
      <c r="AB86" s="30">
        <f t="shared" si="180"/>
        <v>0</v>
      </c>
      <c r="AC86" s="19">
        <f t="shared" si="181"/>
        <v>0</v>
      </c>
      <c r="AD86" s="29"/>
      <c r="AE86" s="30">
        <f t="shared" si="182"/>
        <v>0</v>
      </c>
      <c r="AF86" s="19">
        <f t="shared" si="183"/>
        <v>0</v>
      </c>
      <c r="AG86" s="29">
        <v>3000</v>
      </c>
      <c r="AH86" s="30">
        <f t="shared" si="184"/>
        <v>2500</v>
      </c>
      <c r="AI86" s="19">
        <f t="shared" si="185"/>
        <v>500</v>
      </c>
      <c r="AJ86" s="29"/>
      <c r="AK86" s="30">
        <f t="shared" si="186"/>
        <v>0</v>
      </c>
      <c r="AL86" s="19">
        <f t="shared" si="187"/>
        <v>0</v>
      </c>
      <c r="AM86" s="29"/>
      <c r="AN86" s="30">
        <f t="shared" si="188"/>
        <v>0</v>
      </c>
      <c r="AO86" s="19">
        <f t="shared" si="189"/>
        <v>0</v>
      </c>
      <c r="AP86" s="29"/>
      <c r="AQ86" s="30">
        <f t="shared" si="190"/>
        <v>0</v>
      </c>
      <c r="AR86" s="19">
        <f t="shared" si="191"/>
        <v>0</v>
      </c>
      <c r="AS86" s="29"/>
      <c r="AT86" s="30">
        <f t="shared" si="192"/>
        <v>0</v>
      </c>
      <c r="AU86" s="19">
        <f t="shared" si="193"/>
        <v>0</v>
      </c>
      <c r="AV86" s="29"/>
      <c r="AW86" s="30">
        <f t="shared" si="194"/>
        <v>0</v>
      </c>
      <c r="AX86" s="19">
        <f t="shared" si="195"/>
        <v>0</v>
      </c>
      <c r="AY86" s="25">
        <f t="shared" si="196"/>
        <v>3000</v>
      </c>
    </row>
    <row r="87" spans="1:51" ht="24">
      <c r="A87" s="45">
        <v>44018</v>
      </c>
      <c r="B87" s="29" t="s">
        <v>349</v>
      </c>
      <c r="C87" s="29"/>
      <c r="D87" s="54"/>
      <c r="E87" s="29" t="s">
        <v>109</v>
      </c>
      <c r="F87" s="29" t="s">
        <v>350</v>
      </c>
      <c r="G87" s="29" t="s">
        <v>74</v>
      </c>
      <c r="H87" s="29">
        <v>33</v>
      </c>
      <c r="I87" s="30">
        <f t="shared" ref="I87:I94" si="197">IFERROR(M87/L87,"0")</f>
        <v>4.0303030303030303</v>
      </c>
      <c r="J87" s="29">
        <v>296800</v>
      </c>
      <c r="K87" s="29"/>
      <c r="L87" s="30">
        <f t="shared" ref="L87:L94" si="198">H87/100*J87</f>
        <v>97944</v>
      </c>
      <c r="M87" s="30">
        <f t="shared" ref="M87:M94" si="199">J87+L87</f>
        <v>394744</v>
      </c>
      <c r="N87" s="55">
        <f>M87-(AY87+'2019'!AY88)</f>
        <v>394744</v>
      </c>
      <c r="O87" s="29"/>
      <c r="P87" s="30">
        <f t="shared" ref="P87:P94" si="200">IFERROR(O87-Q87,"0")</f>
        <v>0</v>
      </c>
      <c r="Q87" s="30">
        <f t="shared" ref="Q87:Q94" si="201">IFERROR(O87/I87,"0")</f>
        <v>0</v>
      </c>
      <c r="R87" s="29"/>
      <c r="S87" s="30">
        <f t="shared" ref="S87:S94" si="202">IFERROR(R87-T87,"0")</f>
        <v>0</v>
      </c>
      <c r="T87" s="134">
        <f t="shared" ref="T87:T94" si="203">IFERROR(R87/I87,"0")</f>
        <v>0</v>
      </c>
      <c r="U87" s="135"/>
      <c r="V87" s="136">
        <f t="shared" ref="V87:V94" si="204">IFERROR(U87-W87,"0")</f>
        <v>0</v>
      </c>
      <c r="W87" s="137">
        <f t="shared" ref="W87:W94" si="205">IFERROR(U87/I87,"0")</f>
        <v>0</v>
      </c>
      <c r="X87" s="138"/>
      <c r="Y87" s="139">
        <f t="shared" ref="Y87:Y94" si="206">IFERROR(X87-Z87,"0")</f>
        <v>0</v>
      </c>
      <c r="Z87" s="19">
        <f t="shared" ref="Z87:Z94" si="207">IFERROR(X87/I87,"0")</f>
        <v>0</v>
      </c>
      <c r="AA87" s="29"/>
      <c r="AB87" s="30">
        <f t="shared" ref="AB87:AB94" si="208">IFERROR(AA87-AC87,"0")</f>
        <v>0</v>
      </c>
      <c r="AC87" s="19">
        <f t="shared" ref="AC87:AC94" si="209">IFERROR(AA87/I87,"0")</f>
        <v>0</v>
      </c>
      <c r="AD87" s="29"/>
      <c r="AE87" s="30">
        <f t="shared" ref="AE87:AE94" si="210">IFERROR(AD87-AF87,"0")</f>
        <v>0</v>
      </c>
      <c r="AF87" s="19">
        <f t="shared" ref="AF87:AF94" si="211">IFERROR(AD87/I87,"0")</f>
        <v>0</v>
      </c>
      <c r="AG87" s="29"/>
      <c r="AH87" s="30">
        <f t="shared" ref="AH87:AH94" si="212">IFERROR(AG87-AI87,"0")</f>
        <v>0</v>
      </c>
      <c r="AI87" s="19">
        <f t="shared" ref="AI87:AI94" si="213">IFERROR(AG87/I87,"0")</f>
        <v>0</v>
      </c>
      <c r="AJ87" s="29"/>
      <c r="AK87" s="30">
        <f t="shared" ref="AK87:AK94" si="214">IFERROR(AJ87-AL87,"0")</f>
        <v>0</v>
      </c>
      <c r="AL87" s="19">
        <f t="shared" ref="AL87:AL94" si="215">IFERROR(AJ87/I87,"0")</f>
        <v>0</v>
      </c>
      <c r="AM87" s="29"/>
      <c r="AN87" s="30">
        <f t="shared" ref="AN87:AN94" si="216">IFERROR(AM87-AO87,"0")</f>
        <v>0</v>
      </c>
      <c r="AO87" s="19">
        <f t="shared" ref="AO87:AO94" si="217">IFERROR(AM87/I87,"0")</f>
        <v>0</v>
      </c>
      <c r="AP87" s="29"/>
      <c r="AQ87" s="30">
        <f t="shared" ref="AQ87:AQ94" si="218">IFERROR(AP87-AR87,"0")</f>
        <v>0</v>
      </c>
      <c r="AR87" s="19">
        <f t="shared" ref="AR87:AR94" si="219">IFERROR(AP87/I87,"0")</f>
        <v>0</v>
      </c>
      <c r="AS87" s="29"/>
      <c r="AT87" s="30">
        <f t="shared" ref="AT87:AT94" si="220">IFERROR(AS87-AU87,"0")</f>
        <v>0</v>
      </c>
      <c r="AU87" s="19">
        <f t="shared" ref="AU87:AU94" si="221">IFERROR(AS87/I87,"0")</f>
        <v>0</v>
      </c>
      <c r="AV87" s="29"/>
      <c r="AW87" s="30">
        <f t="shared" ref="AW87:AW94" si="222">IFERROR(AV87-AX87,"0")</f>
        <v>0</v>
      </c>
      <c r="AX87" s="19">
        <f t="shared" ref="AX87:AX94" si="223">IFERROR(AV87/I87,"0")</f>
        <v>0</v>
      </c>
      <c r="AY87" s="25">
        <f t="shared" ref="AY87:AY94" si="224">O87+R87+U87+X87+AA87+AD87+AG87+AJ87+AM87+AP87+AS87+AV87</f>
        <v>0</v>
      </c>
    </row>
    <row r="88" spans="1:51" ht="24">
      <c r="A88" s="45">
        <v>44021</v>
      </c>
      <c r="B88" s="29" t="s">
        <v>343</v>
      </c>
      <c r="C88" s="29"/>
      <c r="D88" s="54"/>
      <c r="E88" s="29" t="s">
        <v>109</v>
      </c>
      <c r="F88" s="29" t="s">
        <v>155</v>
      </c>
      <c r="G88" s="29" t="s">
        <v>89</v>
      </c>
      <c r="H88" s="29">
        <v>30</v>
      </c>
      <c r="I88" s="30">
        <f t="shared" si="197"/>
        <v>4.333333333333333</v>
      </c>
      <c r="J88" s="29">
        <v>15000</v>
      </c>
      <c r="K88" s="29"/>
      <c r="L88" s="30">
        <f t="shared" si="198"/>
        <v>4500</v>
      </c>
      <c r="M88" s="30">
        <f t="shared" si="199"/>
        <v>19500</v>
      </c>
      <c r="N88" s="55">
        <f>M88-(AY88+'2019'!AY89)</f>
        <v>17500</v>
      </c>
      <c r="O88" s="29"/>
      <c r="P88" s="30">
        <f t="shared" si="200"/>
        <v>0</v>
      </c>
      <c r="Q88" s="30">
        <f t="shared" si="201"/>
        <v>0</v>
      </c>
      <c r="R88" s="29"/>
      <c r="S88" s="30">
        <f t="shared" si="202"/>
        <v>0</v>
      </c>
      <c r="T88" s="134">
        <f t="shared" si="203"/>
        <v>0</v>
      </c>
      <c r="U88" s="135"/>
      <c r="V88" s="136">
        <f t="shared" si="204"/>
        <v>0</v>
      </c>
      <c r="W88" s="137">
        <f t="shared" si="205"/>
        <v>0</v>
      </c>
      <c r="X88" s="138"/>
      <c r="Y88" s="139">
        <f t="shared" si="206"/>
        <v>0</v>
      </c>
      <c r="Z88" s="19">
        <f t="shared" si="207"/>
        <v>0</v>
      </c>
      <c r="AA88" s="29"/>
      <c r="AB88" s="30">
        <f t="shared" si="208"/>
        <v>0</v>
      </c>
      <c r="AC88" s="19">
        <f t="shared" si="209"/>
        <v>0</v>
      </c>
      <c r="AD88" s="29">
        <v>1000</v>
      </c>
      <c r="AE88" s="30">
        <f t="shared" si="210"/>
        <v>769.23076923076928</v>
      </c>
      <c r="AF88" s="19">
        <f t="shared" si="211"/>
        <v>230.76923076923077</v>
      </c>
      <c r="AG88" s="29">
        <v>1000</v>
      </c>
      <c r="AH88" s="30">
        <f t="shared" si="212"/>
        <v>769.23076923076928</v>
      </c>
      <c r="AI88" s="19">
        <f t="shared" si="213"/>
        <v>230.76923076923077</v>
      </c>
      <c r="AJ88" s="29"/>
      <c r="AK88" s="30">
        <f t="shared" si="214"/>
        <v>0</v>
      </c>
      <c r="AL88" s="19">
        <f t="shared" si="215"/>
        <v>0</v>
      </c>
      <c r="AM88" s="29"/>
      <c r="AN88" s="30">
        <f t="shared" si="216"/>
        <v>0</v>
      </c>
      <c r="AO88" s="19">
        <f t="shared" si="217"/>
        <v>0</v>
      </c>
      <c r="AP88" s="29"/>
      <c r="AQ88" s="30">
        <f t="shared" si="218"/>
        <v>0</v>
      </c>
      <c r="AR88" s="19">
        <f t="shared" si="219"/>
        <v>0</v>
      </c>
      <c r="AS88" s="29"/>
      <c r="AT88" s="30">
        <f t="shared" si="220"/>
        <v>0</v>
      </c>
      <c r="AU88" s="19">
        <f t="shared" si="221"/>
        <v>0</v>
      </c>
      <c r="AV88" s="29"/>
      <c r="AW88" s="30">
        <f t="shared" si="222"/>
        <v>0</v>
      </c>
      <c r="AX88" s="19">
        <f t="shared" si="223"/>
        <v>0</v>
      </c>
      <c r="AY88" s="25">
        <f t="shared" si="224"/>
        <v>2000</v>
      </c>
    </row>
    <row r="89" spans="1:51" ht="24">
      <c r="A89" s="45">
        <v>44021</v>
      </c>
      <c r="B89" s="29" t="s">
        <v>351</v>
      </c>
      <c r="C89" s="29"/>
      <c r="D89" s="54"/>
      <c r="E89" s="29" t="s">
        <v>109</v>
      </c>
      <c r="F89" s="29" t="s">
        <v>196</v>
      </c>
      <c r="G89" s="29" t="s">
        <v>89</v>
      </c>
      <c r="H89" s="29">
        <v>33</v>
      </c>
      <c r="I89" s="30">
        <f t="shared" si="197"/>
        <v>4.0303030303030303</v>
      </c>
      <c r="J89" s="29">
        <v>19000</v>
      </c>
      <c r="K89" s="29"/>
      <c r="L89" s="30">
        <f t="shared" si="198"/>
        <v>6270</v>
      </c>
      <c r="M89" s="30">
        <f t="shared" si="199"/>
        <v>25270</v>
      </c>
      <c r="N89" s="55">
        <f>M89-(AY89+'2019'!AY89)</f>
        <v>22270</v>
      </c>
      <c r="O89" s="29"/>
      <c r="P89" s="30">
        <f t="shared" si="200"/>
        <v>0</v>
      </c>
      <c r="Q89" s="30">
        <f t="shared" si="201"/>
        <v>0</v>
      </c>
      <c r="R89" s="29"/>
      <c r="S89" s="30">
        <f t="shared" si="202"/>
        <v>0</v>
      </c>
      <c r="T89" s="134">
        <f t="shared" si="203"/>
        <v>0</v>
      </c>
      <c r="U89" s="135"/>
      <c r="V89" s="136">
        <f t="shared" si="204"/>
        <v>0</v>
      </c>
      <c r="W89" s="137">
        <f t="shared" si="205"/>
        <v>0</v>
      </c>
      <c r="X89" s="138"/>
      <c r="Y89" s="139">
        <f t="shared" si="206"/>
        <v>0</v>
      </c>
      <c r="Z89" s="19">
        <f t="shared" si="207"/>
        <v>0</v>
      </c>
      <c r="AA89" s="29"/>
      <c r="AB89" s="30">
        <f t="shared" si="208"/>
        <v>0</v>
      </c>
      <c r="AC89" s="19">
        <f t="shared" si="209"/>
        <v>0</v>
      </c>
      <c r="AD89" s="29"/>
      <c r="AE89" s="30">
        <f t="shared" si="210"/>
        <v>0</v>
      </c>
      <c r="AF89" s="19">
        <f t="shared" si="211"/>
        <v>0</v>
      </c>
      <c r="AG89" s="29">
        <v>3000</v>
      </c>
      <c r="AH89" s="30">
        <f t="shared" si="212"/>
        <v>2255.6390977443607</v>
      </c>
      <c r="AI89" s="19">
        <f t="shared" si="213"/>
        <v>744.36090225563908</v>
      </c>
      <c r="AJ89" s="29"/>
      <c r="AK89" s="30">
        <f t="shared" si="214"/>
        <v>0</v>
      </c>
      <c r="AL89" s="19">
        <f t="shared" si="215"/>
        <v>0</v>
      </c>
      <c r="AM89" s="29"/>
      <c r="AN89" s="30">
        <f t="shared" si="216"/>
        <v>0</v>
      </c>
      <c r="AO89" s="19">
        <f t="shared" si="217"/>
        <v>0</v>
      </c>
      <c r="AP89" s="29"/>
      <c r="AQ89" s="30">
        <f t="shared" si="218"/>
        <v>0</v>
      </c>
      <c r="AR89" s="19">
        <f t="shared" si="219"/>
        <v>0</v>
      </c>
      <c r="AS89" s="29"/>
      <c r="AT89" s="30">
        <f t="shared" si="220"/>
        <v>0</v>
      </c>
      <c r="AU89" s="19">
        <f t="shared" si="221"/>
        <v>0</v>
      </c>
      <c r="AV89" s="29"/>
      <c r="AW89" s="30">
        <f t="shared" si="222"/>
        <v>0</v>
      </c>
      <c r="AX89" s="19">
        <f t="shared" si="223"/>
        <v>0</v>
      </c>
      <c r="AY89" s="25">
        <f t="shared" si="224"/>
        <v>3000</v>
      </c>
    </row>
    <row r="90" spans="1:51">
      <c r="A90" s="45">
        <v>44021</v>
      </c>
      <c r="B90" s="29" t="s">
        <v>353</v>
      </c>
      <c r="C90" s="29"/>
      <c r="D90" s="54"/>
      <c r="E90" s="29" t="s">
        <v>109</v>
      </c>
      <c r="F90" s="29" t="s">
        <v>354</v>
      </c>
      <c r="G90" s="29" t="s">
        <v>310</v>
      </c>
      <c r="H90" s="29">
        <v>30</v>
      </c>
      <c r="I90" s="30">
        <f t="shared" si="197"/>
        <v>4.333333333333333</v>
      </c>
      <c r="J90" s="29">
        <v>65000</v>
      </c>
      <c r="K90" s="29"/>
      <c r="L90" s="30">
        <f t="shared" si="198"/>
        <v>19500</v>
      </c>
      <c r="M90" s="30">
        <f t="shared" si="199"/>
        <v>84500</v>
      </c>
      <c r="N90" s="55">
        <f>M90-(AY90+'2019'!AY90)</f>
        <v>74500</v>
      </c>
      <c r="O90" s="29"/>
      <c r="P90" s="30">
        <f t="shared" si="200"/>
        <v>0</v>
      </c>
      <c r="Q90" s="30">
        <f t="shared" si="201"/>
        <v>0</v>
      </c>
      <c r="R90" s="29"/>
      <c r="S90" s="30">
        <f t="shared" si="202"/>
        <v>0</v>
      </c>
      <c r="T90" s="134">
        <f t="shared" si="203"/>
        <v>0</v>
      </c>
      <c r="U90" s="135"/>
      <c r="V90" s="136">
        <f t="shared" si="204"/>
        <v>0</v>
      </c>
      <c r="W90" s="137">
        <f t="shared" si="205"/>
        <v>0</v>
      </c>
      <c r="X90" s="138"/>
      <c r="Y90" s="139">
        <f t="shared" si="206"/>
        <v>0</v>
      </c>
      <c r="Z90" s="19">
        <f t="shared" si="207"/>
        <v>0</v>
      </c>
      <c r="AA90" s="29"/>
      <c r="AB90" s="30">
        <f t="shared" si="208"/>
        <v>0</v>
      </c>
      <c r="AC90" s="19">
        <f t="shared" si="209"/>
        <v>0</v>
      </c>
      <c r="AD90" s="29">
        <v>10000</v>
      </c>
      <c r="AE90" s="30">
        <f t="shared" si="210"/>
        <v>7692.3076923076915</v>
      </c>
      <c r="AF90" s="19">
        <f t="shared" si="211"/>
        <v>2307.6923076923081</v>
      </c>
      <c r="AG90" s="29"/>
      <c r="AH90" s="30">
        <f t="shared" si="212"/>
        <v>0</v>
      </c>
      <c r="AI90" s="19">
        <f t="shared" si="213"/>
        <v>0</v>
      </c>
      <c r="AJ90" s="29"/>
      <c r="AK90" s="30">
        <f t="shared" si="214"/>
        <v>0</v>
      </c>
      <c r="AL90" s="19">
        <f t="shared" si="215"/>
        <v>0</v>
      </c>
      <c r="AM90" s="29"/>
      <c r="AN90" s="30">
        <f t="shared" si="216"/>
        <v>0</v>
      </c>
      <c r="AO90" s="19">
        <f t="shared" si="217"/>
        <v>0</v>
      </c>
      <c r="AP90" s="29"/>
      <c r="AQ90" s="30">
        <f t="shared" si="218"/>
        <v>0</v>
      </c>
      <c r="AR90" s="19">
        <f t="shared" si="219"/>
        <v>0</v>
      </c>
      <c r="AS90" s="29"/>
      <c r="AT90" s="30">
        <f t="shared" si="220"/>
        <v>0</v>
      </c>
      <c r="AU90" s="19">
        <f t="shared" si="221"/>
        <v>0</v>
      </c>
      <c r="AV90" s="29"/>
      <c r="AW90" s="30">
        <f t="shared" si="222"/>
        <v>0</v>
      </c>
      <c r="AX90" s="19">
        <f t="shared" si="223"/>
        <v>0</v>
      </c>
      <c r="AY90" s="25">
        <f t="shared" si="224"/>
        <v>10000</v>
      </c>
    </row>
    <row r="91" spans="1:51" ht="24">
      <c r="A91" s="45">
        <v>44021</v>
      </c>
      <c r="B91" s="29" t="s">
        <v>355</v>
      </c>
      <c r="C91" s="29"/>
      <c r="D91" s="54"/>
      <c r="E91" s="29" t="s">
        <v>109</v>
      </c>
      <c r="F91" s="29" t="s">
        <v>196</v>
      </c>
      <c r="G91" s="29" t="s">
        <v>310</v>
      </c>
      <c r="H91" s="29">
        <v>33</v>
      </c>
      <c r="I91" s="30">
        <f t="shared" si="197"/>
        <v>4.0303030303030303</v>
      </c>
      <c r="J91" s="29">
        <v>37000</v>
      </c>
      <c r="K91" s="29"/>
      <c r="L91" s="30">
        <f t="shared" si="198"/>
        <v>12210</v>
      </c>
      <c r="M91" s="30">
        <f t="shared" si="199"/>
        <v>49210</v>
      </c>
      <c r="N91" s="55">
        <f>M91-(AY91+'2019'!AY91)</f>
        <v>49210</v>
      </c>
      <c r="O91" s="29"/>
      <c r="P91" s="30">
        <f t="shared" si="200"/>
        <v>0</v>
      </c>
      <c r="Q91" s="30">
        <f t="shared" si="201"/>
        <v>0</v>
      </c>
      <c r="R91" s="29"/>
      <c r="S91" s="30">
        <f t="shared" si="202"/>
        <v>0</v>
      </c>
      <c r="T91" s="134">
        <f t="shared" si="203"/>
        <v>0</v>
      </c>
      <c r="U91" s="135"/>
      <c r="V91" s="136">
        <f t="shared" si="204"/>
        <v>0</v>
      </c>
      <c r="W91" s="137">
        <f t="shared" si="205"/>
        <v>0</v>
      </c>
      <c r="X91" s="138"/>
      <c r="Y91" s="139">
        <f t="shared" si="206"/>
        <v>0</v>
      </c>
      <c r="Z91" s="19">
        <f t="shared" si="207"/>
        <v>0</v>
      </c>
      <c r="AA91" s="29"/>
      <c r="AB91" s="30">
        <f t="shared" si="208"/>
        <v>0</v>
      </c>
      <c r="AC91" s="19">
        <f t="shared" si="209"/>
        <v>0</v>
      </c>
      <c r="AD91" s="29"/>
      <c r="AE91" s="30">
        <f t="shared" si="210"/>
        <v>0</v>
      </c>
      <c r="AF91" s="19">
        <f t="shared" si="211"/>
        <v>0</v>
      </c>
      <c r="AG91" s="29"/>
      <c r="AH91" s="30">
        <f t="shared" si="212"/>
        <v>0</v>
      </c>
      <c r="AI91" s="19">
        <f t="shared" si="213"/>
        <v>0</v>
      </c>
      <c r="AJ91" s="29"/>
      <c r="AK91" s="30">
        <f t="shared" si="214"/>
        <v>0</v>
      </c>
      <c r="AL91" s="19">
        <f t="shared" si="215"/>
        <v>0</v>
      </c>
      <c r="AM91" s="29"/>
      <c r="AN91" s="30">
        <f t="shared" si="216"/>
        <v>0</v>
      </c>
      <c r="AO91" s="19">
        <f t="shared" si="217"/>
        <v>0</v>
      </c>
      <c r="AP91" s="29"/>
      <c r="AQ91" s="30">
        <f t="shared" si="218"/>
        <v>0</v>
      </c>
      <c r="AR91" s="19">
        <f t="shared" si="219"/>
        <v>0</v>
      </c>
      <c r="AS91" s="29"/>
      <c r="AT91" s="30">
        <f t="shared" si="220"/>
        <v>0</v>
      </c>
      <c r="AU91" s="19">
        <f t="shared" si="221"/>
        <v>0</v>
      </c>
      <c r="AV91" s="29"/>
      <c r="AW91" s="30">
        <f t="shared" si="222"/>
        <v>0</v>
      </c>
      <c r="AX91" s="19">
        <f t="shared" si="223"/>
        <v>0</v>
      </c>
      <c r="AY91" s="25">
        <f t="shared" si="224"/>
        <v>0</v>
      </c>
    </row>
    <row r="92" spans="1:51" ht="24">
      <c r="A92" s="45">
        <v>44021</v>
      </c>
      <c r="B92" s="29" t="s">
        <v>356</v>
      </c>
      <c r="C92" s="29"/>
      <c r="D92" s="54"/>
      <c r="E92" s="29" t="s">
        <v>109</v>
      </c>
      <c r="F92" s="29" t="s">
        <v>196</v>
      </c>
      <c r="G92" s="29" t="s">
        <v>310</v>
      </c>
      <c r="H92" s="29">
        <v>33</v>
      </c>
      <c r="I92" s="30">
        <f t="shared" si="197"/>
        <v>4.0303030303030303</v>
      </c>
      <c r="J92" s="29">
        <v>19000</v>
      </c>
      <c r="K92" s="29"/>
      <c r="L92" s="30">
        <f t="shared" si="198"/>
        <v>6270</v>
      </c>
      <c r="M92" s="30">
        <f t="shared" si="199"/>
        <v>25270</v>
      </c>
      <c r="N92" s="55">
        <f>M92-(AY92+'2019'!AY92)</f>
        <v>22770</v>
      </c>
      <c r="O92" s="29"/>
      <c r="P92" s="30">
        <f t="shared" si="200"/>
        <v>0</v>
      </c>
      <c r="Q92" s="30">
        <f t="shared" si="201"/>
        <v>0</v>
      </c>
      <c r="R92" s="29"/>
      <c r="S92" s="30">
        <f t="shared" si="202"/>
        <v>0</v>
      </c>
      <c r="T92" s="134">
        <f t="shared" si="203"/>
        <v>0</v>
      </c>
      <c r="U92" s="135"/>
      <c r="V92" s="136">
        <f t="shared" si="204"/>
        <v>0</v>
      </c>
      <c r="W92" s="137">
        <f t="shared" si="205"/>
        <v>0</v>
      </c>
      <c r="X92" s="138"/>
      <c r="Y92" s="139">
        <f t="shared" si="206"/>
        <v>0</v>
      </c>
      <c r="Z92" s="19">
        <f t="shared" si="207"/>
        <v>0</v>
      </c>
      <c r="AA92" s="29"/>
      <c r="AB92" s="30">
        <f t="shared" si="208"/>
        <v>0</v>
      </c>
      <c r="AC92" s="19">
        <f t="shared" si="209"/>
        <v>0</v>
      </c>
      <c r="AD92" s="29"/>
      <c r="AE92" s="30">
        <f t="shared" si="210"/>
        <v>0</v>
      </c>
      <c r="AF92" s="19">
        <f t="shared" si="211"/>
        <v>0</v>
      </c>
      <c r="AG92" s="29">
        <v>2500</v>
      </c>
      <c r="AH92" s="30">
        <f t="shared" si="212"/>
        <v>1879.6992481203006</v>
      </c>
      <c r="AI92" s="19">
        <f t="shared" si="213"/>
        <v>620.30075187969931</v>
      </c>
      <c r="AJ92" s="29"/>
      <c r="AK92" s="30">
        <f t="shared" si="214"/>
        <v>0</v>
      </c>
      <c r="AL92" s="19">
        <f t="shared" si="215"/>
        <v>0</v>
      </c>
      <c r="AM92" s="29"/>
      <c r="AN92" s="30">
        <f t="shared" si="216"/>
        <v>0</v>
      </c>
      <c r="AO92" s="19">
        <f t="shared" si="217"/>
        <v>0</v>
      </c>
      <c r="AP92" s="29"/>
      <c r="AQ92" s="30">
        <f t="shared" si="218"/>
        <v>0</v>
      </c>
      <c r="AR92" s="19">
        <f t="shared" si="219"/>
        <v>0</v>
      </c>
      <c r="AS92" s="29"/>
      <c r="AT92" s="30">
        <f t="shared" si="220"/>
        <v>0</v>
      </c>
      <c r="AU92" s="19">
        <f t="shared" si="221"/>
        <v>0</v>
      </c>
      <c r="AV92" s="29"/>
      <c r="AW92" s="30">
        <f t="shared" si="222"/>
        <v>0</v>
      </c>
      <c r="AX92" s="19">
        <f t="shared" si="223"/>
        <v>0</v>
      </c>
      <c r="AY92" s="25">
        <f t="shared" si="224"/>
        <v>2500</v>
      </c>
    </row>
    <row r="93" spans="1:51">
      <c r="A93" s="45">
        <v>44021</v>
      </c>
      <c r="B93" s="29" t="s">
        <v>357</v>
      </c>
      <c r="C93" s="29"/>
      <c r="D93" s="54"/>
      <c r="E93" s="29" t="s">
        <v>106</v>
      </c>
      <c r="F93" s="29" t="s">
        <v>196</v>
      </c>
      <c r="G93" s="29" t="s">
        <v>310</v>
      </c>
      <c r="H93" s="29">
        <v>33</v>
      </c>
      <c r="I93" s="30">
        <f t="shared" si="197"/>
        <v>4.0303030303030303</v>
      </c>
      <c r="J93" s="29">
        <v>14000</v>
      </c>
      <c r="K93" s="29">
        <v>500</v>
      </c>
      <c r="L93" s="30">
        <f t="shared" si="198"/>
        <v>4620</v>
      </c>
      <c r="M93" s="30">
        <f t="shared" si="199"/>
        <v>18620</v>
      </c>
      <c r="N93" s="55">
        <f>M93-(AY93+'2019'!AY93)</f>
        <v>16620</v>
      </c>
      <c r="O93" s="29"/>
      <c r="P93" s="30">
        <f t="shared" si="200"/>
        <v>0</v>
      </c>
      <c r="Q93" s="30">
        <f t="shared" si="201"/>
        <v>0</v>
      </c>
      <c r="R93" s="29"/>
      <c r="S93" s="30">
        <f t="shared" si="202"/>
        <v>0</v>
      </c>
      <c r="T93" s="134">
        <f t="shared" si="203"/>
        <v>0</v>
      </c>
      <c r="U93" s="135"/>
      <c r="V93" s="136">
        <f t="shared" si="204"/>
        <v>0</v>
      </c>
      <c r="W93" s="137">
        <f t="shared" si="205"/>
        <v>0</v>
      </c>
      <c r="X93" s="138"/>
      <c r="Y93" s="139">
        <f t="shared" si="206"/>
        <v>0</v>
      </c>
      <c r="Z93" s="19">
        <f t="shared" si="207"/>
        <v>0</v>
      </c>
      <c r="AA93" s="29"/>
      <c r="AB93" s="30">
        <f t="shared" si="208"/>
        <v>0</v>
      </c>
      <c r="AC93" s="19">
        <f t="shared" si="209"/>
        <v>0</v>
      </c>
      <c r="AD93" s="29"/>
      <c r="AE93" s="30">
        <f t="shared" si="210"/>
        <v>0</v>
      </c>
      <c r="AF93" s="19">
        <f t="shared" si="211"/>
        <v>0</v>
      </c>
      <c r="AG93" s="29">
        <v>2000</v>
      </c>
      <c r="AH93" s="30">
        <f t="shared" si="212"/>
        <v>1503.7593984962405</v>
      </c>
      <c r="AI93" s="19">
        <f t="shared" si="213"/>
        <v>496.24060150375942</v>
      </c>
      <c r="AJ93" s="29"/>
      <c r="AK93" s="30">
        <f t="shared" si="214"/>
        <v>0</v>
      </c>
      <c r="AL93" s="19">
        <f t="shared" si="215"/>
        <v>0</v>
      </c>
      <c r="AM93" s="29"/>
      <c r="AN93" s="30">
        <f t="shared" si="216"/>
        <v>0</v>
      </c>
      <c r="AO93" s="19">
        <f t="shared" si="217"/>
        <v>0</v>
      </c>
      <c r="AP93" s="29"/>
      <c r="AQ93" s="30">
        <f t="shared" si="218"/>
        <v>0</v>
      </c>
      <c r="AR93" s="19">
        <f t="shared" si="219"/>
        <v>0</v>
      </c>
      <c r="AS93" s="29"/>
      <c r="AT93" s="30">
        <f t="shared" si="220"/>
        <v>0</v>
      </c>
      <c r="AU93" s="19">
        <f t="shared" si="221"/>
        <v>0</v>
      </c>
      <c r="AV93" s="29"/>
      <c r="AW93" s="30">
        <f t="shared" si="222"/>
        <v>0</v>
      </c>
      <c r="AX93" s="19">
        <f t="shared" si="223"/>
        <v>0</v>
      </c>
      <c r="AY93" s="25">
        <f t="shared" si="224"/>
        <v>2000</v>
      </c>
    </row>
    <row r="94" spans="1:51">
      <c r="A94" s="45">
        <v>44023</v>
      </c>
      <c r="B94" s="29" t="s">
        <v>369</v>
      </c>
      <c r="C94" s="29" t="s">
        <v>370</v>
      </c>
      <c r="D94" s="54"/>
      <c r="E94" s="29" t="s">
        <v>109</v>
      </c>
      <c r="F94" s="29" t="s">
        <v>196</v>
      </c>
      <c r="G94" s="29" t="s">
        <v>310</v>
      </c>
      <c r="H94" s="29">
        <v>33</v>
      </c>
      <c r="I94" s="30">
        <f t="shared" si="197"/>
        <v>4.0303030303030303</v>
      </c>
      <c r="J94" s="29">
        <v>33000</v>
      </c>
      <c r="K94" s="29"/>
      <c r="L94" s="30">
        <f t="shared" si="198"/>
        <v>10890</v>
      </c>
      <c r="M94" s="30">
        <f t="shared" si="199"/>
        <v>43890</v>
      </c>
      <c r="N94" s="55">
        <f>M94-(AY94+'2019'!AY94)</f>
        <v>40390</v>
      </c>
      <c r="O94" s="29"/>
      <c r="P94" s="30">
        <f t="shared" si="200"/>
        <v>0</v>
      </c>
      <c r="Q94" s="30">
        <f t="shared" si="201"/>
        <v>0</v>
      </c>
      <c r="R94" s="29"/>
      <c r="S94" s="30">
        <f t="shared" si="202"/>
        <v>0</v>
      </c>
      <c r="T94" s="134">
        <f t="shared" si="203"/>
        <v>0</v>
      </c>
      <c r="U94" s="135"/>
      <c r="V94" s="136">
        <f t="shared" si="204"/>
        <v>0</v>
      </c>
      <c r="W94" s="137">
        <f t="shared" si="205"/>
        <v>0</v>
      </c>
      <c r="X94" s="138"/>
      <c r="Y94" s="139">
        <f t="shared" si="206"/>
        <v>0</v>
      </c>
      <c r="Z94" s="19">
        <f t="shared" si="207"/>
        <v>0</v>
      </c>
      <c r="AA94" s="29"/>
      <c r="AB94" s="30">
        <f t="shared" si="208"/>
        <v>0</v>
      </c>
      <c r="AC94" s="19">
        <f t="shared" si="209"/>
        <v>0</v>
      </c>
      <c r="AD94" s="29">
        <v>3500</v>
      </c>
      <c r="AE94" s="30">
        <f t="shared" si="210"/>
        <v>2631.5789473684208</v>
      </c>
      <c r="AF94" s="19">
        <f t="shared" si="211"/>
        <v>868.42105263157896</v>
      </c>
      <c r="AG94" s="29"/>
      <c r="AH94" s="30">
        <f t="shared" si="212"/>
        <v>0</v>
      </c>
      <c r="AI94" s="19">
        <f t="shared" si="213"/>
        <v>0</v>
      </c>
      <c r="AJ94" s="29"/>
      <c r="AK94" s="30">
        <f t="shared" si="214"/>
        <v>0</v>
      </c>
      <c r="AL94" s="19">
        <f t="shared" si="215"/>
        <v>0</v>
      </c>
      <c r="AM94" s="29"/>
      <c r="AN94" s="30">
        <f t="shared" si="216"/>
        <v>0</v>
      </c>
      <c r="AO94" s="19">
        <f t="shared" si="217"/>
        <v>0</v>
      </c>
      <c r="AP94" s="29"/>
      <c r="AQ94" s="30">
        <f t="shared" si="218"/>
        <v>0</v>
      </c>
      <c r="AR94" s="19">
        <f t="shared" si="219"/>
        <v>0</v>
      </c>
      <c r="AS94" s="29"/>
      <c r="AT94" s="30">
        <f t="shared" si="220"/>
        <v>0</v>
      </c>
      <c r="AU94" s="19">
        <f t="shared" si="221"/>
        <v>0</v>
      </c>
      <c r="AV94" s="29"/>
      <c r="AW94" s="30">
        <f t="shared" si="222"/>
        <v>0</v>
      </c>
      <c r="AX94" s="19">
        <f t="shared" si="223"/>
        <v>0</v>
      </c>
      <c r="AY94" s="25">
        <f t="shared" si="224"/>
        <v>3500</v>
      </c>
    </row>
    <row r="95" spans="1:51">
      <c r="A95" s="45">
        <v>44023</v>
      </c>
      <c r="B95" s="29" t="s">
        <v>371</v>
      </c>
      <c r="C95" s="29"/>
      <c r="D95" s="54"/>
      <c r="E95" s="29" t="s">
        <v>109</v>
      </c>
      <c r="F95" s="29" t="s">
        <v>196</v>
      </c>
      <c r="G95" s="29" t="s">
        <v>310</v>
      </c>
      <c r="H95" s="29">
        <v>33</v>
      </c>
      <c r="I95" s="30">
        <f t="shared" ref="I95:I101" si="225">IFERROR(M95/L95,"0")</f>
        <v>4.0303030303030303</v>
      </c>
      <c r="J95" s="29">
        <v>26900</v>
      </c>
      <c r="K95" s="29">
        <v>200</v>
      </c>
      <c r="L95" s="30">
        <f t="shared" ref="L95:L101" si="226">H95/100*J95</f>
        <v>8877</v>
      </c>
      <c r="M95" s="30">
        <f t="shared" ref="M95:M101" si="227">J95+L95</f>
        <v>35777</v>
      </c>
      <c r="N95" s="55">
        <f>M95-(AY95+'2019'!AY95)</f>
        <v>33277</v>
      </c>
      <c r="O95" s="29"/>
      <c r="P95" s="30">
        <f t="shared" ref="P95:P101" si="228">IFERROR(O95-Q95,"0")</f>
        <v>0</v>
      </c>
      <c r="Q95" s="30">
        <f t="shared" ref="Q95:Q101" si="229">IFERROR(O95/I95,"0")</f>
        <v>0</v>
      </c>
      <c r="R95" s="29"/>
      <c r="S95" s="30">
        <f t="shared" ref="S95:S101" si="230">IFERROR(R95-T95,"0")</f>
        <v>0</v>
      </c>
      <c r="T95" s="134">
        <f t="shared" ref="T95:T101" si="231">IFERROR(R95/I95,"0")</f>
        <v>0</v>
      </c>
      <c r="U95" s="135"/>
      <c r="V95" s="136">
        <f t="shared" ref="V95:V101" si="232">IFERROR(U95-W95,"0")</f>
        <v>0</v>
      </c>
      <c r="W95" s="137">
        <f t="shared" ref="W95:W101" si="233">IFERROR(U95/I95,"0")</f>
        <v>0</v>
      </c>
      <c r="X95" s="138"/>
      <c r="Y95" s="139">
        <f t="shared" ref="Y95:Y101" si="234">IFERROR(X95-Z95,"0")</f>
        <v>0</v>
      </c>
      <c r="Z95" s="19">
        <f t="shared" ref="Z95:Z101" si="235">IFERROR(X95/I95,"0")</f>
        <v>0</v>
      </c>
      <c r="AA95" s="29"/>
      <c r="AB95" s="30">
        <f t="shared" ref="AB95:AB101" si="236">IFERROR(AA95-AC95,"0")</f>
        <v>0</v>
      </c>
      <c r="AC95" s="19">
        <f t="shared" ref="AC95:AC101" si="237">IFERROR(AA95/I95,"0")</f>
        <v>0</v>
      </c>
      <c r="AD95" s="29">
        <v>2500</v>
      </c>
      <c r="AE95" s="30">
        <f t="shared" ref="AE95:AE101" si="238">IFERROR(AD95-AF95,"0")</f>
        <v>1879.6992481203006</v>
      </c>
      <c r="AF95" s="19">
        <f t="shared" ref="AF95:AF101" si="239">IFERROR(AD95/I95,"0")</f>
        <v>620.30075187969931</v>
      </c>
      <c r="AG95" s="29"/>
      <c r="AH95" s="30">
        <f t="shared" ref="AH95:AH101" si="240">IFERROR(AG95-AI95,"0")</f>
        <v>0</v>
      </c>
      <c r="AI95" s="19">
        <f t="shared" ref="AI95:AI101" si="241">IFERROR(AG95/I95,"0")</f>
        <v>0</v>
      </c>
      <c r="AJ95" s="29"/>
      <c r="AK95" s="30">
        <f t="shared" ref="AK95:AK101" si="242">IFERROR(AJ95-AL95,"0")</f>
        <v>0</v>
      </c>
      <c r="AL95" s="19">
        <f t="shared" ref="AL95:AL101" si="243">IFERROR(AJ95/I95,"0")</f>
        <v>0</v>
      </c>
      <c r="AM95" s="29"/>
      <c r="AN95" s="30">
        <f t="shared" ref="AN95:AN101" si="244">IFERROR(AM95-AO95,"0")</f>
        <v>0</v>
      </c>
      <c r="AO95" s="19">
        <f t="shared" ref="AO95:AO101" si="245">IFERROR(AM95/I95,"0")</f>
        <v>0</v>
      </c>
      <c r="AP95" s="29"/>
      <c r="AQ95" s="30">
        <f t="shared" ref="AQ95:AQ101" si="246">IFERROR(AP95-AR95,"0")</f>
        <v>0</v>
      </c>
      <c r="AR95" s="19">
        <f t="shared" ref="AR95:AR101" si="247">IFERROR(AP95/I95,"0")</f>
        <v>0</v>
      </c>
      <c r="AS95" s="29"/>
      <c r="AT95" s="30">
        <f t="shared" ref="AT95:AT101" si="248">IFERROR(AS95-AU95,"0")</f>
        <v>0</v>
      </c>
      <c r="AU95" s="19">
        <f t="shared" ref="AU95:AU101" si="249">IFERROR(AS95/I95,"0")</f>
        <v>0</v>
      </c>
      <c r="AV95" s="29"/>
      <c r="AW95" s="30">
        <f t="shared" ref="AW95:AW101" si="250">IFERROR(AV95-AX95,"0")</f>
        <v>0</v>
      </c>
      <c r="AX95" s="19">
        <f t="shared" ref="AX95:AX101" si="251">IFERROR(AV95/I95,"0")</f>
        <v>0</v>
      </c>
      <c r="AY95" s="25">
        <f t="shared" ref="AY95:AY101" si="252">O95+R95+U95+X95+AA95+AD95+AG95+AJ95+AM95+AP95+AS95+AV95</f>
        <v>2500</v>
      </c>
    </row>
    <row r="96" spans="1:51">
      <c r="A96" s="45">
        <v>44023</v>
      </c>
      <c r="B96" s="29" t="s">
        <v>372</v>
      </c>
      <c r="C96" s="29" t="s">
        <v>373</v>
      </c>
      <c r="D96" s="54"/>
      <c r="E96" s="29" t="s">
        <v>109</v>
      </c>
      <c r="F96" s="29" t="s">
        <v>196</v>
      </c>
      <c r="G96" s="29" t="s">
        <v>310</v>
      </c>
      <c r="H96" s="29">
        <v>33</v>
      </c>
      <c r="I96" s="30">
        <f t="shared" si="225"/>
        <v>4.0303030303030303</v>
      </c>
      <c r="J96" s="29">
        <v>18500</v>
      </c>
      <c r="K96" s="29"/>
      <c r="L96" s="30">
        <f t="shared" si="226"/>
        <v>6105</v>
      </c>
      <c r="M96" s="30">
        <f t="shared" si="227"/>
        <v>24605</v>
      </c>
      <c r="N96" s="55">
        <f>M96-(AY96+'2019'!AY96)</f>
        <v>22605</v>
      </c>
      <c r="O96" s="29"/>
      <c r="P96" s="30">
        <f t="shared" si="228"/>
        <v>0</v>
      </c>
      <c r="Q96" s="30">
        <f t="shared" si="229"/>
        <v>0</v>
      </c>
      <c r="R96" s="29"/>
      <c r="S96" s="30">
        <f t="shared" si="230"/>
        <v>0</v>
      </c>
      <c r="T96" s="134">
        <f t="shared" si="231"/>
        <v>0</v>
      </c>
      <c r="U96" s="135"/>
      <c r="V96" s="136">
        <f t="shared" si="232"/>
        <v>0</v>
      </c>
      <c r="W96" s="137">
        <f t="shared" si="233"/>
        <v>0</v>
      </c>
      <c r="X96" s="138"/>
      <c r="Y96" s="139">
        <f t="shared" si="234"/>
        <v>0</v>
      </c>
      <c r="Z96" s="19">
        <f t="shared" si="235"/>
        <v>0</v>
      </c>
      <c r="AA96" s="29"/>
      <c r="AB96" s="30">
        <f t="shared" si="236"/>
        <v>0</v>
      </c>
      <c r="AC96" s="19">
        <f t="shared" si="237"/>
        <v>0</v>
      </c>
      <c r="AD96" s="29"/>
      <c r="AE96" s="30">
        <f t="shared" si="238"/>
        <v>0</v>
      </c>
      <c r="AF96" s="19">
        <f t="shared" si="239"/>
        <v>0</v>
      </c>
      <c r="AG96" s="29">
        <v>2000</v>
      </c>
      <c r="AH96" s="30">
        <f t="shared" si="240"/>
        <v>1503.7593984962405</v>
      </c>
      <c r="AI96" s="19">
        <f t="shared" si="241"/>
        <v>496.24060150375942</v>
      </c>
      <c r="AJ96" s="29"/>
      <c r="AK96" s="30">
        <f t="shared" si="242"/>
        <v>0</v>
      </c>
      <c r="AL96" s="19">
        <f t="shared" si="243"/>
        <v>0</v>
      </c>
      <c r="AM96" s="29"/>
      <c r="AN96" s="30">
        <f t="shared" si="244"/>
        <v>0</v>
      </c>
      <c r="AO96" s="19">
        <f t="shared" si="245"/>
        <v>0</v>
      </c>
      <c r="AP96" s="29"/>
      <c r="AQ96" s="30">
        <f t="shared" si="246"/>
        <v>0</v>
      </c>
      <c r="AR96" s="19">
        <f t="shared" si="247"/>
        <v>0</v>
      </c>
      <c r="AS96" s="29"/>
      <c r="AT96" s="30">
        <f t="shared" si="248"/>
        <v>0</v>
      </c>
      <c r="AU96" s="19">
        <f t="shared" si="249"/>
        <v>0</v>
      </c>
      <c r="AV96" s="29"/>
      <c r="AW96" s="30">
        <f t="shared" si="250"/>
        <v>0</v>
      </c>
      <c r="AX96" s="19">
        <f t="shared" si="251"/>
        <v>0</v>
      </c>
      <c r="AY96" s="25">
        <f t="shared" si="252"/>
        <v>2000</v>
      </c>
    </row>
    <row r="97" spans="1:51" ht="24">
      <c r="A97" s="45">
        <v>44026</v>
      </c>
      <c r="B97" s="29" t="s">
        <v>376</v>
      </c>
      <c r="C97" s="29"/>
      <c r="D97" s="54"/>
      <c r="E97" s="29" t="s">
        <v>109</v>
      </c>
      <c r="F97" s="29" t="s">
        <v>377</v>
      </c>
      <c r="G97" s="29" t="s">
        <v>74</v>
      </c>
      <c r="H97" s="29">
        <v>20</v>
      </c>
      <c r="I97" s="30">
        <f t="shared" si="225"/>
        <v>6</v>
      </c>
      <c r="J97" s="29">
        <v>70000</v>
      </c>
      <c r="K97" s="29"/>
      <c r="L97" s="30">
        <f t="shared" si="226"/>
        <v>14000</v>
      </c>
      <c r="M97" s="30">
        <f t="shared" si="227"/>
        <v>84000</v>
      </c>
      <c r="N97" s="55">
        <f>M97-(AY97+'2019'!AY97)</f>
        <v>84000</v>
      </c>
      <c r="O97" s="29"/>
      <c r="P97" s="30">
        <f t="shared" si="228"/>
        <v>0</v>
      </c>
      <c r="Q97" s="30">
        <f t="shared" si="229"/>
        <v>0</v>
      </c>
      <c r="R97" s="29"/>
      <c r="S97" s="30">
        <f t="shared" si="230"/>
        <v>0</v>
      </c>
      <c r="T97" s="134">
        <f t="shared" si="231"/>
        <v>0</v>
      </c>
      <c r="U97" s="135"/>
      <c r="V97" s="136">
        <f t="shared" si="232"/>
        <v>0</v>
      </c>
      <c r="W97" s="137">
        <f t="shared" si="233"/>
        <v>0</v>
      </c>
      <c r="X97" s="138"/>
      <c r="Y97" s="139">
        <f t="shared" si="234"/>
        <v>0</v>
      </c>
      <c r="Z97" s="19">
        <f t="shared" si="235"/>
        <v>0</v>
      </c>
      <c r="AA97" s="29"/>
      <c r="AB97" s="30">
        <f t="shared" si="236"/>
        <v>0</v>
      </c>
      <c r="AC97" s="19">
        <f t="shared" si="237"/>
        <v>0</v>
      </c>
      <c r="AD97" s="29"/>
      <c r="AE97" s="30">
        <f t="shared" si="238"/>
        <v>0</v>
      </c>
      <c r="AF97" s="19">
        <f t="shared" si="239"/>
        <v>0</v>
      </c>
      <c r="AG97" s="29"/>
      <c r="AH97" s="30">
        <f t="shared" si="240"/>
        <v>0</v>
      </c>
      <c r="AI97" s="19">
        <f t="shared" si="241"/>
        <v>0</v>
      </c>
      <c r="AJ97" s="29"/>
      <c r="AK97" s="30">
        <f t="shared" si="242"/>
        <v>0</v>
      </c>
      <c r="AL97" s="19">
        <f t="shared" si="243"/>
        <v>0</v>
      </c>
      <c r="AM97" s="29"/>
      <c r="AN97" s="30">
        <f t="shared" si="244"/>
        <v>0</v>
      </c>
      <c r="AO97" s="19">
        <f t="shared" si="245"/>
        <v>0</v>
      </c>
      <c r="AP97" s="29"/>
      <c r="AQ97" s="30">
        <f t="shared" si="246"/>
        <v>0</v>
      </c>
      <c r="AR97" s="19">
        <f t="shared" si="247"/>
        <v>0</v>
      </c>
      <c r="AS97" s="29"/>
      <c r="AT97" s="30">
        <f t="shared" si="248"/>
        <v>0</v>
      </c>
      <c r="AU97" s="19">
        <f t="shared" si="249"/>
        <v>0</v>
      </c>
      <c r="AV97" s="29"/>
      <c r="AW97" s="30">
        <f t="shared" si="250"/>
        <v>0</v>
      </c>
      <c r="AX97" s="19">
        <f t="shared" si="251"/>
        <v>0</v>
      </c>
      <c r="AY97" s="25">
        <f t="shared" si="252"/>
        <v>0</v>
      </c>
    </row>
    <row r="98" spans="1:51">
      <c r="A98" s="45">
        <v>44026</v>
      </c>
      <c r="B98" s="29" t="s">
        <v>378</v>
      </c>
      <c r="C98" s="29"/>
      <c r="D98" s="54"/>
      <c r="E98" s="29" t="s">
        <v>109</v>
      </c>
      <c r="F98" s="29" t="s">
        <v>379</v>
      </c>
      <c r="G98" s="29" t="s">
        <v>332</v>
      </c>
      <c r="H98" s="29">
        <v>33</v>
      </c>
      <c r="I98" s="30">
        <f t="shared" si="225"/>
        <v>4.0303030303030303</v>
      </c>
      <c r="J98" s="29">
        <v>13700</v>
      </c>
      <c r="K98" s="29"/>
      <c r="L98" s="30">
        <f t="shared" si="226"/>
        <v>4521</v>
      </c>
      <c r="M98" s="30">
        <f t="shared" si="227"/>
        <v>18221</v>
      </c>
      <c r="N98" s="55">
        <f>M98-(AY98+'2019'!AY98)</f>
        <v>18221</v>
      </c>
      <c r="O98" s="29"/>
      <c r="P98" s="30">
        <f t="shared" si="228"/>
        <v>0</v>
      </c>
      <c r="Q98" s="30">
        <f t="shared" si="229"/>
        <v>0</v>
      </c>
      <c r="R98" s="29"/>
      <c r="S98" s="30">
        <f t="shared" si="230"/>
        <v>0</v>
      </c>
      <c r="T98" s="134">
        <f t="shared" si="231"/>
        <v>0</v>
      </c>
      <c r="U98" s="135"/>
      <c r="V98" s="136">
        <f t="shared" si="232"/>
        <v>0</v>
      </c>
      <c r="W98" s="137">
        <f t="shared" si="233"/>
        <v>0</v>
      </c>
      <c r="X98" s="138"/>
      <c r="Y98" s="139">
        <f t="shared" si="234"/>
        <v>0</v>
      </c>
      <c r="Z98" s="19">
        <f t="shared" si="235"/>
        <v>0</v>
      </c>
      <c r="AA98" s="29"/>
      <c r="AB98" s="30">
        <f t="shared" si="236"/>
        <v>0</v>
      </c>
      <c r="AC98" s="19">
        <f t="shared" si="237"/>
        <v>0</v>
      </c>
      <c r="AD98" s="29"/>
      <c r="AE98" s="30">
        <f t="shared" si="238"/>
        <v>0</v>
      </c>
      <c r="AF98" s="19">
        <f t="shared" si="239"/>
        <v>0</v>
      </c>
      <c r="AG98" s="29"/>
      <c r="AH98" s="30">
        <f t="shared" si="240"/>
        <v>0</v>
      </c>
      <c r="AI98" s="19">
        <f t="shared" si="241"/>
        <v>0</v>
      </c>
      <c r="AJ98" s="29"/>
      <c r="AK98" s="30">
        <f t="shared" si="242"/>
        <v>0</v>
      </c>
      <c r="AL98" s="19">
        <f t="shared" si="243"/>
        <v>0</v>
      </c>
      <c r="AM98" s="29"/>
      <c r="AN98" s="30">
        <f t="shared" si="244"/>
        <v>0</v>
      </c>
      <c r="AO98" s="19">
        <f t="shared" si="245"/>
        <v>0</v>
      </c>
      <c r="AP98" s="29"/>
      <c r="AQ98" s="30">
        <f t="shared" si="246"/>
        <v>0</v>
      </c>
      <c r="AR98" s="19">
        <f t="shared" si="247"/>
        <v>0</v>
      </c>
      <c r="AS98" s="29"/>
      <c r="AT98" s="30">
        <f t="shared" si="248"/>
        <v>0</v>
      </c>
      <c r="AU98" s="19">
        <f t="shared" si="249"/>
        <v>0</v>
      </c>
      <c r="AV98" s="29"/>
      <c r="AW98" s="30">
        <f t="shared" si="250"/>
        <v>0</v>
      </c>
      <c r="AX98" s="19">
        <f t="shared" si="251"/>
        <v>0</v>
      </c>
      <c r="AY98" s="25">
        <f t="shared" si="252"/>
        <v>0</v>
      </c>
    </row>
    <row r="99" spans="1:51" ht="24">
      <c r="A99" s="45">
        <v>44026</v>
      </c>
      <c r="B99" s="29" t="s">
        <v>380</v>
      </c>
      <c r="C99" s="29"/>
      <c r="D99" s="54"/>
      <c r="E99" s="29" t="s">
        <v>109</v>
      </c>
      <c r="F99" s="29" t="s">
        <v>196</v>
      </c>
      <c r="G99" s="29" t="s">
        <v>74</v>
      </c>
      <c r="H99" s="29">
        <v>33</v>
      </c>
      <c r="I99" s="30">
        <f t="shared" si="225"/>
        <v>4.0303030303030303</v>
      </c>
      <c r="J99" s="29">
        <v>15600</v>
      </c>
      <c r="K99" s="29"/>
      <c r="L99" s="30">
        <f t="shared" si="226"/>
        <v>5148</v>
      </c>
      <c r="M99" s="30">
        <f t="shared" si="227"/>
        <v>20748</v>
      </c>
      <c r="N99" s="55">
        <f>M99-(AY99+'2019'!AY99)</f>
        <v>18748</v>
      </c>
      <c r="O99" s="29"/>
      <c r="P99" s="30">
        <f t="shared" si="228"/>
        <v>0</v>
      </c>
      <c r="Q99" s="30">
        <f t="shared" si="229"/>
        <v>0</v>
      </c>
      <c r="R99" s="29"/>
      <c r="S99" s="30">
        <f t="shared" si="230"/>
        <v>0</v>
      </c>
      <c r="T99" s="134">
        <f t="shared" si="231"/>
        <v>0</v>
      </c>
      <c r="U99" s="135"/>
      <c r="V99" s="136">
        <f t="shared" si="232"/>
        <v>0</v>
      </c>
      <c r="W99" s="137">
        <f t="shared" si="233"/>
        <v>0</v>
      </c>
      <c r="X99" s="138"/>
      <c r="Y99" s="139">
        <f t="shared" si="234"/>
        <v>0</v>
      </c>
      <c r="Z99" s="19">
        <f t="shared" si="235"/>
        <v>0</v>
      </c>
      <c r="AA99" s="29"/>
      <c r="AB99" s="30">
        <f t="shared" si="236"/>
        <v>0</v>
      </c>
      <c r="AC99" s="19">
        <f t="shared" si="237"/>
        <v>0</v>
      </c>
      <c r="AD99" s="29"/>
      <c r="AE99" s="30">
        <f t="shared" si="238"/>
        <v>0</v>
      </c>
      <c r="AF99" s="19">
        <f t="shared" si="239"/>
        <v>0</v>
      </c>
      <c r="AG99" s="29">
        <v>2000</v>
      </c>
      <c r="AH99" s="30">
        <f t="shared" si="240"/>
        <v>1503.7593984962405</v>
      </c>
      <c r="AI99" s="19">
        <f t="shared" si="241"/>
        <v>496.24060150375942</v>
      </c>
      <c r="AJ99" s="29"/>
      <c r="AK99" s="30">
        <f t="shared" si="242"/>
        <v>0</v>
      </c>
      <c r="AL99" s="19">
        <f t="shared" si="243"/>
        <v>0</v>
      </c>
      <c r="AM99" s="29"/>
      <c r="AN99" s="30">
        <f t="shared" si="244"/>
        <v>0</v>
      </c>
      <c r="AO99" s="19">
        <f t="shared" si="245"/>
        <v>0</v>
      </c>
      <c r="AP99" s="29"/>
      <c r="AQ99" s="30">
        <f t="shared" si="246"/>
        <v>0</v>
      </c>
      <c r="AR99" s="19">
        <f t="shared" si="247"/>
        <v>0</v>
      </c>
      <c r="AS99" s="29"/>
      <c r="AT99" s="30">
        <f t="shared" si="248"/>
        <v>0</v>
      </c>
      <c r="AU99" s="19">
        <f t="shared" si="249"/>
        <v>0</v>
      </c>
      <c r="AV99" s="29"/>
      <c r="AW99" s="30">
        <f t="shared" si="250"/>
        <v>0</v>
      </c>
      <c r="AX99" s="19">
        <f t="shared" si="251"/>
        <v>0</v>
      </c>
      <c r="AY99" s="25">
        <f t="shared" si="252"/>
        <v>2000</v>
      </c>
    </row>
    <row r="100" spans="1:51" ht="24">
      <c r="A100" s="45">
        <v>44026</v>
      </c>
      <c r="B100" s="29" t="s">
        <v>383</v>
      </c>
      <c r="C100" s="29"/>
      <c r="D100" s="54"/>
      <c r="E100" s="29" t="s">
        <v>109</v>
      </c>
      <c r="F100" s="29" t="s">
        <v>196</v>
      </c>
      <c r="G100" s="29" t="s">
        <v>89</v>
      </c>
      <c r="H100" s="29">
        <v>33</v>
      </c>
      <c r="I100" s="30">
        <f t="shared" si="225"/>
        <v>4.0303030303030303</v>
      </c>
      <c r="J100" s="29">
        <v>24000</v>
      </c>
      <c r="K100" s="29">
        <v>500</v>
      </c>
      <c r="L100" s="30">
        <f t="shared" si="226"/>
        <v>7920</v>
      </c>
      <c r="M100" s="30">
        <f t="shared" si="227"/>
        <v>31920</v>
      </c>
      <c r="N100" s="55">
        <f>M100-(AY100+'2019'!AY100)</f>
        <v>29420</v>
      </c>
      <c r="O100" s="29"/>
      <c r="P100" s="30">
        <f t="shared" si="228"/>
        <v>0</v>
      </c>
      <c r="Q100" s="30">
        <f t="shared" si="229"/>
        <v>0</v>
      </c>
      <c r="R100" s="29"/>
      <c r="S100" s="30">
        <f t="shared" si="230"/>
        <v>0</v>
      </c>
      <c r="T100" s="134">
        <f t="shared" si="231"/>
        <v>0</v>
      </c>
      <c r="U100" s="135"/>
      <c r="V100" s="136">
        <f t="shared" si="232"/>
        <v>0</v>
      </c>
      <c r="W100" s="137">
        <f t="shared" si="233"/>
        <v>0</v>
      </c>
      <c r="X100" s="138"/>
      <c r="Y100" s="139">
        <f t="shared" si="234"/>
        <v>0</v>
      </c>
      <c r="Z100" s="19">
        <f t="shared" si="235"/>
        <v>0</v>
      </c>
      <c r="AA100" s="29"/>
      <c r="AB100" s="30">
        <f t="shared" si="236"/>
        <v>0</v>
      </c>
      <c r="AC100" s="19">
        <f t="shared" si="237"/>
        <v>0</v>
      </c>
      <c r="AD100" s="29">
        <v>2500</v>
      </c>
      <c r="AE100" s="30">
        <f t="shared" si="238"/>
        <v>1879.6992481203006</v>
      </c>
      <c r="AF100" s="19">
        <f t="shared" si="239"/>
        <v>620.30075187969931</v>
      </c>
      <c r="AG100" s="29"/>
      <c r="AH100" s="30">
        <f t="shared" si="240"/>
        <v>0</v>
      </c>
      <c r="AI100" s="19">
        <f t="shared" si="241"/>
        <v>0</v>
      </c>
      <c r="AJ100" s="29"/>
      <c r="AK100" s="30">
        <f t="shared" si="242"/>
        <v>0</v>
      </c>
      <c r="AL100" s="19">
        <f t="shared" si="243"/>
        <v>0</v>
      </c>
      <c r="AM100" s="29"/>
      <c r="AN100" s="30">
        <f t="shared" si="244"/>
        <v>0</v>
      </c>
      <c r="AO100" s="19">
        <f t="shared" si="245"/>
        <v>0</v>
      </c>
      <c r="AP100" s="29"/>
      <c r="AQ100" s="30">
        <f t="shared" si="246"/>
        <v>0</v>
      </c>
      <c r="AR100" s="19">
        <f t="shared" si="247"/>
        <v>0</v>
      </c>
      <c r="AS100" s="29"/>
      <c r="AT100" s="30">
        <f t="shared" si="248"/>
        <v>0</v>
      </c>
      <c r="AU100" s="19">
        <f t="shared" si="249"/>
        <v>0</v>
      </c>
      <c r="AV100" s="29"/>
      <c r="AW100" s="30">
        <f t="shared" si="250"/>
        <v>0</v>
      </c>
      <c r="AX100" s="19">
        <f t="shared" si="251"/>
        <v>0</v>
      </c>
      <c r="AY100" s="25">
        <f t="shared" si="252"/>
        <v>2500</v>
      </c>
    </row>
    <row r="101" spans="1:51">
      <c r="A101" s="45">
        <v>44029</v>
      </c>
      <c r="B101" s="29" t="s">
        <v>384</v>
      </c>
      <c r="C101" s="29"/>
      <c r="D101" s="54"/>
      <c r="E101" s="29" t="s">
        <v>224</v>
      </c>
      <c r="F101" s="29" t="s">
        <v>385</v>
      </c>
      <c r="G101" s="29" t="s">
        <v>310</v>
      </c>
      <c r="H101" s="29">
        <v>33</v>
      </c>
      <c r="I101" s="30">
        <f t="shared" si="225"/>
        <v>4.0303030303030303</v>
      </c>
      <c r="J101" s="29">
        <v>28000</v>
      </c>
      <c r="K101" s="29"/>
      <c r="L101" s="30">
        <f t="shared" si="226"/>
        <v>9240</v>
      </c>
      <c r="M101" s="30">
        <f t="shared" si="227"/>
        <v>37240</v>
      </c>
      <c r="N101" s="55">
        <f>M101-(AY101+'2019'!AY101)</f>
        <v>37240</v>
      </c>
      <c r="O101" s="29"/>
      <c r="P101" s="30">
        <f t="shared" si="228"/>
        <v>0</v>
      </c>
      <c r="Q101" s="30">
        <f t="shared" si="229"/>
        <v>0</v>
      </c>
      <c r="R101" s="29"/>
      <c r="S101" s="30">
        <f t="shared" si="230"/>
        <v>0</v>
      </c>
      <c r="T101" s="134">
        <f t="shared" si="231"/>
        <v>0</v>
      </c>
      <c r="U101" s="135"/>
      <c r="V101" s="136">
        <f t="shared" si="232"/>
        <v>0</v>
      </c>
      <c r="W101" s="137">
        <f t="shared" si="233"/>
        <v>0</v>
      </c>
      <c r="X101" s="138"/>
      <c r="Y101" s="139">
        <f t="shared" si="234"/>
        <v>0</v>
      </c>
      <c r="Z101" s="19">
        <f t="shared" si="235"/>
        <v>0</v>
      </c>
      <c r="AA101" s="29"/>
      <c r="AB101" s="30">
        <f t="shared" si="236"/>
        <v>0</v>
      </c>
      <c r="AC101" s="19">
        <f t="shared" si="237"/>
        <v>0</v>
      </c>
      <c r="AD101" s="29"/>
      <c r="AE101" s="30">
        <f t="shared" si="238"/>
        <v>0</v>
      </c>
      <c r="AF101" s="19">
        <f t="shared" si="239"/>
        <v>0</v>
      </c>
      <c r="AG101" s="29"/>
      <c r="AH101" s="30">
        <f t="shared" si="240"/>
        <v>0</v>
      </c>
      <c r="AI101" s="19">
        <f t="shared" si="241"/>
        <v>0</v>
      </c>
      <c r="AJ101" s="29"/>
      <c r="AK101" s="30">
        <f t="shared" si="242"/>
        <v>0</v>
      </c>
      <c r="AL101" s="19">
        <f t="shared" si="243"/>
        <v>0</v>
      </c>
      <c r="AM101" s="29"/>
      <c r="AN101" s="30">
        <f t="shared" si="244"/>
        <v>0</v>
      </c>
      <c r="AO101" s="19">
        <f t="shared" si="245"/>
        <v>0</v>
      </c>
      <c r="AP101" s="29"/>
      <c r="AQ101" s="30">
        <f t="shared" si="246"/>
        <v>0</v>
      </c>
      <c r="AR101" s="19">
        <f t="shared" si="247"/>
        <v>0</v>
      </c>
      <c r="AS101" s="29"/>
      <c r="AT101" s="30">
        <f t="shared" si="248"/>
        <v>0</v>
      </c>
      <c r="AU101" s="19">
        <f t="shared" si="249"/>
        <v>0</v>
      </c>
      <c r="AV101" s="29"/>
      <c r="AW101" s="30">
        <f t="shared" si="250"/>
        <v>0</v>
      </c>
      <c r="AX101" s="19">
        <f t="shared" si="251"/>
        <v>0</v>
      </c>
      <c r="AY101" s="25">
        <f t="shared" si="252"/>
        <v>0</v>
      </c>
    </row>
    <row r="102" spans="1:51">
      <c r="A102" s="45">
        <v>44029</v>
      </c>
      <c r="B102" s="29" t="s">
        <v>386</v>
      </c>
      <c r="C102" s="29"/>
      <c r="D102" s="54"/>
      <c r="E102" s="29" t="s">
        <v>109</v>
      </c>
      <c r="F102" s="29" t="s">
        <v>387</v>
      </c>
      <c r="G102" s="29" t="s">
        <v>310</v>
      </c>
      <c r="H102" s="29">
        <v>33</v>
      </c>
      <c r="I102" s="30">
        <f t="shared" ref="I102:I107" si="253">IFERROR(M102/L102,"0")</f>
        <v>4.0303030303030303</v>
      </c>
      <c r="J102" s="29">
        <v>41000</v>
      </c>
      <c r="K102" s="29"/>
      <c r="L102" s="30">
        <f t="shared" ref="L102:L107" si="254">H102/100*J102</f>
        <v>13530</v>
      </c>
      <c r="M102" s="30">
        <f t="shared" ref="M102:M107" si="255">J102+L102</f>
        <v>54530</v>
      </c>
      <c r="N102" s="55">
        <f>M102-(AY102+'2019'!AY102)</f>
        <v>50530</v>
      </c>
      <c r="O102" s="29"/>
      <c r="P102" s="30">
        <f t="shared" ref="P102:P107" si="256">IFERROR(O102-Q102,"0")</f>
        <v>0</v>
      </c>
      <c r="Q102" s="30">
        <f t="shared" ref="Q102:Q107" si="257">IFERROR(O102/I102,"0")</f>
        <v>0</v>
      </c>
      <c r="R102" s="29"/>
      <c r="S102" s="30">
        <f t="shared" ref="S102:S107" si="258">IFERROR(R102-T102,"0")</f>
        <v>0</v>
      </c>
      <c r="T102" s="134">
        <f t="shared" ref="T102:T107" si="259">IFERROR(R102/I102,"0")</f>
        <v>0</v>
      </c>
      <c r="U102" s="135"/>
      <c r="V102" s="136">
        <f t="shared" ref="V102:V107" si="260">IFERROR(U102-W102,"0")</f>
        <v>0</v>
      </c>
      <c r="W102" s="137">
        <f t="shared" ref="W102:W107" si="261">IFERROR(U102/I102,"0")</f>
        <v>0</v>
      </c>
      <c r="X102" s="138"/>
      <c r="Y102" s="139">
        <f t="shared" ref="Y102:Y107" si="262">IFERROR(X102-Z102,"0")</f>
        <v>0</v>
      </c>
      <c r="Z102" s="19">
        <f t="shared" ref="Z102:Z107" si="263">IFERROR(X102/I102,"0")</f>
        <v>0</v>
      </c>
      <c r="AA102" s="29"/>
      <c r="AB102" s="30">
        <f t="shared" ref="AB102:AB107" si="264">IFERROR(AA102-AC102,"0")</f>
        <v>0</v>
      </c>
      <c r="AC102" s="19">
        <f t="shared" ref="AC102:AC107" si="265">IFERROR(AA102/I102,"0")</f>
        <v>0</v>
      </c>
      <c r="AD102" s="29"/>
      <c r="AE102" s="30">
        <f t="shared" ref="AE102:AE107" si="266">IFERROR(AD102-AF102,"0")</f>
        <v>0</v>
      </c>
      <c r="AF102" s="19">
        <f t="shared" ref="AF102:AF107" si="267">IFERROR(AD102/I102,"0")</f>
        <v>0</v>
      </c>
      <c r="AG102" s="29">
        <v>4000</v>
      </c>
      <c r="AH102" s="30">
        <f t="shared" ref="AH102:AH107" si="268">IFERROR(AG102-AI102,"0")</f>
        <v>3007.5187969924809</v>
      </c>
      <c r="AI102" s="19">
        <f t="shared" ref="AI102:AI107" si="269">IFERROR(AG102/I102,"0")</f>
        <v>992.48120300751884</v>
      </c>
      <c r="AJ102" s="29"/>
      <c r="AK102" s="30">
        <f t="shared" ref="AK102:AK107" si="270">IFERROR(AJ102-AL102,"0")</f>
        <v>0</v>
      </c>
      <c r="AL102" s="19">
        <f t="shared" ref="AL102:AL107" si="271">IFERROR(AJ102/I102,"0")</f>
        <v>0</v>
      </c>
      <c r="AM102" s="29"/>
      <c r="AN102" s="30">
        <f t="shared" ref="AN102:AN107" si="272">IFERROR(AM102-AO102,"0")</f>
        <v>0</v>
      </c>
      <c r="AO102" s="19">
        <f t="shared" ref="AO102:AO107" si="273">IFERROR(AM102/I102,"0")</f>
        <v>0</v>
      </c>
      <c r="AP102" s="29"/>
      <c r="AQ102" s="30">
        <f t="shared" ref="AQ102:AQ107" si="274">IFERROR(AP102-AR102,"0")</f>
        <v>0</v>
      </c>
      <c r="AR102" s="19">
        <f t="shared" ref="AR102:AR107" si="275">IFERROR(AP102/I102,"0")</f>
        <v>0</v>
      </c>
      <c r="AS102" s="29"/>
      <c r="AT102" s="30">
        <f t="shared" ref="AT102:AT107" si="276">IFERROR(AS102-AU102,"0")</f>
        <v>0</v>
      </c>
      <c r="AU102" s="19">
        <f t="shared" ref="AU102:AU107" si="277">IFERROR(AS102/I102,"0")</f>
        <v>0</v>
      </c>
      <c r="AV102" s="29"/>
      <c r="AW102" s="30">
        <f t="shared" ref="AW102:AW107" si="278">IFERROR(AV102-AX102,"0")</f>
        <v>0</v>
      </c>
      <c r="AX102" s="19">
        <f t="shared" ref="AX102:AX107" si="279">IFERROR(AV102/I102,"0")</f>
        <v>0</v>
      </c>
      <c r="AY102" s="25">
        <f t="shared" ref="AY102:AY107" si="280">O102+R102+U102+X102+AA102+AD102+AG102+AJ102+AM102+AP102+AS102+AV102</f>
        <v>4000</v>
      </c>
    </row>
    <row r="103" spans="1:51">
      <c r="A103" s="45">
        <v>44029</v>
      </c>
      <c r="B103" s="29" t="s">
        <v>393</v>
      </c>
      <c r="C103" s="29"/>
      <c r="D103" s="54"/>
      <c r="E103" s="29" t="s">
        <v>109</v>
      </c>
      <c r="F103" s="29" t="s">
        <v>388</v>
      </c>
      <c r="G103" s="29" t="s">
        <v>310</v>
      </c>
      <c r="H103" s="29">
        <v>33</v>
      </c>
      <c r="I103" s="30">
        <f t="shared" si="253"/>
        <v>4.0303030303030303</v>
      </c>
      <c r="J103" s="29">
        <v>100000</v>
      </c>
      <c r="K103" s="29"/>
      <c r="L103" s="30">
        <f t="shared" si="254"/>
        <v>33000</v>
      </c>
      <c r="M103" s="30">
        <f t="shared" si="255"/>
        <v>133000</v>
      </c>
      <c r="N103" s="55">
        <f>M103-(AY103+'2019'!AY103)</f>
        <v>128000</v>
      </c>
      <c r="O103" s="29"/>
      <c r="P103" s="30">
        <f t="shared" si="256"/>
        <v>0</v>
      </c>
      <c r="Q103" s="30">
        <f t="shared" si="257"/>
        <v>0</v>
      </c>
      <c r="R103" s="29"/>
      <c r="S103" s="30">
        <f t="shared" si="258"/>
        <v>0</v>
      </c>
      <c r="T103" s="134">
        <f t="shared" si="259"/>
        <v>0</v>
      </c>
      <c r="U103" s="135"/>
      <c r="V103" s="136">
        <f t="shared" si="260"/>
        <v>0</v>
      </c>
      <c r="W103" s="137">
        <f t="shared" si="261"/>
        <v>0</v>
      </c>
      <c r="X103" s="138"/>
      <c r="Y103" s="139">
        <f t="shared" si="262"/>
        <v>0</v>
      </c>
      <c r="Z103" s="19">
        <f t="shared" si="263"/>
        <v>0</v>
      </c>
      <c r="AA103" s="29"/>
      <c r="AB103" s="30">
        <f t="shared" si="264"/>
        <v>0</v>
      </c>
      <c r="AC103" s="19">
        <f t="shared" si="265"/>
        <v>0</v>
      </c>
      <c r="AD103" s="29"/>
      <c r="AE103" s="30">
        <f t="shared" si="266"/>
        <v>0</v>
      </c>
      <c r="AF103" s="19">
        <f t="shared" si="267"/>
        <v>0</v>
      </c>
      <c r="AG103" s="29">
        <v>5000</v>
      </c>
      <c r="AH103" s="30">
        <f t="shared" si="268"/>
        <v>3759.3984962406012</v>
      </c>
      <c r="AI103" s="19">
        <f t="shared" si="269"/>
        <v>1240.6015037593986</v>
      </c>
      <c r="AJ103" s="29"/>
      <c r="AK103" s="30">
        <f t="shared" si="270"/>
        <v>0</v>
      </c>
      <c r="AL103" s="19">
        <f t="shared" si="271"/>
        <v>0</v>
      </c>
      <c r="AM103" s="29"/>
      <c r="AN103" s="30">
        <f t="shared" si="272"/>
        <v>0</v>
      </c>
      <c r="AO103" s="19">
        <f t="shared" si="273"/>
        <v>0</v>
      </c>
      <c r="AP103" s="29"/>
      <c r="AQ103" s="30">
        <f t="shared" si="274"/>
        <v>0</v>
      </c>
      <c r="AR103" s="19">
        <f t="shared" si="275"/>
        <v>0</v>
      </c>
      <c r="AS103" s="29"/>
      <c r="AT103" s="30">
        <f t="shared" si="276"/>
        <v>0</v>
      </c>
      <c r="AU103" s="19">
        <f t="shared" si="277"/>
        <v>0</v>
      </c>
      <c r="AV103" s="29"/>
      <c r="AW103" s="30">
        <f t="shared" si="278"/>
        <v>0</v>
      </c>
      <c r="AX103" s="19">
        <f t="shared" si="279"/>
        <v>0</v>
      </c>
      <c r="AY103" s="25">
        <f t="shared" si="280"/>
        <v>5000</v>
      </c>
    </row>
    <row r="104" spans="1:51">
      <c r="A104" s="45">
        <v>44029</v>
      </c>
      <c r="B104" s="29" t="s">
        <v>124</v>
      </c>
      <c r="C104" s="29"/>
      <c r="D104" s="54"/>
      <c r="E104" s="29" t="s">
        <v>109</v>
      </c>
      <c r="F104" s="29" t="s">
        <v>155</v>
      </c>
      <c r="G104" s="29" t="s">
        <v>310</v>
      </c>
      <c r="H104" s="29">
        <v>30</v>
      </c>
      <c r="I104" s="30">
        <f t="shared" si="253"/>
        <v>4.333333333333333</v>
      </c>
      <c r="J104" s="29">
        <v>39000</v>
      </c>
      <c r="K104" s="29"/>
      <c r="L104" s="30">
        <f t="shared" si="254"/>
        <v>11700</v>
      </c>
      <c r="M104" s="30">
        <f t="shared" si="255"/>
        <v>50700</v>
      </c>
      <c r="N104" s="55">
        <f>M104-(AY104+'2019'!AY104)</f>
        <v>50700</v>
      </c>
      <c r="O104" s="29"/>
      <c r="P104" s="30">
        <f t="shared" si="256"/>
        <v>0</v>
      </c>
      <c r="Q104" s="30">
        <f t="shared" si="257"/>
        <v>0</v>
      </c>
      <c r="R104" s="29"/>
      <c r="S104" s="30">
        <f t="shared" si="258"/>
        <v>0</v>
      </c>
      <c r="T104" s="134">
        <f t="shared" si="259"/>
        <v>0</v>
      </c>
      <c r="U104" s="135"/>
      <c r="V104" s="136">
        <f t="shared" si="260"/>
        <v>0</v>
      </c>
      <c r="W104" s="137">
        <f t="shared" si="261"/>
        <v>0</v>
      </c>
      <c r="X104" s="138"/>
      <c r="Y104" s="139">
        <f t="shared" si="262"/>
        <v>0</v>
      </c>
      <c r="Z104" s="19">
        <f t="shared" si="263"/>
        <v>0</v>
      </c>
      <c r="AA104" s="29"/>
      <c r="AB104" s="30">
        <f t="shared" si="264"/>
        <v>0</v>
      </c>
      <c r="AC104" s="19">
        <f t="shared" si="265"/>
        <v>0</v>
      </c>
      <c r="AD104" s="29"/>
      <c r="AE104" s="30">
        <f t="shared" si="266"/>
        <v>0</v>
      </c>
      <c r="AF104" s="19">
        <f t="shared" si="267"/>
        <v>0</v>
      </c>
      <c r="AG104" s="29"/>
      <c r="AH104" s="30">
        <f t="shared" si="268"/>
        <v>0</v>
      </c>
      <c r="AI104" s="19">
        <f t="shared" si="269"/>
        <v>0</v>
      </c>
      <c r="AJ104" s="29"/>
      <c r="AK104" s="30">
        <f t="shared" si="270"/>
        <v>0</v>
      </c>
      <c r="AL104" s="19">
        <f t="shared" si="271"/>
        <v>0</v>
      </c>
      <c r="AM104" s="29"/>
      <c r="AN104" s="30">
        <f t="shared" si="272"/>
        <v>0</v>
      </c>
      <c r="AO104" s="19">
        <f t="shared" si="273"/>
        <v>0</v>
      </c>
      <c r="AP104" s="29"/>
      <c r="AQ104" s="30">
        <f t="shared" si="274"/>
        <v>0</v>
      </c>
      <c r="AR104" s="19">
        <f t="shared" si="275"/>
        <v>0</v>
      </c>
      <c r="AS104" s="29"/>
      <c r="AT104" s="30">
        <f t="shared" si="276"/>
        <v>0</v>
      </c>
      <c r="AU104" s="19">
        <f t="shared" si="277"/>
        <v>0</v>
      </c>
      <c r="AV104" s="29"/>
      <c r="AW104" s="30">
        <f t="shared" si="278"/>
        <v>0</v>
      </c>
      <c r="AX104" s="19">
        <f t="shared" si="279"/>
        <v>0</v>
      </c>
      <c r="AY104" s="25">
        <f t="shared" si="280"/>
        <v>0</v>
      </c>
    </row>
    <row r="105" spans="1:51">
      <c r="A105" s="45">
        <v>44034</v>
      </c>
      <c r="B105" s="29" t="s">
        <v>389</v>
      </c>
      <c r="C105" s="29"/>
      <c r="D105" s="54"/>
      <c r="E105" s="29" t="s">
        <v>106</v>
      </c>
      <c r="F105" s="29" t="s">
        <v>390</v>
      </c>
      <c r="G105" s="29" t="s">
        <v>310</v>
      </c>
      <c r="H105" s="29">
        <v>30</v>
      </c>
      <c r="I105" s="30">
        <f t="shared" si="253"/>
        <v>4.333333333333333</v>
      </c>
      <c r="J105" s="29">
        <v>26000</v>
      </c>
      <c r="K105" s="29"/>
      <c r="L105" s="30">
        <f t="shared" si="254"/>
        <v>7800</v>
      </c>
      <c r="M105" s="30">
        <f t="shared" si="255"/>
        <v>33800</v>
      </c>
      <c r="N105" s="55">
        <f>M105-(AY105+'2019'!AY105)</f>
        <v>31800</v>
      </c>
      <c r="O105" s="29"/>
      <c r="P105" s="30">
        <f t="shared" si="256"/>
        <v>0</v>
      </c>
      <c r="Q105" s="30">
        <f t="shared" si="257"/>
        <v>0</v>
      </c>
      <c r="R105" s="29"/>
      <c r="S105" s="30">
        <f t="shared" si="258"/>
        <v>0</v>
      </c>
      <c r="T105" s="134">
        <f t="shared" si="259"/>
        <v>0</v>
      </c>
      <c r="U105" s="135"/>
      <c r="V105" s="136">
        <f t="shared" si="260"/>
        <v>0</v>
      </c>
      <c r="W105" s="137">
        <f t="shared" si="261"/>
        <v>0</v>
      </c>
      <c r="X105" s="138"/>
      <c r="Y105" s="139">
        <f t="shared" si="262"/>
        <v>0</v>
      </c>
      <c r="Z105" s="19">
        <f t="shared" si="263"/>
        <v>0</v>
      </c>
      <c r="AA105" s="29"/>
      <c r="AB105" s="30">
        <f t="shared" si="264"/>
        <v>0</v>
      </c>
      <c r="AC105" s="19">
        <f t="shared" si="265"/>
        <v>0</v>
      </c>
      <c r="AD105" s="29"/>
      <c r="AE105" s="30">
        <f t="shared" si="266"/>
        <v>0</v>
      </c>
      <c r="AF105" s="19">
        <f t="shared" si="267"/>
        <v>0</v>
      </c>
      <c r="AG105" s="29">
        <v>2000</v>
      </c>
      <c r="AH105" s="30">
        <f t="shared" si="268"/>
        <v>1538.4615384615386</v>
      </c>
      <c r="AI105" s="19">
        <f t="shared" si="269"/>
        <v>461.53846153846155</v>
      </c>
      <c r="AJ105" s="29"/>
      <c r="AK105" s="30">
        <f t="shared" si="270"/>
        <v>0</v>
      </c>
      <c r="AL105" s="19">
        <f t="shared" si="271"/>
        <v>0</v>
      </c>
      <c r="AM105" s="29"/>
      <c r="AN105" s="30">
        <f t="shared" si="272"/>
        <v>0</v>
      </c>
      <c r="AO105" s="19">
        <f t="shared" si="273"/>
        <v>0</v>
      </c>
      <c r="AP105" s="29"/>
      <c r="AQ105" s="30">
        <f t="shared" si="274"/>
        <v>0</v>
      </c>
      <c r="AR105" s="19">
        <f t="shared" si="275"/>
        <v>0</v>
      </c>
      <c r="AS105" s="29"/>
      <c r="AT105" s="30">
        <f t="shared" si="276"/>
        <v>0</v>
      </c>
      <c r="AU105" s="19">
        <f t="shared" si="277"/>
        <v>0</v>
      </c>
      <c r="AV105" s="29"/>
      <c r="AW105" s="30">
        <f t="shared" si="278"/>
        <v>0</v>
      </c>
      <c r="AX105" s="19">
        <f t="shared" si="279"/>
        <v>0</v>
      </c>
      <c r="AY105" s="25">
        <f t="shared" si="280"/>
        <v>2000</v>
      </c>
    </row>
    <row r="106" spans="1:51">
      <c r="A106" s="45">
        <v>44034</v>
      </c>
      <c r="B106" s="29" t="s">
        <v>392</v>
      </c>
      <c r="C106" s="29"/>
      <c r="D106" s="54"/>
      <c r="E106" s="29"/>
      <c r="F106" s="29"/>
      <c r="G106" s="29" t="s">
        <v>310</v>
      </c>
      <c r="H106" s="29">
        <v>33</v>
      </c>
      <c r="I106" s="30">
        <f t="shared" si="253"/>
        <v>4.0303030303030303</v>
      </c>
      <c r="J106" s="29">
        <v>18500</v>
      </c>
      <c r="K106" s="29"/>
      <c r="L106" s="30">
        <f t="shared" si="254"/>
        <v>6105</v>
      </c>
      <c r="M106" s="30">
        <f t="shared" si="255"/>
        <v>24605</v>
      </c>
      <c r="N106" s="55">
        <f>M106-(AY106+'2019'!AY106)</f>
        <v>24605</v>
      </c>
      <c r="O106" s="29"/>
      <c r="P106" s="30">
        <f t="shared" si="256"/>
        <v>0</v>
      </c>
      <c r="Q106" s="30">
        <f t="shared" si="257"/>
        <v>0</v>
      </c>
      <c r="R106" s="29"/>
      <c r="S106" s="30">
        <f t="shared" si="258"/>
        <v>0</v>
      </c>
      <c r="T106" s="134">
        <f t="shared" si="259"/>
        <v>0</v>
      </c>
      <c r="U106" s="135"/>
      <c r="V106" s="136">
        <f t="shared" si="260"/>
        <v>0</v>
      </c>
      <c r="W106" s="137">
        <f t="shared" si="261"/>
        <v>0</v>
      </c>
      <c r="X106" s="138"/>
      <c r="Y106" s="139">
        <f t="shared" si="262"/>
        <v>0</v>
      </c>
      <c r="Z106" s="19">
        <f t="shared" si="263"/>
        <v>0</v>
      </c>
      <c r="AA106" s="29"/>
      <c r="AB106" s="30">
        <f t="shared" si="264"/>
        <v>0</v>
      </c>
      <c r="AC106" s="19">
        <f t="shared" si="265"/>
        <v>0</v>
      </c>
      <c r="AD106" s="29"/>
      <c r="AE106" s="30">
        <f t="shared" si="266"/>
        <v>0</v>
      </c>
      <c r="AF106" s="19">
        <f t="shared" si="267"/>
        <v>0</v>
      </c>
      <c r="AG106" s="29"/>
      <c r="AH106" s="30">
        <f t="shared" si="268"/>
        <v>0</v>
      </c>
      <c r="AI106" s="19">
        <f t="shared" si="269"/>
        <v>0</v>
      </c>
      <c r="AJ106" s="29"/>
      <c r="AK106" s="30">
        <f t="shared" si="270"/>
        <v>0</v>
      </c>
      <c r="AL106" s="19">
        <f t="shared" si="271"/>
        <v>0</v>
      </c>
      <c r="AM106" s="29"/>
      <c r="AN106" s="30">
        <f t="shared" si="272"/>
        <v>0</v>
      </c>
      <c r="AO106" s="19">
        <f t="shared" si="273"/>
        <v>0</v>
      </c>
      <c r="AP106" s="29"/>
      <c r="AQ106" s="30">
        <f t="shared" si="274"/>
        <v>0</v>
      </c>
      <c r="AR106" s="19">
        <f t="shared" si="275"/>
        <v>0</v>
      </c>
      <c r="AS106" s="29"/>
      <c r="AT106" s="30">
        <f t="shared" si="276"/>
        <v>0</v>
      </c>
      <c r="AU106" s="19">
        <f t="shared" si="277"/>
        <v>0</v>
      </c>
      <c r="AV106" s="29"/>
      <c r="AW106" s="30">
        <f t="shared" si="278"/>
        <v>0</v>
      </c>
      <c r="AX106" s="19">
        <f t="shared" si="279"/>
        <v>0</v>
      </c>
      <c r="AY106" s="25">
        <f t="shared" si="280"/>
        <v>0</v>
      </c>
    </row>
    <row r="107" spans="1:51" ht="24">
      <c r="A107" s="45">
        <v>44041</v>
      </c>
      <c r="B107" s="29" t="s">
        <v>394</v>
      </c>
      <c r="C107" s="29"/>
      <c r="D107" s="54"/>
      <c r="E107" s="29" t="s">
        <v>106</v>
      </c>
      <c r="F107" s="29" t="s">
        <v>395</v>
      </c>
      <c r="G107" s="29" t="s">
        <v>74</v>
      </c>
      <c r="H107" s="29">
        <v>30</v>
      </c>
      <c r="I107" s="30">
        <f t="shared" si="253"/>
        <v>4.333333333333333</v>
      </c>
      <c r="J107" s="29">
        <v>16000</v>
      </c>
      <c r="K107" s="29"/>
      <c r="L107" s="30">
        <f t="shared" si="254"/>
        <v>4800</v>
      </c>
      <c r="M107" s="30">
        <f t="shared" si="255"/>
        <v>20800</v>
      </c>
      <c r="N107" s="55">
        <f>M107-(AY107+'2019'!AY107)</f>
        <v>18800</v>
      </c>
      <c r="O107" s="29"/>
      <c r="P107" s="30">
        <f t="shared" si="256"/>
        <v>0</v>
      </c>
      <c r="Q107" s="30">
        <f t="shared" si="257"/>
        <v>0</v>
      </c>
      <c r="R107" s="29"/>
      <c r="S107" s="30">
        <f t="shared" si="258"/>
        <v>0</v>
      </c>
      <c r="T107" s="134">
        <f t="shared" si="259"/>
        <v>0</v>
      </c>
      <c r="U107" s="135"/>
      <c r="V107" s="136">
        <f t="shared" si="260"/>
        <v>0</v>
      </c>
      <c r="W107" s="137">
        <f t="shared" si="261"/>
        <v>0</v>
      </c>
      <c r="X107" s="138"/>
      <c r="Y107" s="139">
        <f t="shared" si="262"/>
        <v>0</v>
      </c>
      <c r="Z107" s="19">
        <f t="shared" si="263"/>
        <v>0</v>
      </c>
      <c r="AA107" s="29"/>
      <c r="AB107" s="30">
        <f t="shared" si="264"/>
        <v>0</v>
      </c>
      <c r="AC107" s="19">
        <f t="shared" si="265"/>
        <v>0</v>
      </c>
      <c r="AD107" s="29"/>
      <c r="AE107" s="30">
        <f t="shared" si="266"/>
        <v>0</v>
      </c>
      <c r="AF107" s="19">
        <f t="shared" si="267"/>
        <v>0</v>
      </c>
      <c r="AG107" s="29">
        <v>2000</v>
      </c>
      <c r="AH107" s="30">
        <f t="shared" si="268"/>
        <v>1538.4615384615386</v>
      </c>
      <c r="AI107" s="19">
        <f t="shared" si="269"/>
        <v>461.53846153846155</v>
      </c>
      <c r="AJ107" s="29"/>
      <c r="AK107" s="30">
        <f t="shared" si="270"/>
        <v>0</v>
      </c>
      <c r="AL107" s="19">
        <f t="shared" si="271"/>
        <v>0</v>
      </c>
      <c r="AM107" s="29"/>
      <c r="AN107" s="30">
        <f t="shared" si="272"/>
        <v>0</v>
      </c>
      <c r="AO107" s="19">
        <f t="shared" si="273"/>
        <v>0</v>
      </c>
      <c r="AP107" s="29"/>
      <c r="AQ107" s="30">
        <f t="shared" si="274"/>
        <v>0</v>
      </c>
      <c r="AR107" s="19">
        <f t="shared" si="275"/>
        <v>0</v>
      </c>
      <c r="AS107" s="29"/>
      <c r="AT107" s="30">
        <f t="shared" si="276"/>
        <v>0</v>
      </c>
      <c r="AU107" s="19">
        <f t="shared" si="277"/>
        <v>0</v>
      </c>
      <c r="AV107" s="29"/>
      <c r="AW107" s="30">
        <f t="shared" si="278"/>
        <v>0</v>
      </c>
      <c r="AX107" s="19">
        <f t="shared" si="279"/>
        <v>0</v>
      </c>
      <c r="AY107" s="25">
        <f t="shared" si="280"/>
        <v>2000</v>
      </c>
    </row>
    <row r="108" spans="1:51" ht="24">
      <c r="A108" s="45">
        <v>44046</v>
      </c>
      <c r="B108" s="29" t="s">
        <v>396</v>
      </c>
      <c r="C108" s="29"/>
      <c r="D108" s="54"/>
      <c r="E108" s="29" t="s">
        <v>109</v>
      </c>
      <c r="F108" s="29" t="s">
        <v>155</v>
      </c>
      <c r="G108" s="29" t="s">
        <v>89</v>
      </c>
      <c r="H108" s="29">
        <v>30</v>
      </c>
      <c r="I108" s="30">
        <f t="shared" ref="I108:I116" si="281">IFERROR(M108/L108,"0")</f>
        <v>4.333333333333333</v>
      </c>
      <c r="J108" s="29">
        <v>48000</v>
      </c>
      <c r="K108" s="29"/>
      <c r="L108" s="30">
        <f t="shared" ref="L108:L116" si="282">H108/100*J108</f>
        <v>14400</v>
      </c>
      <c r="M108" s="30">
        <f t="shared" ref="M108:M116" si="283">J108+L108</f>
        <v>62400</v>
      </c>
      <c r="N108" s="55">
        <f>M108-(AY108+'2019'!AY108)</f>
        <v>62400</v>
      </c>
      <c r="O108" s="29"/>
      <c r="P108" s="30">
        <f t="shared" ref="P108:P116" si="284">IFERROR(O108-Q108,"0")</f>
        <v>0</v>
      </c>
      <c r="Q108" s="30">
        <f t="shared" ref="Q108:Q116" si="285">IFERROR(O108/I108,"0")</f>
        <v>0</v>
      </c>
      <c r="R108" s="29"/>
      <c r="S108" s="30">
        <f t="shared" ref="S108:S116" si="286">IFERROR(R108-T108,"0")</f>
        <v>0</v>
      </c>
      <c r="T108" s="134">
        <f t="shared" ref="T108:T116" si="287">IFERROR(R108/I108,"0")</f>
        <v>0</v>
      </c>
      <c r="U108" s="135"/>
      <c r="V108" s="136">
        <f t="shared" ref="V108:V116" si="288">IFERROR(U108-W108,"0")</f>
        <v>0</v>
      </c>
      <c r="W108" s="137">
        <f t="shared" ref="W108:W116" si="289">IFERROR(U108/I108,"0")</f>
        <v>0</v>
      </c>
      <c r="X108" s="138"/>
      <c r="Y108" s="139">
        <f t="shared" ref="Y108:Y116" si="290">IFERROR(X108-Z108,"0")</f>
        <v>0</v>
      </c>
      <c r="Z108" s="19">
        <f t="shared" ref="Z108:Z116" si="291">IFERROR(X108/I108,"0")</f>
        <v>0</v>
      </c>
      <c r="AA108" s="29"/>
      <c r="AB108" s="30">
        <f t="shared" ref="AB108:AB116" si="292">IFERROR(AA108-AC108,"0")</f>
        <v>0</v>
      </c>
      <c r="AC108" s="19">
        <f t="shared" ref="AC108:AC116" si="293">IFERROR(AA108/I108,"0")</f>
        <v>0</v>
      </c>
      <c r="AD108" s="29"/>
      <c r="AE108" s="30">
        <f t="shared" ref="AE108:AE116" si="294">IFERROR(AD108-AF108,"0")</f>
        <v>0</v>
      </c>
      <c r="AF108" s="19">
        <f t="shared" ref="AF108:AF116" si="295">IFERROR(AD108/I108,"0")</f>
        <v>0</v>
      </c>
      <c r="AG108" s="29"/>
      <c r="AH108" s="30">
        <f t="shared" ref="AH108:AH116" si="296">IFERROR(AG108-AI108,"0")</f>
        <v>0</v>
      </c>
      <c r="AI108" s="19">
        <f t="shared" ref="AI108:AI116" si="297">IFERROR(AG108/I108,"0")</f>
        <v>0</v>
      </c>
      <c r="AJ108" s="29"/>
      <c r="AK108" s="30">
        <f t="shared" ref="AK108:AK116" si="298">IFERROR(AJ108-AL108,"0")</f>
        <v>0</v>
      </c>
      <c r="AL108" s="19">
        <f t="shared" ref="AL108:AL116" si="299">IFERROR(AJ108/I108,"0")</f>
        <v>0</v>
      </c>
      <c r="AM108" s="29"/>
      <c r="AN108" s="30">
        <f t="shared" ref="AN108:AN116" si="300">IFERROR(AM108-AO108,"0")</f>
        <v>0</v>
      </c>
      <c r="AO108" s="19">
        <f t="shared" ref="AO108:AO116" si="301">IFERROR(AM108/I108,"0")</f>
        <v>0</v>
      </c>
      <c r="AP108" s="29"/>
      <c r="AQ108" s="30">
        <f t="shared" ref="AQ108:AQ116" si="302">IFERROR(AP108-AR108,"0")</f>
        <v>0</v>
      </c>
      <c r="AR108" s="19">
        <f t="shared" ref="AR108:AR116" si="303">IFERROR(AP108/I108,"0")</f>
        <v>0</v>
      </c>
      <c r="AS108" s="29"/>
      <c r="AT108" s="30">
        <f t="shared" ref="AT108:AT116" si="304">IFERROR(AS108-AU108,"0")</f>
        <v>0</v>
      </c>
      <c r="AU108" s="19">
        <f t="shared" ref="AU108:AU116" si="305">IFERROR(AS108/I108,"0")</f>
        <v>0</v>
      </c>
      <c r="AV108" s="29"/>
      <c r="AW108" s="30">
        <f t="shared" ref="AW108:AW116" si="306">IFERROR(AV108-AX108,"0")</f>
        <v>0</v>
      </c>
      <c r="AX108" s="19">
        <f t="shared" ref="AX108:AX116" si="307">IFERROR(AV108/I108,"0")</f>
        <v>0</v>
      </c>
      <c r="AY108" s="25">
        <f t="shared" ref="AY108:AY116" si="308">O108+R108+U108+X108+AA108+AD108+AG108+AJ108+AM108+AP108+AS108+AV108</f>
        <v>0</v>
      </c>
    </row>
    <row r="109" spans="1:51" ht="24">
      <c r="A109" s="45">
        <v>44048</v>
      </c>
      <c r="B109" s="29" t="s">
        <v>398</v>
      </c>
      <c r="C109" s="29"/>
      <c r="D109" s="54"/>
      <c r="E109" s="29" t="s">
        <v>109</v>
      </c>
      <c r="F109" s="29" t="s">
        <v>196</v>
      </c>
      <c r="G109" s="29" t="s">
        <v>89</v>
      </c>
      <c r="H109" s="29">
        <v>30</v>
      </c>
      <c r="I109" s="30">
        <f t="shared" si="281"/>
        <v>4.333333333333333</v>
      </c>
      <c r="J109" s="29">
        <v>15600</v>
      </c>
      <c r="K109" s="29"/>
      <c r="L109" s="30">
        <f t="shared" si="282"/>
        <v>4680</v>
      </c>
      <c r="M109" s="30">
        <f t="shared" si="283"/>
        <v>20280</v>
      </c>
      <c r="N109" s="55">
        <f>M109-(AY109+'2019'!AY109)</f>
        <v>18780</v>
      </c>
      <c r="O109" s="29"/>
      <c r="P109" s="30">
        <f t="shared" si="284"/>
        <v>0</v>
      </c>
      <c r="Q109" s="30">
        <f t="shared" si="285"/>
        <v>0</v>
      </c>
      <c r="R109" s="29"/>
      <c r="S109" s="30">
        <f t="shared" si="286"/>
        <v>0</v>
      </c>
      <c r="T109" s="134">
        <f t="shared" si="287"/>
        <v>0</v>
      </c>
      <c r="U109" s="135"/>
      <c r="V109" s="136">
        <f t="shared" si="288"/>
        <v>0</v>
      </c>
      <c r="W109" s="137">
        <f t="shared" si="289"/>
        <v>0</v>
      </c>
      <c r="X109" s="138"/>
      <c r="Y109" s="139">
        <f t="shared" si="290"/>
        <v>0</v>
      </c>
      <c r="Z109" s="19">
        <f t="shared" si="291"/>
        <v>0</v>
      </c>
      <c r="AA109" s="29"/>
      <c r="AB109" s="30">
        <f t="shared" si="292"/>
        <v>0</v>
      </c>
      <c r="AC109" s="19">
        <f t="shared" si="293"/>
        <v>0</v>
      </c>
      <c r="AD109" s="29"/>
      <c r="AE109" s="30">
        <f t="shared" si="294"/>
        <v>0</v>
      </c>
      <c r="AF109" s="19">
        <f t="shared" si="295"/>
        <v>0</v>
      </c>
      <c r="AG109" s="29">
        <v>1500</v>
      </c>
      <c r="AH109" s="30">
        <f t="shared" si="296"/>
        <v>1153.8461538461538</v>
      </c>
      <c r="AI109" s="19">
        <f t="shared" si="297"/>
        <v>346.15384615384619</v>
      </c>
      <c r="AJ109" s="29"/>
      <c r="AK109" s="30">
        <f t="shared" si="298"/>
        <v>0</v>
      </c>
      <c r="AL109" s="19">
        <f t="shared" si="299"/>
        <v>0</v>
      </c>
      <c r="AM109" s="29"/>
      <c r="AN109" s="30">
        <f t="shared" si="300"/>
        <v>0</v>
      </c>
      <c r="AO109" s="19">
        <f t="shared" si="301"/>
        <v>0</v>
      </c>
      <c r="AP109" s="29"/>
      <c r="AQ109" s="30">
        <f t="shared" si="302"/>
        <v>0</v>
      </c>
      <c r="AR109" s="19">
        <f t="shared" si="303"/>
        <v>0</v>
      </c>
      <c r="AS109" s="29"/>
      <c r="AT109" s="30">
        <f t="shared" si="304"/>
        <v>0</v>
      </c>
      <c r="AU109" s="19">
        <f t="shared" si="305"/>
        <v>0</v>
      </c>
      <c r="AV109" s="29"/>
      <c r="AW109" s="30">
        <f t="shared" si="306"/>
        <v>0</v>
      </c>
      <c r="AX109" s="19">
        <f t="shared" si="307"/>
        <v>0</v>
      </c>
      <c r="AY109" s="25">
        <f t="shared" si="308"/>
        <v>1500</v>
      </c>
    </row>
    <row r="110" spans="1:51" ht="24">
      <c r="A110" s="45">
        <v>44054</v>
      </c>
      <c r="B110" s="29" t="s">
        <v>399</v>
      </c>
      <c r="C110" s="29" t="s">
        <v>400</v>
      </c>
      <c r="D110" s="54"/>
      <c r="E110" s="29" t="s">
        <v>109</v>
      </c>
      <c r="F110" s="29" t="s">
        <v>196</v>
      </c>
      <c r="G110" s="29" t="s">
        <v>74</v>
      </c>
      <c r="H110" s="29">
        <v>33</v>
      </c>
      <c r="I110" s="30">
        <f t="shared" si="281"/>
        <v>4.0303030303030303</v>
      </c>
      <c r="J110" s="29">
        <v>30000</v>
      </c>
      <c r="K110" s="29">
        <v>500</v>
      </c>
      <c r="L110" s="30">
        <f t="shared" si="282"/>
        <v>9900</v>
      </c>
      <c r="M110" s="30">
        <f t="shared" si="283"/>
        <v>39900</v>
      </c>
      <c r="N110" s="55">
        <f>M110-(AY110+'2019'!AY110)</f>
        <v>39900</v>
      </c>
      <c r="O110" s="29"/>
      <c r="P110" s="30">
        <f t="shared" si="284"/>
        <v>0</v>
      </c>
      <c r="Q110" s="30">
        <f t="shared" si="285"/>
        <v>0</v>
      </c>
      <c r="R110" s="29"/>
      <c r="S110" s="30">
        <f t="shared" si="286"/>
        <v>0</v>
      </c>
      <c r="T110" s="134">
        <f t="shared" si="287"/>
        <v>0</v>
      </c>
      <c r="U110" s="135"/>
      <c r="V110" s="136">
        <f t="shared" si="288"/>
        <v>0</v>
      </c>
      <c r="W110" s="137">
        <f t="shared" si="289"/>
        <v>0</v>
      </c>
      <c r="X110" s="138"/>
      <c r="Y110" s="139">
        <f t="shared" si="290"/>
        <v>0</v>
      </c>
      <c r="Z110" s="19">
        <f t="shared" si="291"/>
        <v>0</v>
      </c>
      <c r="AA110" s="29"/>
      <c r="AB110" s="30">
        <f t="shared" si="292"/>
        <v>0</v>
      </c>
      <c r="AC110" s="19">
        <f t="shared" si="293"/>
        <v>0</v>
      </c>
      <c r="AD110" s="29"/>
      <c r="AE110" s="30">
        <f t="shared" si="294"/>
        <v>0</v>
      </c>
      <c r="AF110" s="19">
        <f t="shared" si="295"/>
        <v>0</v>
      </c>
      <c r="AG110" s="29"/>
      <c r="AH110" s="30">
        <f t="shared" si="296"/>
        <v>0</v>
      </c>
      <c r="AI110" s="19">
        <f t="shared" si="297"/>
        <v>0</v>
      </c>
      <c r="AJ110" s="29"/>
      <c r="AK110" s="30">
        <f t="shared" si="298"/>
        <v>0</v>
      </c>
      <c r="AL110" s="19">
        <f t="shared" si="299"/>
        <v>0</v>
      </c>
      <c r="AM110" s="29"/>
      <c r="AN110" s="30">
        <f t="shared" si="300"/>
        <v>0</v>
      </c>
      <c r="AO110" s="19">
        <f t="shared" si="301"/>
        <v>0</v>
      </c>
      <c r="AP110" s="29"/>
      <c r="AQ110" s="30">
        <f t="shared" si="302"/>
        <v>0</v>
      </c>
      <c r="AR110" s="19">
        <f t="shared" si="303"/>
        <v>0</v>
      </c>
      <c r="AS110" s="29"/>
      <c r="AT110" s="30">
        <f t="shared" si="304"/>
        <v>0</v>
      </c>
      <c r="AU110" s="19">
        <f t="shared" si="305"/>
        <v>0</v>
      </c>
      <c r="AV110" s="29"/>
      <c r="AW110" s="30">
        <f t="shared" si="306"/>
        <v>0</v>
      </c>
      <c r="AX110" s="19">
        <f t="shared" si="307"/>
        <v>0</v>
      </c>
      <c r="AY110" s="25">
        <f t="shared" si="308"/>
        <v>0</v>
      </c>
    </row>
    <row r="111" spans="1:51" ht="24">
      <c r="A111" s="45">
        <v>44054</v>
      </c>
      <c r="B111" s="29" t="s">
        <v>401</v>
      </c>
      <c r="C111" s="29"/>
      <c r="D111" s="54"/>
      <c r="E111" s="29" t="s">
        <v>109</v>
      </c>
      <c r="F111" s="29" t="s">
        <v>196</v>
      </c>
      <c r="G111" s="29" t="s">
        <v>74</v>
      </c>
      <c r="H111" s="29">
        <v>33</v>
      </c>
      <c r="I111" s="30">
        <f t="shared" si="281"/>
        <v>4.0303030303030303</v>
      </c>
      <c r="J111" s="29">
        <v>21000</v>
      </c>
      <c r="K111" s="29">
        <v>500</v>
      </c>
      <c r="L111" s="30">
        <f t="shared" si="282"/>
        <v>6930</v>
      </c>
      <c r="M111" s="30">
        <f t="shared" si="283"/>
        <v>27930</v>
      </c>
      <c r="N111" s="55">
        <f>M111-(AY111+'2019'!AY111)</f>
        <v>27930</v>
      </c>
      <c r="O111" s="29"/>
      <c r="P111" s="30">
        <f t="shared" si="284"/>
        <v>0</v>
      </c>
      <c r="Q111" s="30">
        <f t="shared" si="285"/>
        <v>0</v>
      </c>
      <c r="R111" s="29"/>
      <c r="S111" s="30">
        <f t="shared" si="286"/>
        <v>0</v>
      </c>
      <c r="T111" s="134">
        <f t="shared" si="287"/>
        <v>0</v>
      </c>
      <c r="U111" s="135"/>
      <c r="V111" s="136">
        <f t="shared" si="288"/>
        <v>0</v>
      </c>
      <c r="W111" s="137">
        <f t="shared" si="289"/>
        <v>0</v>
      </c>
      <c r="X111" s="138"/>
      <c r="Y111" s="139">
        <f t="shared" si="290"/>
        <v>0</v>
      </c>
      <c r="Z111" s="19">
        <f t="shared" si="291"/>
        <v>0</v>
      </c>
      <c r="AA111" s="29"/>
      <c r="AB111" s="30">
        <f t="shared" si="292"/>
        <v>0</v>
      </c>
      <c r="AC111" s="19">
        <f t="shared" si="293"/>
        <v>0</v>
      </c>
      <c r="AD111" s="29"/>
      <c r="AE111" s="30">
        <f t="shared" si="294"/>
        <v>0</v>
      </c>
      <c r="AF111" s="19">
        <f t="shared" si="295"/>
        <v>0</v>
      </c>
      <c r="AG111" s="29"/>
      <c r="AH111" s="30">
        <f t="shared" si="296"/>
        <v>0</v>
      </c>
      <c r="AI111" s="19">
        <f t="shared" si="297"/>
        <v>0</v>
      </c>
      <c r="AJ111" s="29"/>
      <c r="AK111" s="30">
        <f t="shared" si="298"/>
        <v>0</v>
      </c>
      <c r="AL111" s="19">
        <f t="shared" si="299"/>
        <v>0</v>
      </c>
      <c r="AM111" s="29"/>
      <c r="AN111" s="30">
        <f t="shared" si="300"/>
        <v>0</v>
      </c>
      <c r="AO111" s="19">
        <f t="shared" si="301"/>
        <v>0</v>
      </c>
      <c r="AP111" s="29"/>
      <c r="AQ111" s="30">
        <f t="shared" si="302"/>
        <v>0</v>
      </c>
      <c r="AR111" s="19">
        <f t="shared" si="303"/>
        <v>0</v>
      </c>
      <c r="AS111" s="29"/>
      <c r="AT111" s="30">
        <f t="shared" si="304"/>
        <v>0</v>
      </c>
      <c r="AU111" s="19">
        <f t="shared" si="305"/>
        <v>0</v>
      </c>
      <c r="AV111" s="29"/>
      <c r="AW111" s="30">
        <f t="shared" si="306"/>
        <v>0</v>
      </c>
      <c r="AX111" s="19">
        <f t="shared" si="307"/>
        <v>0</v>
      </c>
      <c r="AY111" s="25">
        <f t="shared" si="308"/>
        <v>0</v>
      </c>
    </row>
    <row r="112" spans="1:51" ht="24">
      <c r="A112" s="45">
        <v>44054</v>
      </c>
      <c r="B112" s="29" t="s">
        <v>402</v>
      </c>
      <c r="C112" s="29" t="s">
        <v>405</v>
      </c>
      <c r="D112" s="54"/>
      <c r="E112" s="29" t="s">
        <v>106</v>
      </c>
      <c r="F112" s="29" t="s">
        <v>196</v>
      </c>
      <c r="G112" s="29" t="s">
        <v>74</v>
      </c>
      <c r="H112" s="29">
        <v>33</v>
      </c>
      <c r="I112" s="30">
        <f t="shared" si="281"/>
        <v>4.0303030303030303</v>
      </c>
      <c r="J112" s="29">
        <v>18000</v>
      </c>
      <c r="K112" s="29">
        <v>400</v>
      </c>
      <c r="L112" s="30">
        <f t="shared" si="282"/>
        <v>5940</v>
      </c>
      <c r="M112" s="30">
        <f t="shared" si="283"/>
        <v>23940</v>
      </c>
      <c r="N112" s="55">
        <f>M112-(AY112+'2019'!AY112)</f>
        <v>23940</v>
      </c>
      <c r="O112" s="29"/>
      <c r="P112" s="30">
        <f t="shared" si="284"/>
        <v>0</v>
      </c>
      <c r="Q112" s="30">
        <f t="shared" si="285"/>
        <v>0</v>
      </c>
      <c r="R112" s="29"/>
      <c r="S112" s="30">
        <f t="shared" si="286"/>
        <v>0</v>
      </c>
      <c r="T112" s="134">
        <f t="shared" si="287"/>
        <v>0</v>
      </c>
      <c r="U112" s="135"/>
      <c r="V112" s="136">
        <f t="shared" si="288"/>
        <v>0</v>
      </c>
      <c r="W112" s="137">
        <f t="shared" si="289"/>
        <v>0</v>
      </c>
      <c r="X112" s="138"/>
      <c r="Y112" s="139">
        <f t="shared" si="290"/>
        <v>0</v>
      </c>
      <c r="Z112" s="19">
        <f t="shared" si="291"/>
        <v>0</v>
      </c>
      <c r="AA112" s="29"/>
      <c r="AB112" s="30">
        <f t="shared" si="292"/>
        <v>0</v>
      </c>
      <c r="AC112" s="19">
        <f t="shared" si="293"/>
        <v>0</v>
      </c>
      <c r="AD112" s="29"/>
      <c r="AE112" s="30">
        <f t="shared" si="294"/>
        <v>0</v>
      </c>
      <c r="AF112" s="19">
        <f t="shared" si="295"/>
        <v>0</v>
      </c>
      <c r="AG112" s="29"/>
      <c r="AH112" s="30">
        <f t="shared" si="296"/>
        <v>0</v>
      </c>
      <c r="AI112" s="19">
        <f t="shared" si="297"/>
        <v>0</v>
      </c>
      <c r="AJ112" s="29"/>
      <c r="AK112" s="30">
        <f t="shared" si="298"/>
        <v>0</v>
      </c>
      <c r="AL112" s="19">
        <f t="shared" si="299"/>
        <v>0</v>
      </c>
      <c r="AM112" s="29"/>
      <c r="AN112" s="30">
        <f t="shared" si="300"/>
        <v>0</v>
      </c>
      <c r="AO112" s="19">
        <f t="shared" si="301"/>
        <v>0</v>
      </c>
      <c r="AP112" s="29"/>
      <c r="AQ112" s="30">
        <f t="shared" si="302"/>
        <v>0</v>
      </c>
      <c r="AR112" s="19">
        <f t="shared" si="303"/>
        <v>0</v>
      </c>
      <c r="AS112" s="29"/>
      <c r="AT112" s="30">
        <f t="shared" si="304"/>
        <v>0</v>
      </c>
      <c r="AU112" s="19">
        <f t="shared" si="305"/>
        <v>0</v>
      </c>
      <c r="AV112" s="29"/>
      <c r="AW112" s="30">
        <f t="shared" si="306"/>
        <v>0</v>
      </c>
      <c r="AX112" s="19">
        <f t="shared" si="307"/>
        <v>0</v>
      </c>
      <c r="AY112" s="25">
        <f t="shared" si="308"/>
        <v>0</v>
      </c>
    </row>
    <row r="113" spans="1:51">
      <c r="A113" s="45">
        <v>44054</v>
      </c>
      <c r="B113" s="29" t="s">
        <v>403</v>
      </c>
      <c r="C113" s="29" t="s">
        <v>404</v>
      </c>
      <c r="D113" s="54"/>
      <c r="E113" s="29" t="s">
        <v>109</v>
      </c>
      <c r="F113" s="29" t="s">
        <v>196</v>
      </c>
      <c r="G113" s="29" t="s">
        <v>310</v>
      </c>
      <c r="H113" s="29">
        <v>33</v>
      </c>
      <c r="I113" s="30">
        <f t="shared" si="281"/>
        <v>4.0303030303030303</v>
      </c>
      <c r="J113" s="29">
        <v>13500</v>
      </c>
      <c r="K113" s="29">
        <v>300</v>
      </c>
      <c r="L113" s="30">
        <f t="shared" si="282"/>
        <v>4455</v>
      </c>
      <c r="M113" s="30">
        <f t="shared" si="283"/>
        <v>17955</v>
      </c>
      <c r="N113" s="55">
        <f>M113-(AY113+'2019'!AY113)</f>
        <v>16455</v>
      </c>
      <c r="O113" s="29"/>
      <c r="P113" s="30">
        <f t="shared" si="284"/>
        <v>0</v>
      </c>
      <c r="Q113" s="30">
        <f t="shared" si="285"/>
        <v>0</v>
      </c>
      <c r="R113" s="29"/>
      <c r="S113" s="30">
        <f t="shared" si="286"/>
        <v>0</v>
      </c>
      <c r="T113" s="134">
        <f t="shared" si="287"/>
        <v>0</v>
      </c>
      <c r="U113" s="135"/>
      <c r="V113" s="136">
        <f t="shared" si="288"/>
        <v>0</v>
      </c>
      <c r="W113" s="137">
        <f t="shared" si="289"/>
        <v>0</v>
      </c>
      <c r="X113" s="138"/>
      <c r="Y113" s="139">
        <f t="shared" si="290"/>
        <v>0</v>
      </c>
      <c r="Z113" s="19">
        <f t="shared" si="291"/>
        <v>0</v>
      </c>
      <c r="AA113" s="29"/>
      <c r="AB113" s="30">
        <f t="shared" si="292"/>
        <v>0</v>
      </c>
      <c r="AC113" s="19">
        <f t="shared" si="293"/>
        <v>0</v>
      </c>
      <c r="AD113" s="29"/>
      <c r="AE113" s="30">
        <f t="shared" si="294"/>
        <v>0</v>
      </c>
      <c r="AF113" s="19">
        <f t="shared" si="295"/>
        <v>0</v>
      </c>
      <c r="AG113" s="29">
        <v>1500</v>
      </c>
      <c r="AH113" s="30">
        <f t="shared" si="296"/>
        <v>1127.8195488721803</v>
      </c>
      <c r="AI113" s="19">
        <f t="shared" si="297"/>
        <v>372.18045112781954</v>
      </c>
      <c r="AJ113" s="29"/>
      <c r="AK113" s="30">
        <f t="shared" si="298"/>
        <v>0</v>
      </c>
      <c r="AL113" s="19">
        <f t="shared" si="299"/>
        <v>0</v>
      </c>
      <c r="AM113" s="29"/>
      <c r="AN113" s="30">
        <f t="shared" si="300"/>
        <v>0</v>
      </c>
      <c r="AO113" s="19">
        <f t="shared" si="301"/>
        <v>0</v>
      </c>
      <c r="AP113" s="29"/>
      <c r="AQ113" s="30">
        <f t="shared" si="302"/>
        <v>0</v>
      </c>
      <c r="AR113" s="19">
        <f t="shared" si="303"/>
        <v>0</v>
      </c>
      <c r="AS113" s="29"/>
      <c r="AT113" s="30">
        <f t="shared" si="304"/>
        <v>0</v>
      </c>
      <c r="AU113" s="19">
        <f t="shared" si="305"/>
        <v>0</v>
      </c>
      <c r="AV113" s="29"/>
      <c r="AW113" s="30">
        <f t="shared" si="306"/>
        <v>0</v>
      </c>
      <c r="AX113" s="19">
        <f t="shared" si="307"/>
        <v>0</v>
      </c>
      <c r="AY113" s="25">
        <f t="shared" si="308"/>
        <v>1500</v>
      </c>
    </row>
    <row r="114" spans="1:51" ht="24">
      <c r="A114" s="45">
        <v>44054</v>
      </c>
      <c r="B114" s="29" t="s">
        <v>406</v>
      </c>
      <c r="C114" s="29" t="s">
        <v>407</v>
      </c>
      <c r="D114" s="54"/>
      <c r="E114" s="29" t="s">
        <v>109</v>
      </c>
      <c r="F114" s="29" t="s">
        <v>196</v>
      </c>
      <c r="G114" s="29" t="s">
        <v>89</v>
      </c>
      <c r="H114" s="29">
        <v>33</v>
      </c>
      <c r="I114" s="30">
        <f t="shared" si="281"/>
        <v>4.0303030303030303</v>
      </c>
      <c r="J114" s="29">
        <v>26000</v>
      </c>
      <c r="K114" s="29">
        <v>300</v>
      </c>
      <c r="L114" s="30">
        <f t="shared" si="282"/>
        <v>8580</v>
      </c>
      <c r="M114" s="30">
        <f t="shared" si="283"/>
        <v>34580</v>
      </c>
      <c r="N114" s="55">
        <f>M114-(AY114+'2019'!AY114)</f>
        <v>29580</v>
      </c>
      <c r="O114" s="29"/>
      <c r="P114" s="30">
        <f t="shared" si="284"/>
        <v>0</v>
      </c>
      <c r="Q114" s="30">
        <f t="shared" si="285"/>
        <v>0</v>
      </c>
      <c r="R114" s="29"/>
      <c r="S114" s="30">
        <f t="shared" si="286"/>
        <v>0</v>
      </c>
      <c r="T114" s="134">
        <f t="shared" si="287"/>
        <v>0</v>
      </c>
      <c r="U114" s="135"/>
      <c r="V114" s="136">
        <f t="shared" si="288"/>
        <v>0</v>
      </c>
      <c r="W114" s="137">
        <f t="shared" si="289"/>
        <v>0</v>
      </c>
      <c r="X114" s="138"/>
      <c r="Y114" s="139">
        <f t="shared" si="290"/>
        <v>0</v>
      </c>
      <c r="Z114" s="19">
        <f t="shared" si="291"/>
        <v>0</v>
      </c>
      <c r="AA114" s="29"/>
      <c r="AB114" s="30">
        <f t="shared" si="292"/>
        <v>0</v>
      </c>
      <c r="AC114" s="19">
        <f t="shared" si="293"/>
        <v>0</v>
      </c>
      <c r="AD114" s="29"/>
      <c r="AE114" s="30">
        <f t="shared" si="294"/>
        <v>0</v>
      </c>
      <c r="AF114" s="19">
        <f t="shared" si="295"/>
        <v>0</v>
      </c>
      <c r="AG114" s="29">
        <v>5000</v>
      </c>
      <c r="AH114" s="30">
        <f t="shared" si="296"/>
        <v>3759.3984962406012</v>
      </c>
      <c r="AI114" s="19">
        <f t="shared" si="297"/>
        <v>1240.6015037593986</v>
      </c>
      <c r="AJ114" s="29"/>
      <c r="AK114" s="30">
        <f t="shared" si="298"/>
        <v>0</v>
      </c>
      <c r="AL114" s="19">
        <f t="shared" si="299"/>
        <v>0</v>
      </c>
      <c r="AM114" s="29"/>
      <c r="AN114" s="30">
        <f t="shared" si="300"/>
        <v>0</v>
      </c>
      <c r="AO114" s="19">
        <f t="shared" si="301"/>
        <v>0</v>
      </c>
      <c r="AP114" s="29"/>
      <c r="AQ114" s="30">
        <f t="shared" si="302"/>
        <v>0</v>
      </c>
      <c r="AR114" s="19">
        <f t="shared" si="303"/>
        <v>0</v>
      </c>
      <c r="AS114" s="29"/>
      <c r="AT114" s="30">
        <f t="shared" si="304"/>
        <v>0</v>
      </c>
      <c r="AU114" s="19">
        <f t="shared" si="305"/>
        <v>0</v>
      </c>
      <c r="AV114" s="29"/>
      <c r="AW114" s="30">
        <f t="shared" si="306"/>
        <v>0</v>
      </c>
      <c r="AX114" s="19">
        <f t="shared" si="307"/>
        <v>0</v>
      </c>
      <c r="AY114" s="25">
        <f t="shared" si="308"/>
        <v>5000</v>
      </c>
    </row>
    <row r="115" spans="1:51">
      <c r="A115" s="45">
        <v>44054</v>
      </c>
      <c r="B115" s="29" t="s">
        <v>408</v>
      </c>
      <c r="C115" s="29"/>
      <c r="D115" s="54"/>
      <c r="E115" s="29" t="s">
        <v>109</v>
      </c>
      <c r="F115" s="29" t="s">
        <v>196</v>
      </c>
      <c r="G115" s="29" t="s">
        <v>310</v>
      </c>
      <c r="H115" s="29">
        <v>33</v>
      </c>
      <c r="I115" s="30">
        <f t="shared" si="281"/>
        <v>4.0303030303030303</v>
      </c>
      <c r="J115" s="29">
        <v>48000</v>
      </c>
      <c r="K115" s="29">
        <v>600</v>
      </c>
      <c r="L115" s="30">
        <f t="shared" si="282"/>
        <v>15840</v>
      </c>
      <c r="M115" s="30">
        <f t="shared" si="283"/>
        <v>63840</v>
      </c>
      <c r="N115" s="55">
        <f>M115-(AY115+'2019'!AY115)</f>
        <v>58840</v>
      </c>
      <c r="O115" s="29"/>
      <c r="P115" s="30">
        <f t="shared" si="284"/>
        <v>0</v>
      </c>
      <c r="Q115" s="30">
        <f t="shared" si="285"/>
        <v>0</v>
      </c>
      <c r="R115" s="29"/>
      <c r="S115" s="30">
        <f t="shared" si="286"/>
        <v>0</v>
      </c>
      <c r="T115" s="134">
        <f t="shared" si="287"/>
        <v>0</v>
      </c>
      <c r="U115" s="135"/>
      <c r="V115" s="136">
        <f t="shared" si="288"/>
        <v>0</v>
      </c>
      <c r="W115" s="137">
        <f t="shared" si="289"/>
        <v>0</v>
      </c>
      <c r="X115" s="138"/>
      <c r="Y115" s="139">
        <f t="shared" si="290"/>
        <v>0</v>
      </c>
      <c r="Z115" s="19">
        <f t="shared" si="291"/>
        <v>0</v>
      </c>
      <c r="AA115" s="29"/>
      <c r="AB115" s="30">
        <f t="shared" si="292"/>
        <v>0</v>
      </c>
      <c r="AC115" s="19">
        <f t="shared" si="293"/>
        <v>0</v>
      </c>
      <c r="AD115" s="29"/>
      <c r="AE115" s="30">
        <f t="shared" si="294"/>
        <v>0</v>
      </c>
      <c r="AF115" s="19">
        <f t="shared" si="295"/>
        <v>0</v>
      </c>
      <c r="AG115" s="29">
        <v>5000</v>
      </c>
      <c r="AH115" s="30">
        <f t="shared" si="296"/>
        <v>3759.3984962406012</v>
      </c>
      <c r="AI115" s="19">
        <f t="shared" si="297"/>
        <v>1240.6015037593986</v>
      </c>
      <c r="AJ115" s="29"/>
      <c r="AK115" s="30">
        <f t="shared" si="298"/>
        <v>0</v>
      </c>
      <c r="AL115" s="19">
        <f t="shared" si="299"/>
        <v>0</v>
      </c>
      <c r="AM115" s="29"/>
      <c r="AN115" s="30">
        <f t="shared" si="300"/>
        <v>0</v>
      </c>
      <c r="AO115" s="19">
        <f t="shared" si="301"/>
        <v>0</v>
      </c>
      <c r="AP115" s="29"/>
      <c r="AQ115" s="30">
        <f t="shared" si="302"/>
        <v>0</v>
      </c>
      <c r="AR115" s="19">
        <f t="shared" si="303"/>
        <v>0</v>
      </c>
      <c r="AS115" s="29"/>
      <c r="AT115" s="30">
        <f t="shared" si="304"/>
        <v>0</v>
      </c>
      <c r="AU115" s="19">
        <f t="shared" si="305"/>
        <v>0</v>
      </c>
      <c r="AV115" s="29"/>
      <c r="AW115" s="30">
        <f t="shared" si="306"/>
        <v>0</v>
      </c>
      <c r="AX115" s="19">
        <f t="shared" si="307"/>
        <v>0</v>
      </c>
      <c r="AY115" s="25">
        <f t="shared" si="308"/>
        <v>5000</v>
      </c>
    </row>
    <row r="116" spans="1:51">
      <c r="A116" s="45">
        <v>44055</v>
      </c>
      <c r="B116" s="29" t="s">
        <v>409</v>
      </c>
      <c r="C116" s="29"/>
      <c r="D116" s="54"/>
      <c r="E116" s="29" t="s">
        <v>109</v>
      </c>
      <c r="F116" s="29" t="s">
        <v>196</v>
      </c>
      <c r="G116" s="29" t="s">
        <v>310</v>
      </c>
      <c r="H116" s="29">
        <v>33</v>
      </c>
      <c r="I116" s="30">
        <f t="shared" si="281"/>
        <v>4.0303030303030303</v>
      </c>
      <c r="J116" s="29">
        <v>16000</v>
      </c>
      <c r="K116" s="29"/>
      <c r="L116" s="30">
        <f t="shared" si="282"/>
        <v>5280</v>
      </c>
      <c r="M116" s="30">
        <f t="shared" si="283"/>
        <v>21280</v>
      </c>
      <c r="N116" s="55">
        <f>M116-(AY116+'2019'!AY116)</f>
        <v>21280</v>
      </c>
      <c r="O116" s="29"/>
      <c r="P116" s="30">
        <f t="shared" si="284"/>
        <v>0</v>
      </c>
      <c r="Q116" s="30">
        <f t="shared" si="285"/>
        <v>0</v>
      </c>
      <c r="R116" s="29"/>
      <c r="S116" s="30">
        <f t="shared" si="286"/>
        <v>0</v>
      </c>
      <c r="T116" s="134">
        <f t="shared" si="287"/>
        <v>0</v>
      </c>
      <c r="U116" s="135"/>
      <c r="V116" s="136">
        <f t="shared" si="288"/>
        <v>0</v>
      </c>
      <c r="W116" s="137">
        <f t="shared" si="289"/>
        <v>0</v>
      </c>
      <c r="X116" s="138"/>
      <c r="Y116" s="139">
        <f t="shared" si="290"/>
        <v>0</v>
      </c>
      <c r="Z116" s="19">
        <f t="shared" si="291"/>
        <v>0</v>
      </c>
      <c r="AA116" s="29"/>
      <c r="AB116" s="30">
        <f t="shared" si="292"/>
        <v>0</v>
      </c>
      <c r="AC116" s="19">
        <f t="shared" si="293"/>
        <v>0</v>
      </c>
      <c r="AD116" s="29"/>
      <c r="AE116" s="30">
        <f t="shared" si="294"/>
        <v>0</v>
      </c>
      <c r="AF116" s="19">
        <f t="shared" si="295"/>
        <v>0</v>
      </c>
      <c r="AG116" s="29"/>
      <c r="AH116" s="30">
        <f t="shared" si="296"/>
        <v>0</v>
      </c>
      <c r="AI116" s="19">
        <f t="shared" si="297"/>
        <v>0</v>
      </c>
      <c r="AJ116" s="29"/>
      <c r="AK116" s="30">
        <f t="shared" si="298"/>
        <v>0</v>
      </c>
      <c r="AL116" s="19">
        <f t="shared" si="299"/>
        <v>0</v>
      </c>
      <c r="AM116" s="29"/>
      <c r="AN116" s="30">
        <f t="shared" si="300"/>
        <v>0</v>
      </c>
      <c r="AO116" s="19">
        <f t="shared" si="301"/>
        <v>0</v>
      </c>
      <c r="AP116" s="29"/>
      <c r="AQ116" s="30">
        <f t="shared" si="302"/>
        <v>0</v>
      </c>
      <c r="AR116" s="19">
        <f t="shared" si="303"/>
        <v>0</v>
      </c>
      <c r="AS116" s="29"/>
      <c r="AT116" s="30">
        <f t="shared" si="304"/>
        <v>0</v>
      </c>
      <c r="AU116" s="19">
        <f t="shared" si="305"/>
        <v>0</v>
      </c>
      <c r="AV116" s="29"/>
      <c r="AW116" s="30">
        <f t="shared" si="306"/>
        <v>0</v>
      </c>
      <c r="AX116" s="19">
        <f t="shared" si="307"/>
        <v>0</v>
      </c>
      <c r="AY116" s="25">
        <f t="shared" si="308"/>
        <v>0</v>
      </c>
    </row>
    <row r="117" spans="1:51" ht="36">
      <c r="A117" s="45">
        <v>44056</v>
      </c>
      <c r="B117" s="29" t="s">
        <v>414</v>
      </c>
      <c r="C117" s="29"/>
      <c r="D117" s="54"/>
      <c r="E117" s="29" t="s">
        <v>113</v>
      </c>
      <c r="F117" s="29" t="s">
        <v>196</v>
      </c>
      <c r="G117" s="29" t="s">
        <v>310</v>
      </c>
      <c r="H117" s="29">
        <v>33</v>
      </c>
      <c r="I117" s="30">
        <f>IFERROR(M117/L117,"0")</f>
        <v>4.0303030303030303</v>
      </c>
      <c r="J117" s="29">
        <v>36500</v>
      </c>
      <c r="K117" s="29"/>
      <c r="L117" s="30">
        <f>H117/100*J117</f>
        <v>12045</v>
      </c>
      <c r="M117" s="30">
        <f>J117+L117</f>
        <v>48545</v>
      </c>
      <c r="N117" s="55">
        <f>M117-(AY117+'2019'!AY117)</f>
        <v>44545</v>
      </c>
      <c r="O117" s="29"/>
      <c r="P117" s="30">
        <f>IFERROR(O117-Q117,"0")</f>
        <v>0</v>
      </c>
      <c r="Q117" s="30">
        <f>IFERROR(O117/I117,"0")</f>
        <v>0</v>
      </c>
      <c r="R117" s="29"/>
      <c r="S117" s="30">
        <f>IFERROR(R117-T117,"0")</f>
        <v>0</v>
      </c>
      <c r="T117" s="134">
        <f>IFERROR(R117/I117,"0")</f>
        <v>0</v>
      </c>
      <c r="U117" s="135"/>
      <c r="V117" s="136">
        <f>IFERROR(U117-W117,"0")</f>
        <v>0</v>
      </c>
      <c r="W117" s="137">
        <f>IFERROR(U117/I117,"0")</f>
        <v>0</v>
      </c>
      <c r="X117" s="138"/>
      <c r="Y117" s="139">
        <f>IFERROR(X117-Z117,"0")</f>
        <v>0</v>
      </c>
      <c r="Z117" s="19">
        <f>IFERROR(X117/I117,"0")</f>
        <v>0</v>
      </c>
      <c r="AA117" s="29"/>
      <c r="AB117" s="30">
        <f>IFERROR(AA117-AC117,"0")</f>
        <v>0</v>
      </c>
      <c r="AC117" s="19">
        <f>IFERROR(AA117/I117,"0")</f>
        <v>0</v>
      </c>
      <c r="AD117" s="29"/>
      <c r="AE117" s="30">
        <f>IFERROR(AD117-AF117,"0")</f>
        <v>0</v>
      </c>
      <c r="AF117" s="19">
        <f>IFERROR(AD117/I117,"0")</f>
        <v>0</v>
      </c>
      <c r="AG117" s="29">
        <v>4000</v>
      </c>
      <c r="AH117" s="30">
        <f>IFERROR(AG117-AI117,"0")</f>
        <v>3007.5187969924809</v>
      </c>
      <c r="AI117" s="19">
        <f>IFERROR(AG117/I117,"0")</f>
        <v>992.48120300751884</v>
      </c>
      <c r="AJ117" s="29"/>
      <c r="AK117" s="30">
        <f>IFERROR(AJ117-AL117,"0")</f>
        <v>0</v>
      </c>
      <c r="AL117" s="19">
        <f>IFERROR(AJ117/I117,"0")</f>
        <v>0</v>
      </c>
      <c r="AM117" s="29"/>
      <c r="AN117" s="30">
        <f>IFERROR(AM117-AO117,"0")</f>
        <v>0</v>
      </c>
      <c r="AO117" s="19">
        <f>IFERROR(AM117/I117,"0")</f>
        <v>0</v>
      </c>
      <c r="AP117" s="29"/>
      <c r="AQ117" s="30">
        <f>IFERROR(AP117-AR117,"0")</f>
        <v>0</v>
      </c>
      <c r="AR117" s="19">
        <f>IFERROR(AP117/I117,"0")</f>
        <v>0</v>
      </c>
      <c r="AS117" s="29"/>
      <c r="AT117" s="30">
        <f>IFERROR(AS117-AU117,"0")</f>
        <v>0</v>
      </c>
      <c r="AU117" s="19">
        <f>IFERROR(AS117/I117,"0")</f>
        <v>0</v>
      </c>
      <c r="AV117" s="29"/>
      <c r="AW117" s="30">
        <f>IFERROR(AV117-AX117,"0")</f>
        <v>0</v>
      </c>
      <c r="AX117" s="19">
        <f>IFERROR(AV117/I117,"0")</f>
        <v>0</v>
      </c>
      <c r="AY117" s="25">
        <f>O117+R117+U117+X117+AA117+AD117+AG117+AJ117+AM117+AP117+AS117+AV117</f>
        <v>4000</v>
      </c>
    </row>
    <row r="118" spans="1:51">
      <c r="A118" s="50" t="s">
        <v>86</v>
      </c>
      <c r="B118" s="51" t="s">
        <v>87</v>
      </c>
      <c r="C118" s="61"/>
      <c r="D118" s="13"/>
      <c r="H118" s="52" t="s">
        <v>12</v>
      </c>
      <c r="I118" s="10"/>
      <c r="J118" s="10">
        <f>SUM(J3:J117)</f>
        <v>3946970.5</v>
      </c>
      <c r="K118" s="11">
        <f>SUM(K3:K117)</f>
        <v>3800</v>
      </c>
      <c r="L118" s="11">
        <f>SUM(L3:L117)</f>
        <v>1255259.2650000001</v>
      </c>
      <c r="M118" s="11">
        <f>SUM(M3:M117)</f>
        <v>5202229.7650000006</v>
      </c>
      <c r="N118" s="17">
        <f>SUM(Table3[Column13])</f>
        <v>3293949.7649999997</v>
      </c>
      <c r="O118" s="10">
        <f>SUM(O3:O117)</f>
        <v>253500</v>
      </c>
      <c r="P118" s="10"/>
      <c r="Q118" s="10"/>
      <c r="R118" s="10">
        <f>SUM(R3:R117)</f>
        <v>246000</v>
      </c>
      <c r="S118" s="10"/>
      <c r="T118" s="11"/>
      <c r="U118" s="123">
        <f>SUM(U3:U117)</f>
        <v>194500</v>
      </c>
      <c r="V118" s="123"/>
      <c r="W118" s="123"/>
      <c r="X118" s="123">
        <f>SUM(X3:X117)</f>
        <v>154000</v>
      </c>
      <c r="Y118" s="11"/>
      <c r="Z118" s="11"/>
      <c r="AA118" s="11">
        <f>SUM(AA3:AA117)</f>
        <v>310500</v>
      </c>
      <c r="AB118" s="11"/>
      <c r="AC118" s="11"/>
      <c r="AD118" s="11">
        <f>SUM(AD3:AD117)</f>
        <v>265180</v>
      </c>
      <c r="AE118" s="11"/>
      <c r="AF118" s="11"/>
      <c r="AG118" s="11">
        <f>SUM(AG3:AG117)</f>
        <v>223600</v>
      </c>
      <c r="AH118" s="11"/>
      <c r="AI118" s="11"/>
      <c r="AJ118" s="11">
        <f>SUM(AJ3:AJ117)</f>
        <v>0</v>
      </c>
      <c r="AK118" s="11"/>
      <c r="AL118" s="11"/>
      <c r="AM118" s="11">
        <f>SUM(AM3:AM117)</f>
        <v>0</v>
      </c>
      <c r="AN118" s="11"/>
      <c r="AO118" s="11"/>
      <c r="AP118" s="11">
        <f>SUM(AP3:AP117)</f>
        <v>0</v>
      </c>
      <c r="AQ118" s="11"/>
      <c r="AR118" s="11"/>
      <c r="AS118" s="11">
        <f>SUM(AS3:AS117)</f>
        <v>0</v>
      </c>
      <c r="AT118" s="11"/>
      <c r="AU118" s="11"/>
      <c r="AV118" s="11">
        <f>SUM(AV3:AV117)</f>
        <v>0</v>
      </c>
      <c r="AW118" s="11"/>
      <c r="AX118" s="11"/>
      <c r="AY118" s="11"/>
    </row>
    <row r="119" spans="1:51" ht="30">
      <c r="A119" s="130">
        <v>1</v>
      </c>
      <c r="B119" s="131" t="s">
        <v>77</v>
      </c>
      <c r="C119" s="64"/>
      <c r="D119" s="13"/>
      <c r="H119" s="52" t="s">
        <v>14</v>
      </c>
      <c r="I119" s="10"/>
      <c r="J119" s="11"/>
      <c r="K119" s="11"/>
      <c r="L119" s="11"/>
      <c r="M119" s="11"/>
      <c r="N119" s="17"/>
      <c r="O119" s="11">
        <f>SUM(P3:P117)</f>
        <v>194040.89823220269</v>
      </c>
      <c r="P119" s="11"/>
      <c r="Q119" s="11"/>
      <c r="R119" s="11">
        <f>SUM(S3:S117)</f>
        <v>189294.96148397756</v>
      </c>
      <c r="S119" s="11"/>
      <c r="T119" s="11"/>
      <c r="U119" s="123">
        <f>SUM(V3:V117)</f>
        <v>148395.97488705048</v>
      </c>
      <c r="V119" s="123"/>
      <c r="W119" s="123"/>
      <c r="X119" s="123">
        <f>SUM(Y3:Y117)</f>
        <v>116138.83747831122</v>
      </c>
      <c r="Y119" s="11"/>
      <c r="Z119" s="11"/>
      <c r="AA119" s="11">
        <f>SUM(AB3:AB117)</f>
        <v>239599.9082153546</v>
      </c>
      <c r="AB119" s="11"/>
      <c r="AC119" s="11"/>
      <c r="AD119" s="11">
        <f>SUM(AE3:AE117)</f>
        <v>200295.70079043775</v>
      </c>
      <c r="AE119" s="11"/>
      <c r="AF119" s="11"/>
      <c r="AG119" s="11">
        <f>SUM(AH3:AH117)</f>
        <v>169645.32485058811</v>
      </c>
      <c r="AH119" s="11"/>
      <c r="AI119" s="11"/>
      <c r="AJ119" s="11">
        <f>SUM(AK3:AK117)</f>
        <v>0</v>
      </c>
      <c r="AK119" s="11"/>
      <c r="AL119" s="11"/>
      <c r="AM119" s="11">
        <f>SUM(AN3:AN117)</f>
        <v>0</v>
      </c>
      <c r="AN119" s="11"/>
      <c r="AO119" s="11"/>
      <c r="AP119" s="11">
        <f>SUM(AQ3:AQ117)</f>
        <v>0</v>
      </c>
      <c r="AQ119" s="11"/>
      <c r="AR119" s="11"/>
      <c r="AS119" s="11">
        <f>SUM(AT3:AT117)</f>
        <v>0</v>
      </c>
      <c r="AT119" s="11"/>
      <c r="AU119" s="11"/>
      <c r="AV119" s="11">
        <f>SUM(AW3:AW117)</f>
        <v>0</v>
      </c>
      <c r="AW119" s="11"/>
      <c r="AX119" s="11"/>
      <c r="AY119" s="11"/>
    </row>
    <row r="120" spans="1:51">
      <c r="A120" s="130">
        <v>2</v>
      </c>
      <c r="B120" s="131" t="s">
        <v>88</v>
      </c>
      <c r="C120" s="64"/>
      <c r="D120" s="13"/>
      <c r="H120" s="52" t="s">
        <v>16</v>
      </c>
      <c r="I120" s="10"/>
      <c r="J120" s="11"/>
      <c r="K120" s="11"/>
      <c r="L120" s="11"/>
      <c r="M120" s="11"/>
      <c r="N120" s="17"/>
      <c r="O120" s="11">
        <f>SUM(Q3:Q117)</f>
        <v>59459.101767797394</v>
      </c>
      <c r="P120" s="11"/>
      <c r="Q120" s="11"/>
      <c r="R120" s="11">
        <f>SUM(T3:T117)</f>
        <v>56705.038516022469</v>
      </c>
      <c r="S120" s="11"/>
      <c r="T120" s="11"/>
      <c r="U120" s="123">
        <f>SUM(W3:W117)</f>
        <v>46104.025112949574</v>
      </c>
      <c r="V120" s="123"/>
      <c r="W120" s="123"/>
      <c r="X120" s="123">
        <f>SUM(Z3:Z117)</f>
        <v>37861.162521688828</v>
      </c>
      <c r="Y120" s="11"/>
      <c r="Z120" s="11"/>
      <c r="AA120" s="11">
        <f>SUM(AC3:AC117)</f>
        <v>70900.091784645527</v>
      </c>
      <c r="AB120" s="11"/>
      <c r="AC120" s="11"/>
      <c r="AD120" s="11">
        <f>SUM(AF3:AF117)</f>
        <v>64884.299209562356</v>
      </c>
      <c r="AE120" s="11"/>
      <c r="AF120" s="11"/>
      <c r="AG120" s="11">
        <f>SUM(AI3:AI117)</f>
        <v>53954.675149411967</v>
      </c>
      <c r="AH120" s="11"/>
      <c r="AI120" s="11"/>
      <c r="AJ120" s="11">
        <f>SUM(AL3:AL117)</f>
        <v>0</v>
      </c>
      <c r="AK120" s="11"/>
      <c r="AL120" s="11"/>
      <c r="AM120" s="11">
        <f>SUM(AO3:AO117)</f>
        <v>0</v>
      </c>
      <c r="AN120" s="11"/>
      <c r="AO120" s="11"/>
      <c r="AP120" s="11">
        <f>SUM(AR3:AR117)</f>
        <v>0</v>
      </c>
      <c r="AQ120" s="11"/>
      <c r="AR120" s="11"/>
      <c r="AS120" s="11">
        <f>SUM(AU3:AU117)</f>
        <v>0</v>
      </c>
      <c r="AT120" s="11"/>
      <c r="AU120" s="11"/>
      <c r="AV120" s="11">
        <f>SUM(AX3:AX117)</f>
        <v>0</v>
      </c>
      <c r="AW120" s="11"/>
      <c r="AX120" s="11"/>
      <c r="AY120" s="11"/>
    </row>
    <row r="121" spans="1:51">
      <c r="A121" s="130">
        <v>3</v>
      </c>
      <c r="B121" s="130" t="s">
        <v>89</v>
      </c>
      <c r="C121" s="4"/>
      <c r="H121" s="153" t="s">
        <v>352</v>
      </c>
      <c r="I121" s="153"/>
      <c r="J121" s="153"/>
      <c r="K121" s="153"/>
      <c r="L121" s="154" t="s">
        <v>202</v>
      </c>
      <c r="M121" s="155"/>
      <c r="N121" s="156"/>
      <c r="O121" s="53">
        <f>SUMIF(Table3[Column52],H121,Table3[Column15])</f>
        <v>0</v>
      </c>
      <c r="P121" s="53"/>
      <c r="Q121" s="53"/>
      <c r="R121" s="53">
        <f>SUMIF(Table3[Column52],H121,Table3[Column18])</f>
        <v>0</v>
      </c>
      <c r="S121" s="53"/>
      <c r="T121" s="53"/>
      <c r="U121" s="124">
        <f>SUMIF(Table3[Column52],H121,Table3[Column21])</f>
        <v>0</v>
      </c>
      <c r="V121" s="124"/>
      <c r="W121" s="124"/>
      <c r="X121" s="124">
        <f>SUMIF(Table3[Column52],H121,Table3[Column24])</f>
        <v>0</v>
      </c>
      <c r="Y121" s="53"/>
      <c r="Z121" s="53"/>
      <c r="AA121" s="53">
        <f>SUMIF(Table3[Column52],H121,Table3[Column27])</f>
        <v>0</v>
      </c>
      <c r="AB121" s="53"/>
      <c r="AC121" s="53"/>
      <c r="AD121" s="53">
        <f>SUMIF(Table3[Column52],H121,Table3[Column30])</f>
        <v>16000</v>
      </c>
      <c r="AE121" s="53"/>
      <c r="AF121" s="53"/>
      <c r="AG121" s="53">
        <f>SUMIF(Table3[Column52],H121,Table3[Column33])</f>
        <v>28000</v>
      </c>
      <c r="AH121" s="53"/>
      <c r="AI121" s="53"/>
      <c r="AJ121" s="53">
        <f>SUMIF(Table3[Column52],H121,Table3[Column36])</f>
        <v>0</v>
      </c>
      <c r="AK121" s="53"/>
      <c r="AL121" s="53"/>
      <c r="AM121" s="53">
        <f>SUMIF(Table3[Column52],H121,Table3[Column39])</f>
        <v>0</v>
      </c>
      <c r="AN121" s="53"/>
      <c r="AO121" s="53"/>
      <c r="AP121" s="53">
        <f>SUMIF(Table3[Column52],H121,Table3[Column42])</f>
        <v>0</v>
      </c>
      <c r="AQ121" s="53"/>
      <c r="AR121" s="53"/>
      <c r="AS121" s="53">
        <f>SUMIF(Table3[Column52],H121,Table3[Column45])</f>
        <v>0</v>
      </c>
      <c r="AT121" s="53"/>
      <c r="AU121" s="53"/>
      <c r="AV121" s="53">
        <f>SUMIF(Table3[Column52],H121,Table3[Column48])</f>
        <v>0</v>
      </c>
      <c r="AW121" s="53"/>
      <c r="AX121" s="53"/>
      <c r="AY121" s="53"/>
    </row>
    <row r="122" spans="1:51">
      <c r="A122" s="130">
        <v>4</v>
      </c>
      <c r="B122" s="130" t="s">
        <v>91</v>
      </c>
      <c r="C122" s="4"/>
      <c r="L122" s="154" t="s">
        <v>203</v>
      </c>
      <c r="M122" s="155"/>
      <c r="N122" s="156"/>
      <c r="O122" s="53">
        <f>SUMIF(Table3[Column52],H121,Table3[Column16])</f>
        <v>0</v>
      </c>
      <c r="P122" s="53"/>
      <c r="Q122" s="53"/>
      <c r="R122" s="53">
        <f>SUMIF(Table3[Column52],H121,Table3[Column19])</f>
        <v>0</v>
      </c>
      <c r="S122" s="53"/>
      <c r="T122" s="53"/>
      <c r="U122" s="124">
        <f>SUMIF(Table3[Column52],H121,Table3[Column22])</f>
        <v>0</v>
      </c>
      <c r="V122" s="124"/>
      <c r="W122" s="124"/>
      <c r="X122" s="124">
        <f>SUMIF(Table3[Column52],H121,Table3[Column25])</f>
        <v>0</v>
      </c>
      <c r="Y122" s="53"/>
      <c r="Z122" s="53"/>
      <c r="AA122" s="53">
        <f>SUMIF(Table3[Column52],H121,Table3[Column28])</f>
        <v>0</v>
      </c>
      <c r="AB122" s="53"/>
      <c r="AC122" s="53"/>
      <c r="AD122" s="53">
        <f>SUMIF(Table3[Column52],H121,Table3[Column31])</f>
        <v>12203.585887796413</v>
      </c>
      <c r="AE122" s="53"/>
      <c r="AF122" s="53"/>
      <c r="AG122" s="53">
        <f>SUMIF(Table3[Column52],H121,Table3[Column34])</f>
        <v>21087.333718912661</v>
      </c>
      <c r="AH122" s="53"/>
      <c r="AI122" s="53"/>
      <c r="AJ122" s="53">
        <f>SUMIF(Table3[Column52],H121,Table3[Column37])</f>
        <v>0</v>
      </c>
      <c r="AK122" s="53"/>
      <c r="AL122" s="53"/>
      <c r="AM122" s="53">
        <f>SUMIF(Table3[Column52],H121,Table3[Column40])</f>
        <v>0</v>
      </c>
      <c r="AN122" s="53"/>
      <c r="AO122" s="53"/>
      <c r="AP122" s="53">
        <f>SUMIF(Table3[Column52],H121,Table3[Column43])</f>
        <v>0</v>
      </c>
      <c r="AQ122" s="53"/>
      <c r="AR122" s="53"/>
      <c r="AS122" s="53">
        <f>SUMIF(Table3[Column52],H121,Table3[Column46])</f>
        <v>0</v>
      </c>
      <c r="AT122" s="53"/>
      <c r="AU122" s="53"/>
      <c r="AV122" s="53">
        <f>SUMIF(Table3[Column52],H121,Table3[Column49])</f>
        <v>0</v>
      </c>
      <c r="AW122" s="53"/>
      <c r="AX122" s="53"/>
      <c r="AY122" s="53"/>
    </row>
    <row r="123" spans="1:51">
      <c r="A123" s="132"/>
      <c r="B123" s="133" t="s">
        <v>331</v>
      </c>
      <c r="C123" s="60"/>
      <c r="L123" s="154" t="s">
        <v>204</v>
      </c>
      <c r="M123" s="155"/>
      <c r="N123" s="156"/>
      <c r="O123" s="53">
        <f>SUMIF(Table3[Column52],H121,Table3[Column17])</f>
        <v>0</v>
      </c>
      <c r="P123" s="53"/>
      <c r="Q123" s="53"/>
      <c r="R123" s="53">
        <f>SUMIF(Table3[Column52],H121,Table3[Column20])</f>
        <v>0</v>
      </c>
      <c r="S123" s="53"/>
      <c r="T123" s="53"/>
      <c r="U123" s="124">
        <f>SUMIF(Table3[Column52],H121,Table3[Column23])</f>
        <v>0</v>
      </c>
      <c r="V123" s="124"/>
      <c r="W123" s="124"/>
      <c r="X123" s="124">
        <f>SUMIF(Table3[Column52],H121,Table3[Column26])</f>
        <v>0</v>
      </c>
      <c r="Y123" s="53"/>
      <c r="Z123" s="53"/>
      <c r="AA123" s="53">
        <f>SUMIF(Table3[Column52],H121,Table3[Column29])</f>
        <v>0</v>
      </c>
      <c r="AB123" s="53"/>
      <c r="AC123" s="53"/>
      <c r="AD123" s="53">
        <f>SUMIF(Table3[Column52],H121,Table3[Column32])</f>
        <v>3796.4141122035862</v>
      </c>
      <c r="AE123" s="53"/>
      <c r="AF123" s="53"/>
      <c r="AG123" s="53">
        <f>SUMIF(Table3[Column52],H121,Table3[Column35])</f>
        <v>6912.6662810873349</v>
      </c>
      <c r="AH123" s="53"/>
      <c r="AI123" s="53"/>
      <c r="AJ123" s="53">
        <f>SUMIF(Table3[Column52],H121,Table3[Column38])</f>
        <v>0</v>
      </c>
      <c r="AK123" s="53"/>
      <c r="AL123" s="53"/>
      <c r="AM123" s="53">
        <f>SUMIF(Table3[Column52],H121,Table3[Column41])</f>
        <v>0</v>
      </c>
      <c r="AN123" s="53"/>
      <c r="AO123" s="53"/>
      <c r="AP123" s="53">
        <f>SUMIF(Table3[Column52],H121,Table3[Column44])</f>
        <v>0</v>
      </c>
      <c r="AQ123" s="53"/>
      <c r="AR123" s="53"/>
      <c r="AS123" s="53">
        <f>SUMIF(Table3[Column52],H121,Table3[Column47])</f>
        <v>0</v>
      </c>
      <c r="AT123" s="53"/>
      <c r="AU123" s="53"/>
      <c r="AV123" s="53">
        <f>SUMIF(Table3[Column52],H121,Table3[Column50])</f>
        <v>0</v>
      </c>
      <c r="AW123" s="53"/>
      <c r="AX123" s="53"/>
      <c r="AY123" s="53"/>
    </row>
    <row r="124" spans="1:51">
      <c r="A124" s="132"/>
      <c r="B124" s="140" t="s">
        <v>352</v>
      </c>
      <c r="L124" s="152" t="s">
        <v>93</v>
      </c>
      <c r="M124" s="152"/>
      <c r="N124" s="59">
        <f>SUMIF(Table3[Column52],H121,Table3[Column8])</f>
        <v>579900</v>
      </c>
    </row>
    <row r="125" spans="1:51">
      <c r="L125" s="152" t="s">
        <v>94</v>
      </c>
      <c r="M125" s="152"/>
      <c r="N125" s="59">
        <f>SUMIF(Table3[Column52],H121,Table3[Column10])</f>
        <v>1600</v>
      </c>
    </row>
    <row r="126" spans="1:51">
      <c r="L126" s="152" t="s">
        <v>96</v>
      </c>
      <c r="M126" s="152"/>
      <c r="N126" s="59">
        <f>SUMIF(Table3[Column52],H121,Table3[Column11])</f>
        <v>187467</v>
      </c>
    </row>
    <row r="127" spans="1:51">
      <c r="L127" s="152" t="s">
        <v>92</v>
      </c>
      <c r="M127" s="152"/>
      <c r="N127" s="59">
        <f>SUMIF(Table3[Column52],H121,Table3[Column12])</f>
        <v>767367</v>
      </c>
    </row>
    <row r="128" spans="1:51">
      <c r="L128" s="152" t="s">
        <v>95</v>
      </c>
      <c r="M128" s="152"/>
      <c r="N128" s="59">
        <f>SUMIF(Table3[Column52],H121,Table3[Column13])</f>
        <v>723367</v>
      </c>
    </row>
  </sheetData>
  <mergeCells count="9">
    <mergeCell ref="L126:M126"/>
    <mergeCell ref="L127:M127"/>
    <mergeCell ref="L128:M128"/>
    <mergeCell ref="H121:K121"/>
    <mergeCell ref="L121:N121"/>
    <mergeCell ref="L122:N122"/>
    <mergeCell ref="L123:N123"/>
    <mergeCell ref="L124:M124"/>
    <mergeCell ref="L125:M125"/>
  </mergeCells>
  <dataValidations count="1">
    <dataValidation type="list" allowBlank="1" showInputMessage="1" showErrorMessage="1" sqref="H121:K121 G3:G117">
      <formula1>$B$119:$B$124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37"/>
  <sheetViews>
    <sheetView topLeftCell="A16" workbookViewId="0">
      <selection activeCell="H36" sqref="H36"/>
    </sheetView>
  </sheetViews>
  <sheetFormatPr defaultRowHeight="15"/>
  <cols>
    <col min="1" max="1" width="11.28515625" bestFit="1" customWidth="1"/>
    <col min="2" max="2" width="20" bestFit="1" customWidth="1"/>
    <col min="8" max="8" width="9.7109375" bestFit="1" customWidth="1"/>
    <col min="9" max="9" width="26.42578125" bestFit="1" customWidth="1"/>
    <col min="15" max="15" width="9.7109375" bestFit="1" customWidth="1"/>
    <col min="16" max="16" width="20" bestFit="1" customWidth="1"/>
    <col min="22" max="22" width="9.7109375" bestFit="1" customWidth="1"/>
    <col min="23" max="23" width="18.140625" bestFit="1" customWidth="1"/>
    <col min="30" max="30" width="14.28515625" bestFit="1" customWidth="1"/>
  </cols>
  <sheetData>
    <row r="1" spans="1:34" ht="15" customHeight="1">
      <c r="A1" s="146" t="s">
        <v>77</v>
      </c>
      <c r="B1" s="147"/>
      <c r="C1" s="147"/>
      <c r="D1" s="147"/>
      <c r="E1" s="147"/>
      <c r="F1" s="148"/>
      <c r="H1" s="146" t="s">
        <v>75</v>
      </c>
      <c r="I1" s="147"/>
      <c r="J1" s="147"/>
      <c r="K1" s="147"/>
      <c r="L1" s="147"/>
      <c r="M1" s="148"/>
      <c r="O1" s="146" t="s">
        <v>89</v>
      </c>
      <c r="P1" s="147"/>
      <c r="Q1" s="147"/>
      <c r="R1" s="147"/>
      <c r="S1" s="147"/>
      <c r="T1" s="148"/>
      <c r="V1" s="146" t="s">
        <v>331</v>
      </c>
      <c r="W1" s="147"/>
      <c r="X1" s="147"/>
      <c r="Y1" s="147"/>
      <c r="Z1" s="147"/>
      <c r="AA1" s="148"/>
      <c r="AC1" s="146" t="s">
        <v>366</v>
      </c>
      <c r="AD1" s="147"/>
      <c r="AE1" s="147"/>
      <c r="AF1" s="147"/>
      <c r="AG1" s="147"/>
      <c r="AH1" s="148"/>
    </row>
    <row r="2" spans="1:34" ht="15" customHeight="1">
      <c r="A2" s="149"/>
      <c r="B2" s="150"/>
      <c r="C2" s="150"/>
      <c r="D2" s="150"/>
      <c r="E2" s="150"/>
      <c r="F2" s="151"/>
      <c r="H2" s="149"/>
      <c r="I2" s="150"/>
      <c r="J2" s="150"/>
      <c r="K2" s="150"/>
      <c r="L2" s="150"/>
      <c r="M2" s="151"/>
      <c r="O2" s="149"/>
      <c r="P2" s="150"/>
      <c r="Q2" s="150"/>
      <c r="R2" s="150"/>
      <c r="S2" s="150"/>
      <c r="T2" s="151"/>
      <c r="V2" s="149"/>
      <c r="W2" s="150"/>
      <c r="X2" s="150"/>
      <c r="Y2" s="150"/>
      <c r="Z2" s="150"/>
      <c r="AA2" s="151"/>
      <c r="AC2" s="149"/>
      <c r="AD2" s="150"/>
      <c r="AE2" s="150"/>
      <c r="AF2" s="150"/>
      <c r="AG2" s="150"/>
      <c r="AH2" s="151"/>
    </row>
    <row r="3" spans="1:34" hidden="1">
      <c r="A3" s="34" t="s">
        <v>20</v>
      </c>
      <c r="B3" s="35" t="s">
        <v>21</v>
      </c>
      <c r="C3" s="36" t="s">
        <v>22</v>
      </c>
      <c r="D3" s="36" t="s">
        <v>23</v>
      </c>
      <c r="E3" s="36" t="s">
        <v>24</v>
      </c>
      <c r="F3" s="37" t="s">
        <v>25</v>
      </c>
      <c r="H3" s="34" t="s">
        <v>20</v>
      </c>
      <c r="I3" s="35" t="s">
        <v>21</v>
      </c>
      <c r="J3" s="36" t="s">
        <v>22</v>
      </c>
      <c r="K3" s="36" t="s">
        <v>23</v>
      </c>
      <c r="L3" s="36" t="s">
        <v>24</v>
      </c>
      <c r="M3" s="37" t="s">
        <v>25</v>
      </c>
      <c r="O3" s="34" t="s">
        <v>20</v>
      </c>
      <c r="P3" s="35" t="s">
        <v>21</v>
      </c>
      <c r="Q3" s="36" t="s">
        <v>22</v>
      </c>
      <c r="R3" s="36" t="s">
        <v>23</v>
      </c>
      <c r="S3" s="36" t="s">
        <v>24</v>
      </c>
      <c r="T3" s="37" t="s">
        <v>25</v>
      </c>
      <c r="V3" s="34" t="s">
        <v>20</v>
      </c>
      <c r="W3" s="35" t="s">
        <v>21</v>
      </c>
      <c r="X3" s="36" t="s">
        <v>22</v>
      </c>
      <c r="Y3" s="36" t="s">
        <v>23</v>
      </c>
      <c r="Z3" s="36" t="s">
        <v>24</v>
      </c>
      <c r="AA3" s="37" t="s">
        <v>25</v>
      </c>
      <c r="AC3" s="34" t="s">
        <v>20</v>
      </c>
      <c r="AD3" s="35" t="s">
        <v>21</v>
      </c>
      <c r="AE3" s="36" t="s">
        <v>22</v>
      </c>
      <c r="AF3" s="36" t="s">
        <v>23</v>
      </c>
      <c r="AG3" s="36" t="s">
        <v>24</v>
      </c>
      <c r="AH3" s="37" t="s">
        <v>25</v>
      </c>
    </row>
    <row r="4" spans="1:34">
      <c r="A4" s="38" t="s">
        <v>0</v>
      </c>
      <c r="B4" s="39" t="s">
        <v>1</v>
      </c>
      <c r="C4" s="5" t="s">
        <v>2</v>
      </c>
      <c r="D4" s="5" t="s">
        <v>3</v>
      </c>
      <c r="E4" s="5" t="s">
        <v>4</v>
      </c>
      <c r="F4" s="40" t="s">
        <v>5</v>
      </c>
      <c r="H4" s="38" t="s">
        <v>0</v>
      </c>
      <c r="I4" s="39" t="s">
        <v>1</v>
      </c>
      <c r="J4" s="5" t="s">
        <v>2</v>
      </c>
      <c r="K4" s="5" t="s">
        <v>3</v>
      </c>
      <c r="L4" s="5" t="s">
        <v>4</v>
      </c>
      <c r="M4" s="40" t="s">
        <v>5</v>
      </c>
      <c r="O4" s="38" t="s">
        <v>0</v>
      </c>
      <c r="P4" s="39" t="s">
        <v>1</v>
      </c>
      <c r="Q4" s="5" t="s">
        <v>2</v>
      </c>
      <c r="R4" s="5" t="s">
        <v>3</v>
      </c>
      <c r="S4" s="5" t="s">
        <v>4</v>
      </c>
      <c r="T4" s="40" t="s">
        <v>5</v>
      </c>
      <c r="V4" s="38" t="s">
        <v>0</v>
      </c>
      <c r="W4" s="39" t="s">
        <v>1</v>
      </c>
      <c r="X4" s="5" t="s">
        <v>2</v>
      </c>
      <c r="Y4" s="5" t="s">
        <v>3</v>
      </c>
      <c r="Z4" s="5" t="s">
        <v>4</v>
      </c>
      <c r="AA4" s="40" t="s">
        <v>5</v>
      </c>
      <c r="AC4" s="38" t="s">
        <v>0</v>
      </c>
      <c r="AD4" s="39" t="s">
        <v>1</v>
      </c>
      <c r="AE4" s="5" t="s">
        <v>2</v>
      </c>
      <c r="AF4" s="5" t="s">
        <v>3</v>
      </c>
      <c r="AG4" s="5" t="s">
        <v>4</v>
      </c>
      <c r="AH4" s="40" t="s">
        <v>5</v>
      </c>
    </row>
    <row r="5" spans="1:34" hidden="1">
      <c r="A5" s="8"/>
      <c r="B5" s="9"/>
      <c r="C5" s="4"/>
      <c r="D5" s="4"/>
      <c r="E5" s="5"/>
      <c r="F5" s="5"/>
      <c r="H5" s="8"/>
      <c r="I5" s="9"/>
      <c r="J5" s="4"/>
      <c r="K5" s="4"/>
      <c r="L5" s="5"/>
      <c r="M5" s="5"/>
      <c r="O5" s="8"/>
      <c r="P5" s="9"/>
      <c r="Q5" s="4"/>
      <c r="R5" s="4"/>
      <c r="S5" s="5"/>
      <c r="T5" s="5"/>
      <c r="V5" s="8"/>
      <c r="W5" s="9"/>
      <c r="X5" s="4"/>
      <c r="Y5" s="4"/>
      <c r="Z5" s="5"/>
      <c r="AA5" s="5"/>
      <c r="AC5" s="8"/>
      <c r="AD5" s="9"/>
      <c r="AE5" s="4"/>
      <c r="AF5" s="4"/>
      <c r="AG5" s="5"/>
      <c r="AH5" s="5"/>
    </row>
    <row r="6" spans="1:34">
      <c r="A6" s="9"/>
      <c r="B6" s="3"/>
      <c r="C6" s="4"/>
      <c r="D6" s="4"/>
      <c r="E6" s="5" t="str">
        <f>IF(F6&gt;0,"Dr","Cr")</f>
        <v>Cr</v>
      </c>
      <c r="F6" s="5">
        <f>(F5+C6)-D6</f>
        <v>0</v>
      </c>
      <c r="H6" s="2"/>
      <c r="I6" s="3"/>
      <c r="J6" s="4"/>
      <c r="K6" s="4"/>
      <c r="L6" s="5" t="str">
        <f>IF(M6&gt;0,"Dr","Cr")</f>
        <v>Cr</v>
      </c>
      <c r="M6" s="5">
        <f>(M5+J6)-K6</f>
        <v>0</v>
      </c>
      <c r="O6" s="2">
        <v>43890</v>
      </c>
      <c r="P6" s="3" t="s">
        <v>282</v>
      </c>
      <c r="Q6" s="4">
        <v>8560</v>
      </c>
      <c r="R6" s="4"/>
      <c r="S6" s="5" t="str">
        <f>IF(T6&gt;0,"Dr","Cr")</f>
        <v>Dr</v>
      </c>
      <c r="T6" s="5">
        <f>(T5+Q6)-R6</f>
        <v>8560</v>
      </c>
      <c r="V6" s="2">
        <v>44023</v>
      </c>
      <c r="W6" s="3" t="s">
        <v>362</v>
      </c>
      <c r="X6" s="4">
        <v>2673</v>
      </c>
      <c r="Y6" s="4"/>
      <c r="Z6" s="5" t="str">
        <f>IF(AA6&gt;0,"Dr","Cr")</f>
        <v>Dr</v>
      </c>
      <c r="AA6" s="5">
        <f>(AA5+X6)-Y6</f>
        <v>2673</v>
      </c>
      <c r="AC6" s="2"/>
      <c r="AD6" s="3"/>
      <c r="AE6" s="4"/>
      <c r="AF6" s="4"/>
      <c r="AG6" s="5" t="str">
        <f>IF(AH6&gt;0,"Dr","Cr")</f>
        <v>Cr</v>
      </c>
      <c r="AH6" s="5">
        <f>(AH5+AE6)-AF6</f>
        <v>0</v>
      </c>
    </row>
    <row r="7" spans="1:34">
      <c r="A7" s="2">
        <v>43739</v>
      </c>
      <c r="B7" s="3" t="s">
        <v>81</v>
      </c>
      <c r="C7" s="4">
        <v>4218</v>
      </c>
      <c r="D7" s="4"/>
      <c r="E7" s="5" t="str">
        <f>IF(F7&gt;0,"Dr","Cr")</f>
        <v>Dr</v>
      </c>
      <c r="F7" s="5">
        <f>(F6+C7)-D7</f>
        <v>4218</v>
      </c>
      <c r="H7" s="2">
        <v>43739</v>
      </c>
      <c r="I7" s="3" t="s">
        <v>79</v>
      </c>
      <c r="J7" s="4">
        <v>4218</v>
      </c>
      <c r="K7" s="4"/>
      <c r="L7" s="5" t="str">
        <f>IF(M7&gt;0,"Dr","Cr")</f>
        <v>Dr</v>
      </c>
      <c r="M7" s="5">
        <f>(M6+J7)-K7</f>
        <v>4218</v>
      </c>
      <c r="O7" s="2">
        <v>43890</v>
      </c>
      <c r="P7" s="3" t="s">
        <v>280</v>
      </c>
      <c r="Q7" s="4">
        <v>2200</v>
      </c>
      <c r="R7" s="4"/>
      <c r="S7" s="5" t="str">
        <f>IF(T7&gt;0,"Dr","Cr")</f>
        <v>Dr</v>
      </c>
      <c r="T7" s="5">
        <f>(T6+Q7)-R7</f>
        <v>10760</v>
      </c>
      <c r="V7" s="2">
        <v>44023</v>
      </c>
      <c r="W7" s="3" t="s">
        <v>363</v>
      </c>
      <c r="X7" s="4">
        <v>1250</v>
      </c>
      <c r="Y7" s="4"/>
      <c r="Z7" s="5" t="str">
        <f>IF(AA7&gt;0,"Dr","Cr")</f>
        <v>Dr</v>
      </c>
      <c r="AA7" s="5">
        <f>(AA6+X7)-Y7</f>
        <v>3923</v>
      </c>
      <c r="AC7" s="2"/>
      <c r="AD7" s="3"/>
      <c r="AE7" s="4"/>
      <c r="AF7" s="4"/>
      <c r="AG7" s="5" t="str">
        <f>IF(AH7&gt;0,"Dr","Cr")</f>
        <v>Cr</v>
      </c>
      <c r="AH7" s="5">
        <f>(AH6+AE7)-AF7</f>
        <v>0</v>
      </c>
    </row>
    <row r="8" spans="1:34">
      <c r="A8" s="6">
        <v>43834</v>
      </c>
      <c r="B8" s="3" t="s">
        <v>80</v>
      </c>
      <c r="C8" s="4">
        <v>12682</v>
      </c>
      <c r="D8" s="7"/>
      <c r="E8" s="5" t="str">
        <f>IF(F8&gt;0,"Dr","Cr")</f>
        <v>Dr</v>
      </c>
      <c r="F8" s="5">
        <f>(F7+C8)-D8</f>
        <v>16900</v>
      </c>
      <c r="H8" s="6">
        <v>44136</v>
      </c>
      <c r="I8" s="3" t="s">
        <v>78</v>
      </c>
      <c r="J8" s="4"/>
      <c r="K8" s="7">
        <v>4000</v>
      </c>
      <c r="L8" s="5" t="str">
        <f>IF(M8&gt;0,"Dr","Cr")</f>
        <v>Dr</v>
      </c>
      <c r="M8" s="5">
        <f>(M7+J8)-K8</f>
        <v>218</v>
      </c>
      <c r="O8" s="6">
        <v>43893</v>
      </c>
      <c r="P8" s="3" t="s">
        <v>286</v>
      </c>
      <c r="Q8" s="4"/>
      <c r="R8" s="7">
        <v>10700</v>
      </c>
      <c r="S8" s="5" t="str">
        <f>IF(T8&gt;0,"Dr","Cr")</f>
        <v>Dr</v>
      </c>
      <c r="T8" s="5">
        <f>(T7+Q8)-R8</f>
        <v>60</v>
      </c>
      <c r="V8" s="6">
        <v>44023</v>
      </c>
      <c r="W8" s="3" t="s">
        <v>364</v>
      </c>
      <c r="X8" s="4"/>
      <c r="Y8" s="7">
        <v>3900</v>
      </c>
      <c r="Z8" s="5" t="str">
        <f>IF(AA8&gt;0,"Dr","Cr")</f>
        <v>Dr</v>
      </c>
      <c r="AA8" s="5">
        <f>(AA7+X8)-Y8</f>
        <v>23</v>
      </c>
      <c r="AC8" s="6"/>
      <c r="AD8" s="3"/>
      <c r="AE8" s="4"/>
      <c r="AF8" s="7"/>
      <c r="AG8" s="5" t="str">
        <f>IF(AH8&gt;0,"Dr","Cr")</f>
        <v>Cr</v>
      </c>
      <c r="AH8" s="5">
        <f>(AH7+AE8)-AF8</f>
        <v>0</v>
      </c>
    </row>
    <row r="9" spans="1:34">
      <c r="A9" s="15">
        <v>43834</v>
      </c>
      <c r="B9" s="9" t="s">
        <v>82</v>
      </c>
      <c r="C9" s="4"/>
      <c r="D9" s="7">
        <v>16900</v>
      </c>
      <c r="E9" s="5" t="str">
        <f t="shared" ref="E9" si="0">IF(F9&gt;0,"Dr","Cr")</f>
        <v>Cr</v>
      </c>
      <c r="F9" s="5">
        <f t="shared" ref="F9" si="1">(F8+C9)-D9</f>
        <v>0</v>
      </c>
      <c r="H9" s="15">
        <v>43834</v>
      </c>
      <c r="I9" s="9" t="s">
        <v>80</v>
      </c>
      <c r="J9" s="4">
        <v>12682</v>
      </c>
      <c r="K9" s="7"/>
      <c r="L9" s="5" t="str">
        <f t="shared" ref="L9" si="2">IF(M9&gt;0,"Dr","Cr")</f>
        <v>Dr</v>
      </c>
      <c r="M9" s="5">
        <f t="shared" ref="M9" si="3">(M8+J9)-K9</f>
        <v>12900</v>
      </c>
      <c r="O9" s="15">
        <v>43930</v>
      </c>
      <c r="P9" s="9" t="s">
        <v>306</v>
      </c>
      <c r="Q9" s="4">
        <v>10359</v>
      </c>
      <c r="R9" s="7"/>
      <c r="S9" s="5" t="str">
        <f t="shared" ref="S9:S16" si="4">IF(T9&gt;0,"Dr","Cr")</f>
        <v>Dr</v>
      </c>
      <c r="T9" s="5">
        <f t="shared" ref="T9:T16" si="5">(T8+Q9)-R9</f>
        <v>10419</v>
      </c>
      <c r="V9" s="15"/>
      <c r="W9" s="9"/>
      <c r="X9" s="4"/>
      <c r="Y9" s="7"/>
      <c r="Z9" s="5" t="str">
        <f t="shared" ref="Z9:Z16" si="6">IF(AA9&gt;0,"Dr","Cr")</f>
        <v>Dr</v>
      </c>
      <c r="AA9" s="5">
        <f t="shared" ref="AA9:AA16" si="7">(AA8+X9)-Y9</f>
        <v>23</v>
      </c>
      <c r="AC9" s="15"/>
      <c r="AD9" s="9"/>
      <c r="AE9" s="4"/>
      <c r="AF9" s="7"/>
      <c r="AG9" s="5" t="str">
        <f t="shared" ref="AG9:AG16" si="8">IF(AH9&gt;0,"Dr","Cr")</f>
        <v>Cr</v>
      </c>
      <c r="AH9" s="5">
        <f t="shared" ref="AH9:AH16" si="9">(AH8+AE9)-AF9</f>
        <v>0</v>
      </c>
    </row>
    <row r="10" spans="1:34">
      <c r="A10" s="42">
        <v>43864</v>
      </c>
      <c r="B10" s="3" t="s">
        <v>246</v>
      </c>
      <c r="C10" s="4">
        <v>15287</v>
      </c>
      <c r="D10" s="9"/>
      <c r="E10" s="5" t="str">
        <f t="shared" ref="E10:E16" si="10">IF(F10&gt;0,"Dr","Cr")</f>
        <v>Dr</v>
      </c>
      <c r="F10" s="5">
        <f t="shared" ref="F10:F16" si="11">(F9+C10)-D10</f>
        <v>15287</v>
      </c>
      <c r="H10" s="42">
        <v>43834</v>
      </c>
      <c r="I10" s="3" t="s">
        <v>78</v>
      </c>
      <c r="J10" s="4"/>
      <c r="K10" s="9">
        <v>12000</v>
      </c>
      <c r="L10" s="5" t="str">
        <f t="shared" ref="L10:L16" si="12">IF(M10&gt;0,"Dr","Cr")</f>
        <v>Dr</v>
      </c>
      <c r="M10" s="5">
        <f t="shared" ref="M10:M16" si="13">(M9+J10)-K10</f>
        <v>900</v>
      </c>
      <c r="O10" s="42">
        <v>43930</v>
      </c>
      <c r="P10" s="3" t="s">
        <v>280</v>
      </c>
      <c r="Q10" s="4">
        <v>750</v>
      </c>
      <c r="R10" s="9"/>
      <c r="S10" s="5" t="str">
        <f t="shared" si="4"/>
        <v>Dr</v>
      </c>
      <c r="T10" s="5">
        <f t="shared" si="5"/>
        <v>11169</v>
      </c>
      <c r="V10" s="42"/>
      <c r="W10" s="3"/>
      <c r="X10" s="4"/>
      <c r="Y10" s="9"/>
      <c r="Z10" s="5" t="str">
        <f t="shared" si="6"/>
        <v>Dr</v>
      </c>
      <c r="AA10" s="5">
        <f t="shared" si="7"/>
        <v>23</v>
      </c>
      <c r="AC10" s="42"/>
      <c r="AD10" s="3"/>
      <c r="AE10" s="4"/>
      <c r="AF10" s="9"/>
      <c r="AG10" s="5" t="str">
        <f t="shared" si="8"/>
        <v>Cr</v>
      </c>
      <c r="AH10" s="5">
        <f t="shared" si="9"/>
        <v>0</v>
      </c>
    </row>
    <row r="11" spans="1:34">
      <c r="A11" s="42">
        <v>43864</v>
      </c>
      <c r="B11" s="3" t="s">
        <v>247</v>
      </c>
      <c r="C11" s="4">
        <v>5200</v>
      </c>
      <c r="D11" s="9"/>
      <c r="E11" s="5" t="str">
        <f t="shared" si="10"/>
        <v>Dr</v>
      </c>
      <c r="F11" s="5">
        <f t="shared" si="11"/>
        <v>20487</v>
      </c>
      <c r="H11" s="42">
        <v>43864</v>
      </c>
      <c r="I11" s="3" t="s">
        <v>248</v>
      </c>
      <c r="J11" s="4">
        <v>20487</v>
      </c>
      <c r="K11" s="9"/>
      <c r="L11" s="5" t="str">
        <f t="shared" si="12"/>
        <v>Dr</v>
      </c>
      <c r="M11" s="5">
        <f t="shared" si="13"/>
        <v>21387</v>
      </c>
      <c r="O11" s="42">
        <v>43935</v>
      </c>
      <c r="P11" s="3" t="s">
        <v>286</v>
      </c>
      <c r="Q11" s="4"/>
      <c r="R11" s="9">
        <v>11150</v>
      </c>
      <c r="S11" s="5" t="str">
        <f t="shared" si="4"/>
        <v>Dr</v>
      </c>
      <c r="T11" s="5">
        <f t="shared" si="5"/>
        <v>19</v>
      </c>
      <c r="V11" s="42"/>
      <c r="W11" s="3"/>
      <c r="X11" s="4"/>
      <c r="Y11" s="9"/>
      <c r="Z11" s="5" t="str">
        <f t="shared" si="6"/>
        <v>Dr</v>
      </c>
      <c r="AA11" s="5">
        <f t="shared" si="7"/>
        <v>23</v>
      </c>
      <c r="AC11" s="42"/>
      <c r="AD11" s="3"/>
      <c r="AE11" s="4"/>
      <c r="AF11" s="9"/>
      <c r="AG11" s="5" t="str">
        <f t="shared" si="8"/>
        <v>Cr</v>
      </c>
      <c r="AH11" s="5">
        <f t="shared" si="9"/>
        <v>0</v>
      </c>
    </row>
    <row r="12" spans="1:34">
      <c r="A12" s="104">
        <v>43869</v>
      </c>
      <c r="B12" s="33" t="s">
        <v>82</v>
      </c>
      <c r="C12" s="31"/>
      <c r="D12" s="27">
        <v>20260</v>
      </c>
      <c r="E12" s="32" t="str">
        <f t="shared" si="10"/>
        <v>Dr</v>
      </c>
      <c r="F12" s="32">
        <f t="shared" si="11"/>
        <v>227</v>
      </c>
      <c r="H12" s="104">
        <v>43864</v>
      </c>
      <c r="I12" s="3" t="s">
        <v>250</v>
      </c>
      <c r="J12" s="31"/>
      <c r="K12" s="27">
        <v>900</v>
      </c>
      <c r="L12" s="32" t="str">
        <f t="shared" si="12"/>
        <v>Dr</v>
      </c>
      <c r="M12" s="32">
        <f t="shared" si="13"/>
        <v>20487</v>
      </c>
      <c r="O12" s="104">
        <v>43986</v>
      </c>
      <c r="P12" s="3" t="s">
        <v>327</v>
      </c>
      <c r="Q12" s="31">
        <v>10297</v>
      </c>
      <c r="R12" s="27"/>
      <c r="S12" s="32" t="str">
        <f t="shared" si="4"/>
        <v>Dr</v>
      </c>
      <c r="T12" s="32">
        <f t="shared" si="5"/>
        <v>10316</v>
      </c>
      <c r="V12" s="104"/>
      <c r="W12" s="3"/>
      <c r="X12" s="31"/>
      <c r="Y12" s="27"/>
      <c r="Z12" s="32" t="str">
        <f t="shared" si="6"/>
        <v>Dr</v>
      </c>
      <c r="AA12" s="32">
        <f t="shared" si="7"/>
        <v>23</v>
      </c>
      <c r="AC12" s="104"/>
      <c r="AD12" s="3"/>
      <c r="AE12" s="31"/>
      <c r="AF12" s="27"/>
      <c r="AG12" s="32" t="str">
        <f t="shared" si="8"/>
        <v>Cr</v>
      </c>
      <c r="AH12" s="32">
        <f t="shared" si="9"/>
        <v>0</v>
      </c>
    </row>
    <row r="13" spans="1:34">
      <c r="A13" s="42">
        <v>43890</v>
      </c>
      <c r="B13" s="3" t="s">
        <v>279</v>
      </c>
      <c r="C13" s="4">
        <v>16579</v>
      </c>
      <c r="D13" s="9"/>
      <c r="E13" s="5" t="str">
        <f t="shared" si="10"/>
        <v>Dr</v>
      </c>
      <c r="F13" s="5">
        <f t="shared" si="11"/>
        <v>16806</v>
      </c>
      <c r="H13" s="42">
        <v>43865</v>
      </c>
      <c r="I13" s="3" t="s">
        <v>260</v>
      </c>
      <c r="J13" s="4"/>
      <c r="K13" s="9">
        <v>15000</v>
      </c>
      <c r="L13" s="5" t="str">
        <f t="shared" si="12"/>
        <v>Dr</v>
      </c>
      <c r="M13" s="5">
        <f t="shared" si="13"/>
        <v>5487</v>
      </c>
      <c r="O13" s="42">
        <v>43986</v>
      </c>
      <c r="P13" s="3" t="s">
        <v>325</v>
      </c>
      <c r="Q13" s="4">
        <v>7444</v>
      </c>
      <c r="R13" s="9"/>
      <c r="S13" s="5" t="str">
        <f t="shared" si="4"/>
        <v>Dr</v>
      </c>
      <c r="T13" s="5">
        <f t="shared" si="5"/>
        <v>17760</v>
      </c>
      <c r="V13" s="9"/>
      <c r="W13" s="3"/>
      <c r="X13" s="4"/>
      <c r="Y13" s="9"/>
      <c r="Z13" s="5" t="str">
        <f t="shared" si="6"/>
        <v>Dr</v>
      </c>
      <c r="AA13" s="5">
        <f t="shared" si="7"/>
        <v>23</v>
      </c>
      <c r="AC13" s="9"/>
      <c r="AD13" s="3"/>
      <c r="AE13" s="4"/>
      <c r="AF13" s="9"/>
      <c r="AG13" s="5" t="str">
        <f t="shared" si="8"/>
        <v>Cr</v>
      </c>
      <c r="AH13" s="5">
        <f t="shared" si="9"/>
        <v>0</v>
      </c>
    </row>
    <row r="14" spans="1:34">
      <c r="A14" s="42">
        <v>43890</v>
      </c>
      <c r="B14" s="3" t="s">
        <v>280</v>
      </c>
      <c r="C14" s="4">
        <v>750</v>
      </c>
      <c r="D14" s="9"/>
      <c r="E14" s="5" t="str">
        <f t="shared" si="10"/>
        <v>Dr</v>
      </c>
      <c r="F14" s="5">
        <f t="shared" si="11"/>
        <v>17556</v>
      </c>
      <c r="H14" s="42">
        <v>43865</v>
      </c>
      <c r="I14" s="3" t="s">
        <v>250</v>
      </c>
      <c r="J14" s="4"/>
      <c r="K14" s="9">
        <v>5487</v>
      </c>
      <c r="L14" s="5" t="str">
        <f t="shared" si="12"/>
        <v>Cr</v>
      </c>
      <c r="M14" s="5">
        <f t="shared" si="13"/>
        <v>0</v>
      </c>
      <c r="O14" s="42">
        <v>43986</v>
      </c>
      <c r="P14" s="3" t="s">
        <v>280</v>
      </c>
      <c r="Q14" s="4">
        <v>500</v>
      </c>
      <c r="R14" s="9"/>
      <c r="S14" s="5" t="str">
        <f t="shared" si="4"/>
        <v>Dr</v>
      </c>
      <c r="T14" s="5">
        <f t="shared" si="5"/>
        <v>18260</v>
      </c>
      <c r="V14" s="9"/>
      <c r="W14" s="3"/>
      <c r="X14" s="4"/>
      <c r="Y14" s="9"/>
      <c r="Z14" s="5" t="str">
        <f t="shared" si="6"/>
        <v>Dr</v>
      </c>
      <c r="AA14" s="5">
        <f t="shared" si="7"/>
        <v>23</v>
      </c>
      <c r="AC14" s="9"/>
      <c r="AD14" s="3"/>
      <c r="AE14" s="4"/>
      <c r="AF14" s="9"/>
      <c r="AG14" s="5" t="str">
        <f t="shared" si="8"/>
        <v>Cr</v>
      </c>
      <c r="AH14" s="5">
        <f t="shared" si="9"/>
        <v>0</v>
      </c>
    </row>
    <row r="15" spans="1:34">
      <c r="A15" s="42">
        <v>43895</v>
      </c>
      <c r="B15" s="3" t="s">
        <v>82</v>
      </c>
      <c r="C15" s="4"/>
      <c r="D15" s="9">
        <v>17500</v>
      </c>
      <c r="E15" s="5" t="str">
        <f t="shared" si="10"/>
        <v>Dr</v>
      </c>
      <c r="F15" s="5">
        <f t="shared" si="11"/>
        <v>56</v>
      </c>
      <c r="H15" s="42">
        <v>43890</v>
      </c>
      <c r="I15" s="3" t="s">
        <v>281</v>
      </c>
      <c r="J15" s="4">
        <v>17329</v>
      </c>
      <c r="K15" s="9"/>
      <c r="L15" s="5" t="str">
        <f t="shared" si="12"/>
        <v>Dr</v>
      </c>
      <c r="M15" s="5">
        <f t="shared" si="13"/>
        <v>17329</v>
      </c>
      <c r="O15" s="42">
        <v>43988</v>
      </c>
      <c r="P15" s="3" t="s">
        <v>286</v>
      </c>
      <c r="Q15" s="4"/>
      <c r="R15" s="9">
        <v>18200</v>
      </c>
      <c r="S15" s="5" t="str">
        <f t="shared" si="4"/>
        <v>Dr</v>
      </c>
      <c r="T15" s="5">
        <f t="shared" si="5"/>
        <v>60</v>
      </c>
      <c r="V15" s="9"/>
      <c r="W15" s="3"/>
      <c r="X15" s="4"/>
      <c r="Y15" s="9"/>
      <c r="Z15" s="5" t="str">
        <f t="shared" si="6"/>
        <v>Dr</v>
      </c>
      <c r="AA15" s="5">
        <f t="shared" si="7"/>
        <v>23</v>
      </c>
      <c r="AC15" s="9"/>
      <c r="AD15" s="3"/>
      <c r="AE15" s="4"/>
      <c r="AF15" s="9"/>
      <c r="AG15" s="5" t="str">
        <f t="shared" si="8"/>
        <v>Cr</v>
      </c>
      <c r="AH15" s="5">
        <f t="shared" si="9"/>
        <v>0</v>
      </c>
    </row>
    <row r="16" spans="1:34">
      <c r="A16" s="42">
        <v>43930</v>
      </c>
      <c r="B16" s="3" t="s">
        <v>304</v>
      </c>
      <c r="C16" s="4">
        <v>17994</v>
      </c>
      <c r="D16" s="9"/>
      <c r="E16" s="5" t="str">
        <f t="shared" si="10"/>
        <v>Dr</v>
      </c>
      <c r="F16" s="5">
        <f t="shared" si="11"/>
        <v>18050</v>
      </c>
      <c r="H16" s="42">
        <v>43890</v>
      </c>
      <c r="I16" s="3" t="s">
        <v>283</v>
      </c>
      <c r="J16" s="4">
        <v>10760</v>
      </c>
      <c r="K16" s="9"/>
      <c r="L16" s="5" t="str">
        <f t="shared" si="12"/>
        <v>Dr</v>
      </c>
      <c r="M16" s="5">
        <f t="shared" si="13"/>
        <v>28089</v>
      </c>
      <c r="O16" s="42">
        <v>44023</v>
      </c>
      <c r="P16" s="3" t="s">
        <v>358</v>
      </c>
      <c r="Q16" s="4">
        <v>10883</v>
      </c>
      <c r="R16" s="9"/>
      <c r="S16" s="5" t="str">
        <f t="shared" si="4"/>
        <v>Dr</v>
      </c>
      <c r="T16" s="5">
        <f t="shared" si="5"/>
        <v>10943</v>
      </c>
      <c r="V16" s="9"/>
      <c r="W16" s="3"/>
      <c r="X16" s="4"/>
      <c r="Y16" s="9"/>
      <c r="Z16" s="5" t="str">
        <f t="shared" si="6"/>
        <v>Dr</v>
      </c>
      <c r="AA16" s="5">
        <f t="shared" si="7"/>
        <v>23</v>
      </c>
      <c r="AC16" s="9"/>
      <c r="AD16" s="3"/>
      <c r="AE16" s="4"/>
      <c r="AF16" s="9"/>
      <c r="AG16" s="5" t="str">
        <f t="shared" si="8"/>
        <v>Cr</v>
      </c>
      <c r="AH16" s="5">
        <f t="shared" si="9"/>
        <v>0</v>
      </c>
    </row>
    <row r="17" spans="1:32">
      <c r="A17" s="42">
        <v>43935</v>
      </c>
      <c r="B17" s="66" t="s">
        <v>82</v>
      </c>
      <c r="C17" s="4"/>
      <c r="D17" s="9">
        <v>18000</v>
      </c>
      <c r="E17" s="65" t="str">
        <f t="shared" ref="E17:E23" si="14">IF(F17&gt;0,"Dr","Cr")</f>
        <v>Dr</v>
      </c>
      <c r="F17" s="65">
        <f t="shared" ref="F17:F23" si="15">(F16+C17)-D17</f>
        <v>50</v>
      </c>
      <c r="H17" s="42">
        <v>43890</v>
      </c>
      <c r="I17" s="66" t="s">
        <v>182</v>
      </c>
      <c r="J17" s="4"/>
      <c r="K17" s="9">
        <v>13089</v>
      </c>
      <c r="L17" s="65" t="str">
        <f t="shared" ref="L17:L22" si="16">IF(M17&gt;0,"Dr","Cr")</f>
        <v>Dr</v>
      </c>
      <c r="M17" s="65">
        <f t="shared" ref="M17:M22" si="17">(M16+J17)-K17</f>
        <v>15000</v>
      </c>
      <c r="O17" s="42">
        <v>44023</v>
      </c>
      <c r="P17" s="66" t="s">
        <v>286</v>
      </c>
      <c r="Q17" s="4"/>
      <c r="R17" s="9">
        <v>10900</v>
      </c>
      <c r="S17" s="65" t="str">
        <f>IF(T17&gt;0,"Dr","Cr")</f>
        <v>Dr</v>
      </c>
      <c r="T17" s="65">
        <f>(T16+Q17)-R17</f>
        <v>43</v>
      </c>
      <c r="W17" s="41" t="s">
        <v>76</v>
      </c>
      <c r="X17" s="41">
        <f>SUM(Table689710[[#All],[Column3]])</f>
        <v>3923</v>
      </c>
      <c r="Y17" s="41">
        <f>SUM(Table689710[[#All],[Column4]])</f>
        <v>3900</v>
      </c>
      <c r="AD17" s="41" t="s">
        <v>76</v>
      </c>
      <c r="AE17" s="41">
        <f>SUM(Table6897103[[#All],[Column3]])</f>
        <v>0</v>
      </c>
      <c r="AF17" s="41">
        <f>SUM(Table6897103[[#All],[Column4]])</f>
        <v>0</v>
      </c>
    </row>
    <row r="18" spans="1:32">
      <c r="A18" s="42">
        <v>43986</v>
      </c>
      <c r="B18" s="66" t="s">
        <v>324</v>
      </c>
      <c r="C18" s="4">
        <v>12755</v>
      </c>
      <c r="D18" s="9"/>
      <c r="E18" s="65" t="str">
        <f t="shared" si="14"/>
        <v>Dr</v>
      </c>
      <c r="F18" s="65">
        <f t="shared" si="15"/>
        <v>12805</v>
      </c>
      <c r="H18" s="42">
        <v>43892</v>
      </c>
      <c r="I18" s="66" t="s">
        <v>260</v>
      </c>
      <c r="J18" s="4"/>
      <c r="K18" s="9">
        <v>15000</v>
      </c>
      <c r="L18" s="65" t="str">
        <f t="shared" si="16"/>
        <v>Cr</v>
      </c>
      <c r="M18" s="65">
        <f t="shared" si="17"/>
        <v>0</v>
      </c>
      <c r="O18" s="42"/>
      <c r="P18" s="66"/>
      <c r="Q18" s="4"/>
      <c r="R18" s="9"/>
      <c r="S18" s="65" t="str">
        <f>IF(T18&gt;0,"Dr","Cr")</f>
        <v>Dr</v>
      </c>
      <c r="T18" s="65">
        <f>(T17+Q18)-R18</f>
        <v>43</v>
      </c>
    </row>
    <row r="19" spans="1:32">
      <c r="A19" s="42">
        <v>43986</v>
      </c>
      <c r="B19" s="66" t="s">
        <v>325</v>
      </c>
      <c r="C19" s="4">
        <v>11487</v>
      </c>
      <c r="D19" s="9"/>
      <c r="E19" s="65" t="str">
        <f t="shared" si="14"/>
        <v>Dr</v>
      </c>
      <c r="F19" s="65">
        <f t="shared" si="15"/>
        <v>24292</v>
      </c>
      <c r="H19" s="42">
        <v>43930</v>
      </c>
      <c r="I19" s="66" t="s">
        <v>305</v>
      </c>
      <c r="J19" s="4">
        <v>17993</v>
      </c>
      <c r="K19" s="9"/>
      <c r="L19" s="65" t="str">
        <f t="shared" si="16"/>
        <v>Dr</v>
      </c>
      <c r="M19" s="65">
        <f t="shared" si="17"/>
        <v>17993</v>
      </c>
      <c r="P19" s="41" t="s">
        <v>76</v>
      </c>
      <c r="Q19" s="41">
        <f>SUM(Table6897[[#All],[Column3]])</f>
        <v>50993</v>
      </c>
      <c r="R19" s="41">
        <f>SUM(Table6897[[#All],[Column4]])</f>
        <v>50950</v>
      </c>
    </row>
    <row r="20" spans="1:32">
      <c r="A20" s="42">
        <v>43986</v>
      </c>
      <c r="B20" s="66" t="s">
        <v>323</v>
      </c>
      <c r="C20" s="4">
        <v>550</v>
      </c>
      <c r="D20" s="9"/>
      <c r="E20" s="65" t="str">
        <f t="shared" si="14"/>
        <v>Dr</v>
      </c>
      <c r="F20" s="65">
        <f t="shared" si="15"/>
        <v>24842</v>
      </c>
      <c r="H20" s="42">
        <v>43930</v>
      </c>
      <c r="I20" s="66" t="s">
        <v>307</v>
      </c>
      <c r="J20" s="4">
        <v>11109</v>
      </c>
      <c r="K20" s="9"/>
      <c r="L20" s="65" t="str">
        <f t="shared" si="16"/>
        <v>Dr</v>
      </c>
      <c r="M20" s="65">
        <f t="shared" si="17"/>
        <v>29102</v>
      </c>
    </row>
    <row r="21" spans="1:32">
      <c r="A21" s="42">
        <v>43988</v>
      </c>
      <c r="B21" s="66" t="s">
        <v>82</v>
      </c>
      <c r="C21" s="4"/>
      <c r="D21" s="9">
        <v>24700</v>
      </c>
      <c r="E21" s="65" t="str">
        <f t="shared" si="14"/>
        <v>Dr</v>
      </c>
      <c r="F21" s="65">
        <f t="shared" si="15"/>
        <v>142</v>
      </c>
      <c r="H21" s="42">
        <v>43930</v>
      </c>
      <c r="I21" s="66" t="s">
        <v>260</v>
      </c>
      <c r="J21" s="4"/>
      <c r="K21" s="9">
        <v>15000</v>
      </c>
      <c r="L21" s="65" t="str">
        <f t="shared" si="16"/>
        <v>Dr</v>
      </c>
      <c r="M21" s="65">
        <f t="shared" si="17"/>
        <v>14102</v>
      </c>
    </row>
    <row r="22" spans="1:32">
      <c r="A22" s="42">
        <v>44023</v>
      </c>
      <c r="B22" s="66" t="s">
        <v>358</v>
      </c>
      <c r="C22" s="4">
        <v>21895</v>
      </c>
      <c r="D22" s="9"/>
      <c r="E22" s="65" t="str">
        <f t="shared" si="14"/>
        <v>Dr</v>
      </c>
      <c r="F22" s="65">
        <f t="shared" si="15"/>
        <v>22037</v>
      </c>
      <c r="H22" s="42">
        <v>43963</v>
      </c>
      <c r="I22" s="66" t="s">
        <v>321</v>
      </c>
      <c r="J22" s="4"/>
      <c r="K22" s="9">
        <v>14000</v>
      </c>
      <c r="L22" s="65" t="str">
        <f t="shared" si="16"/>
        <v>Dr</v>
      </c>
      <c r="M22" s="65">
        <f t="shared" si="17"/>
        <v>102</v>
      </c>
    </row>
    <row r="23" spans="1:32">
      <c r="A23" s="42">
        <v>44023</v>
      </c>
      <c r="B23" s="66" t="s">
        <v>82</v>
      </c>
      <c r="C23" s="4"/>
      <c r="D23" s="9">
        <v>22000</v>
      </c>
      <c r="E23" s="65" t="str">
        <f t="shared" si="14"/>
        <v>Dr</v>
      </c>
      <c r="F23" s="65">
        <f t="shared" si="15"/>
        <v>37</v>
      </c>
      <c r="H23" s="42">
        <v>43963</v>
      </c>
      <c r="I23" s="66" t="s">
        <v>322</v>
      </c>
      <c r="J23" s="4">
        <v>56</v>
      </c>
      <c r="K23" s="9"/>
      <c r="L23" s="65" t="str">
        <f t="shared" ref="L23:L29" si="18">IF(M23&gt;0,"Dr","Cr")</f>
        <v>Dr</v>
      </c>
      <c r="M23" s="65">
        <f t="shared" ref="M23:M29" si="19">(M22+J23)-K23</f>
        <v>158</v>
      </c>
    </row>
    <row r="24" spans="1:32">
      <c r="B24" s="41" t="s">
        <v>76</v>
      </c>
      <c r="C24" s="41">
        <f>SUM(Table68[[#All],[Column3]])</f>
        <v>119397</v>
      </c>
      <c r="D24" s="41">
        <f>SUM(Table68[[#All],[Column4]])</f>
        <v>119360</v>
      </c>
      <c r="H24" s="42">
        <v>43963</v>
      </c>
      <c r="I24" s="66" t="s">
        <v>260</v>
      </c>
      <c r="J24" s="4"/>
      <c r="K24" s="9">
        <v>17000</v>
      </c>
      <c r="L24" s="65" t="str">
        <f t="shared" si="18"/>
        <v>Cr</v>
      </c>
      <c r="M24" s="65">
        <f t="shared" si="19"/>
        <v>-16842</v>
      </c>
    </row>
    <row r="25" spans="1:32">
      <c r="H25" s="42">
        <v>43986</v>
      </c>
      <c r="I25" s="66" t="s">
        <v>326</v>
      </c>
      <c r="J25" s="4">
        <v>24792</v>
      </c>
      <c r="K25" s="9"/>
      <c r="L25" s="65" t="str">
        <f t="shared" si="18"/>
        <v>Dr</v>
      </c>
      <c r="M25" s="65">
        <f t="shared" si="19"/>
        <v>7950</v>
      </c>
    </row>
    <row r="26" spans="1:32">
      <c r="H26" s="42">
        <v>43986</v>
      </c>
      <c r="I26" s="66" t="s">
        <v>328</v>
      </c>
      <c r="J26" s="4">
        <v>18240</v>
      </c>
      <c r="K26" s="9"/>
      <c r="L26" s="65" t="str">
        <f t="shared" si="18"/>
        <v>Dr</v>
      </c>
      <c r="M26" s="65">
        <f t="shared" si="19"/>
        <v>26190</v>
      </c>
    </row>
    <row r="27" spans="1:32">
      <c r="H27" s="42">
        <v>43992</v>
      </c>
      <c r="I27" s="66" t="s">
        <v>260</v>
      </c>
      <c r="J27" s="4"/>
      <c r="K27" s="9">
        <v>15000</v>
      </c>
      <c r="L27" s="65" t="str">
        <f t="shared" si="18"/>
        <v>Dr</v>
      </c>
      <c r="M27" s="65">
        <f t="shared" si="19"/>
        <v>11190</v>
      </c>
    </row>
    <row r="28" spans="1:32">
      <c r="H28" s="42">
        <v>43992</v>
      </c>
      <c r="I28" s="66" t="s">
        <v>321</v>
      </c>
      <c r="J28" s="4"/>
      <c r="K28" s="9">
        <v>10000</v>
      </c>
      <c r="L28" s="65" t="str">
        <f t="shared" si="18"/>
        <v>Dr</v>
      </c>
      <c r="M28" s="65">
        <f t="shared" si="19"/>
        <v>1190</v>
      </c>
    </row>
    <row r="29" spans="1:32">
      <c r="H29" s="42">
        <v>43992</v>
      </c>
      <c r="I29" s="66" t="s">
        <v>340</v>
      </c>
      <c r="J29" s="4"/>
      <c r="K29" s="9">
        <v>1000</v>
      </c>
      <c r="L29" s="65" t="str">
        <f t="shared" si="18"/>
        <v>Dr</v>
      </c>
      <c r="M29" s="65">
        <f t="shared" si="19"/>
        <v>190</v>
      </c>
    </row>
    <row r="30" spans="1:32">
      <c r="H30" s="42">
        <v>44023</v>
      </c>
      <c r="I30" s="66" t="s">
        <v>359</v>
      </c>
      <c r="J30" s="4">
        <v>21894</v>
      </c>
      <c r="K30" s="9"/>
      <c r="L30" s="65" t="str">
        <f t="shared" ref="L30:L36" si="20">IF(M30&gt;0,"Dr","Cr")</f>
        <v>Dr</v>
      </c>
      <c r="M30" s="65">
        <f t="shared" ref="M30:M36" si="21">(M29+J30)-K30</f>
        <v>22084</v>
      </c>
    </row>
    <row r="31" spans="1:32">
      <c r="H31" s="42">
        <v>44023</v>
      </c>
      <c r="I31" s="66" t="s">
        <v>367</v>
      </c>
      <c r="J31" s="4">
        <v>10883</v>
      </c>
      <c r="K31" s="9"/>
      <c r="L31" s="65" t="str">
        <f t="shared" si="20"/>
        <v>Dr</v>
      </c>
      <c r="M31" s="65">
        <f t="shared" si="21"/>
        <v>32967</v>
      </c>
    </row>
    <row r="32" spans="1:32">
      <c r="H32" s="42">
        <v>44023</v>
      </c>
      <c r="I32" s="66" t="s">
        <v>368</v>
      </c>
      <c r="J32" s="4">
        <v>3922</v>
      </c>
      <c r="K32" s="9"/>
      <c r="L32" s="65" t="str">
        <f t="shared" si="20"/>
        <v>Dr</v>
      </c>
      <c r="M32" s="65">
        <f t="shared" si="21"/>
        <v>36889</v>
      </c>
    </row>
    <row r="33" spans="8:13">
      <c r="H33" s="42">
        <v>44023</v>
      </c>
      <c r="I33" s="66" t="s">
        <v>374</v>
      </c>
      <c r="J33" s="4"/>
      <c r="K33" s="9">
        <v>16000</v>
      </c>
      <c r="L33" s="65" t="str">
        <f t="shared" si="20"/>
        <v>Dr</v>
      </c>
      <c r="M33" s="65">
        <f t="shared" si="21"/>
        <v>20889</v>
      </c>
    </row>
    <row r="34" spans="8:13">
      <c r="H34" s="42">
        <v>44023</v>
      </c>
      <c r="I34" s="66" t="s">
        <v>260</v>
      </c>
      <c r="J34" s="4"/>
      <c r="K34" s="9">
        <v>15000</v>
      </c>
      <c r="L34" s="65" t="str">
        <f t="shared" si="20"/>
        <v>Dr</v>
      </c>
      <c r="M34" s="65">
        <f t="shared" si="21"/>
        <v>5889</v>
      </c>
    </row>
    <row r="35" spans="8:13">
      <c r="H35" s="42">
        <v>44023</v>
      </c>
      <c r="I35" s="66" t="s">
        <v>375</v>
      </c>
      <c r="J35" s="4"/>
      <c r="K35" s="9">
        <v>5890</v>
      </c>
      <c r="L35" s="65" t="str">
        <f t="shared" si="20"/>
        <v>Cr</v>
      </c>
      <c r="M35" s="65">
        <f t="shared" si="21"/>
        <v>-1</v>
      </c>
    </row>
    <row r="36" spans="8:13">
      <c r="H36" s="42"/>
      <c r="I36" s="66"/>
      <c r="J36" s="4"/>
      <c r="K36" s="9"/>
      <c r="L36" s="65" t="str">
        <f t="shared" si="20"/>
        <v>Cr</v>
      </c>
      <c r="M36" s="65">
        <f t="shared" si="21"/>
        <v>-1</v>
      </c>
    </row>
    <row r="37" spans="8:13">
      <c r="I37" s="41" t="s">
        <v>76</v>
      </c>
      <c r="J37" s="41">
        <f>SUM(Table689[[#All],[Column3]])</f>
        <v>174365</v>
      </c>
      <c r="K37" s="41">
        <f>SUM(Table689[[#All],[Column4]])</f>
        <v>174366</v>
      </c>
    </row>
  </sheetData>
  <mergeCells count="5">
    <mergeCell ref="A1:F2"/>
    <mergeCell ref="H1:M2"/>
    <mergeCell ref="O1:T2"/>
    <mergeCell ref="V1:AA2"/>
    <mergeCell ref="AC1:AH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C11"/>
  <sheetViews>
    <sheetView topLeftCell="T1" zoomScale="90" zoomScaleNormal="90" workbookViewId="0">
      <selection activeCell="Y8" sqref="Y8"/>
    </sheetView>
  </sheetViews>
  <sheetFormatPr defaultRowHeight="15"/>
  <cols>
    <col min="1" max="1" width="11.7109375" bestFit="1" customWidth="1"/>
    <col min="2" max="2" width="16" bestFit="1" customWidth="1"/>
    <col min="7" max="7" width="11" bestFit="1" customWidth="1"/>
    <col min="8" max="8" width="14.28515625" bestFit="1" customWidth="1"/>
    <col min="13" max="13" width="11" bestFit="1" customWidth="1"/>
    <col min="14" max="14" width="14.28515625" bestFit="1" customWidth="1"/>
    <col min="19" max="19" width="9.28515625" bestFit="1" customWidth="1"/>
    <col min="20" max="20" width="14.28515625" bestFit="1" customWidth="1"/>
    <col min="25" max="25" width="10.42578125" bestFit="1" customWidth="1"/>
    <col min="26" max="26" width="14.28515625" bestFit="1" customWidth="1"/>
  </cols>
  <sheetData>
    <row r="1" spans="1:29">
      <c r="A1" s="146" t="s">
        <v>77</v>
      </c>
      <c r="B1" s="147"/>
      <c r="C1" s="147"/>
      <c r="D1" s="147"/>
      <c r="E1" s="148"/>
      <c r="G1" s="146" t="s">
        <v>88</v>
      </c>
      <c r="H1" s="147"/>
      <c r="I1" s="147"/>
      <c r="J1" s="147"/>
      <c r="K1" s="148"/>
      <c r="M1" s="146" t="s">
        <v>89</v>
      </c>
      <c r="N1" s="147"/>
      <c r="O1" s="147"/>
      <c r="P1" s="147"/>
      <c r="Q1" s="148"/>
      <c r="S1" s="146" t="s">
        <v>331</v>
      </c>
      <c r="T1" s="147"/>
      <c r="U1" s="147"/>
      <c r="V1" s="147"/>
      <c r="W1" s="148"/>
      <c r="Y1" s="146" t="s">
        <v>366</v>
      </c>
      <c r="Z1" s="147"/>
      <c r="AA1" s="147"/>
      <c r="AB1" s="147"/>
      <c r="AC1" s="148"/>
    </row>
    <row r="2" spans="1:29">
      <c r="A2" s="149"/>
      <c r="B2" s="150"/>
      <c r="C2" s="150"/>
      <c r="D2" s="150"/>
      <c r="E2" s="151"/>
      <c r="G2" s="149"/>
      <c r="H2" s="150"/>
      <c r="I2" s="150"/>
      <c r="J2" s="150"/>
      <c r="K2" s="151"/>
      <c r="M2" s="149"/>
      <c r="N2" s="150"/>
      <c r="O2" s="150"/>
      <c r="P2" s="150"/>
      <c r="Q2" s="151"/>
      <c r="S2" s="149"/>
      <c r="T2" s="150"/>
      <c r="U2" s="150"/>
      <c r="V2" s="150"/>
      <c r="W2" s="151"/>
      <c r="Y2" s="149"/>
      <c r="Z2" s="150"/>
      <c r="AA2" s="150"/>
      <c r="AB2" s="150"/>
      <c r="AC2" s="151"/>
    </row>
    <row r="3" spans="1:29" hidden="1">
      <c r="A3" s="34" t="s">
        <v>20</v>
      </c>
      <c r="B3" s="35" t="s">
        <v>21</v>
      </c>
      <c r="C3" s="36" t="s">
        <v>22</v>
      </c>
      <c r="D3" s="36" t="s">
        <v>23</v>
      </c>
      <c r="E3" s="37" t="s">
        <v>25</v>
      </c>
      <c r="G3" s="34" t="s">
        <v>20</v>
      </c>
      <c r="H3" s="35" t="s">
        <v>21</v>
      </c>
      <c r="I3" s="36" t="s">
        <v>22</v>
      </c>
      <c r="J3" s="36" t="s">
        <v>23</v>
      </c>
      <c r="K3" s="37" t="s">
        <v>25</v>
      </c>
      <c r="M3" s="34" t="s">
        <v>20</v>
      </c>
      <c r="N3" s="35" t="s">
        <v>21</v>
      </c>
      <c r="O3" s="36" t="s">
        <v>22</v>
      </c>
      <c r="P3" s="36" t="s">
        <v>23</v>
      </c>
      <c r="Q3" s="37" t="s">
        <v>25</v>
      </c>
      <c r="S3" s="34" t="s">
        <v>20</v>
      </c>
      <c r="T3" s="35" t="s">
        <v>21</v>
      </c>
      <c r="U3" s="36" t="s">
        <v>22</v>
      </c>
      <c r="V3" s="36" t="s">
        <v>23</v>
      </c>
      <c r="W3" s="37" t="s">
        <v>25</v>
      </c>
      <c r="Y3" s="34" t="s">
        <v>20</v>
      </c>
      <c r="Z3" s="35" t="s">
        <v>21</v>
      </c>
      <c r="AA3" s="36" t="s">
        <v>22</v>
      </c>
      <c r="AB3" s="36" t="s">
        <v>23</v>
      </c>
      <c r="AC3" s="37" t="s">
        <v>25</v>
      </c>
    </row>
    <row r="4" spans="1:29">
      <c r="A4" s="38" t="s">
        <v>0</v>
      </c>
      <c r="B4" s="39" t="s">
        <v>1</v>
      </c>
      <c r="C4" s="5" t="s">
        <v>2</v>
      </c>
      <c r="D4" s="5" t="s">
        <v>3</v>
      </c>
      <c r="E4" s="40" t="s">
        <v>5</v>
      </c>
      <c r="G4" s="38" t="s">
        <v>0</v>
      </c>
      <c r="H4" s="39" t="s">
        <v>1</v>
      </c>
      <c r="I4" s="5" t="s">
        <v>2</v>
      </c>
      <c r="J4" s="5" t="s">
        <v>3</v>
      </c>
      <c r="K4" s="40" t="s">
        <v>5</v>
      </c>
      <c r="M4" s="38" t="s">
        <v>0</v>
      </c>
      <c r="N4" s="39" t="s">
        <v>1</v>
      </c>
      <c r="O4" s="5" t="s">
        <v>2</v>
      </c>
      <c r="P4" s="5" t="s">
        <v>3</v>
      </c>
      <c r="Q4" s="40" t="s">
        <v>5</v>
      </c>
      <c r="S4" s="38" t="s">
        <v>0</v>
      </c>
      <c r="T4" s="39" t="s">
        <v>1</v>
      </c>
      <c r="U4" s="5" t="s">
        <v>2</v>
      </c>
      <c r="V4" s="5" t="s">
        <v>3</v>
      </c>
      <c r="W4" s="40" t="s">
        <v>5</v>
      </c>
      <c r="Y4" s="38" t="s">
        <v>0</v>
      </c>
      <c r="Z4" s="39" t="s">
        <v>1</v>
      </c>
      <c r="AA4" s="5" t="s">
        <v>2</v>
      </c>
      <c r="AB4" s="5" t="s">
        <v>3</v>
      </c>
      <c r="AC4" s="40" t="s">
        <v>5</v>
      </c>
    </row>
    <row r="5" spans="1:29">
      <c r="A5" s="8"/>
      <c r="B5" s="9"/>
      <c r="C5" s="4"/>
      <c r="D5" s="4"/>
      <c r="E5" s="5"/>
      <c r="G5" s="8"/>
      <c r="H5" s="9"/>
      <c r="I5" s="4"/>
      <c r="J5" s="4"/>
      <c r="K5" s="5"/>
      <c r="M5" s="8"/>
      <c r="N5" s="9"/>
      <c r="O5" s="4"/>
      <c r="P5" s="4"/>
      <c r="Q5" s="5"/>
      <c r="S5" s="8"/>
      <c r="T5" s="9"/>
      <c r="U5" s="4"/>
      <c r="V5" s="4"/>
      <c r="W5" s="5"/>
      <c r="Y5" s="8"/>
      <c r="Z5" s="9"/>
      <c r="AA5" s="4"/>
      <c r="AB5" s="4"/>
      <c r="AC5" s="5"/>
    </row>
    <row r="6" spans="1:29">
      <c r="A6" s="2">
        <v>44136</v>
      </c>
      <c r="B6" s="3" t="s">
        <v>201</v>
      </c>
      <c r="C6" s="4">
        <v>560000</v>
      </c>
      <c r="D6" s="4"/>
      <c r="E6" s="5">
        <f>(E5+C6)-D6</f>
        <v>560000</v>
      </c>
      <c r="G6" s="2">
        <v>43874</v>
      </c>
      <c r="H6" s="3" t="s">
        <v>271</v>
      </c>
      <c r="I6" s="4"/>
      <c r="J6" s="4">
        <v>134380</v>
      </c>
      <c r="K6" s="5">
        <f>(K5+I6)-J6</f>
        <v>-134380</v>
      </c>
      <c r="M6" s="2">
        <v>43831</v>
      </c>
      <c r="N6" s="3" t="s">
        <v>201</v>
      </c>
      <c r="O6" s="4">
        <v>400000</v>
      </c>
      <c r="P6" s="4"/>
      <c r="Q6" s="5">
        <f>(Q5+O6)-P6</f>
        <v>400000</v>
      </c>
      <c r="S6" s="42">
        <v>43988</v>
      </c>
      <c r="T6" s="3" t="s">
        <v>240</v>
      </c>
      <c r="U6" s="4">
        <v>200000</v>
      </c>
      <c r="V6" s="4"/>
      <c r="W6" s="5">
        <f>(W5+U6)-V6</f>
        <v>200000</v>
      </c>
      <c r="Y6" s="42">
        <v>44021</v>
      </c>
      <c r="Z6" s="3" t="s">
        <v>240</v>
      </c>
      <c r="AA6" s="4">
        <v>400000</v>
      </c>
      <c r="AB6" s="4"/>
      <c r="AC6" s="5">
        <f>(AC5+AA6)-AB6</f>
        <v>400000</v>
      </c>
    </row>
    <row r="7" spans="1:29">
      <c r="A7" s="2">
        <v>44156</v>
      </c>
      <c r="B7" s="3" t="s">
        <v>201</v>
      </c>
      <c r="C7" s="4">
        <v>220000</v>
      </c>
      <c r="D7" s="4"/>
      <c r="E7" s="5">
        <f>(E6+C7)-D7</f>
        <v>780000</v>
      </c>
      <c r="G7" s="2"/>
      <c r="H7" s="3"/>
      <c r="I7" s="4"/>
      <c r="J7" s="4"/>
      <c r="K7" s="5">
        <f>(K6+I7)-J7</f>
        <v>-134380</v>
      </c>
      <c r="M7" s="2">
        <v>43867</v>
      </c>
      <c r="N7" s="3" t="s">
        <v>201</v>
      </c>
      <c r="O7" s="4">
        <v>100000</v>
      </c>
      <c r="P7" s="4"/>
      <c r="Q7" s="5">
        <f>(Q6+O7)-P7</f>
        <v>500000</v>
      </c>
      <c r="S7" s="2"/>
      <c r="T7" s="3"/>
      <c r="U7" s="4"/>
      <c r="V7" s="4"/>
      <c r="W7" s="5">
        <f>(W6+U7)-V7</f>
        <v>200000</v>
      </c>
      <c r="Y7" s="2">
        <v>44055</v>
      </c>
      <c r="Z7" s="3" t="s">
        <v>240</v>
      </c>
      <c r="AA7" s="4">
        <v>500000</v>
      </c>
      <c r="AB7" s="4"/>
      <c r="AC7" s="5">
        <f>(AC6+AA7)-AB7</f>
        <v>900000</v>
      </c>
    </row>
    <row r="8" spans="1:29">
      <c r="A8" s="6">
        <v>44176</v>
      </c>
      <c r="B8" s="3" t="s">
        <v>201</v>
      </c>
      <c r="C8" s="4">
        <v>120000</v>
      </c>
      <c r="D8" s="7"/>
      <c r="E8" s="5">
        <f>(E7+C8)-D8</f>
        <v>900000</v>
      </c>
      <c r="G8" s="6"/>
      <c r="H8" s="3"/>
      <c r="I8" s="4"/>
      <c r="J8" s="7"/>
      <c r="K8" s="5">
        <f>(K7+I8)-J8</f>
        <v>-134380</v>
      </c>
      <c r="M8" s="6">
        <v>43872</v>
      </c>
      <c r="N8" s="3" t="s">
        <v>201</v>
      </c>
      <c r="O8" s="4">
        <v>100000</v>
      </c>
      <c r="P8" s="7"/>
      <c r="Q8" s="5">
        <f>(Q7+O8)-P8</f>
        <v>600000</v>
      </c>
      <c r="S8" s="6"/>
      <c r="T8" s="3"/>
      <c r="U8" s="4"/>
      <c r="V8" s="7"/>
      <c r="W8" s="5">
        <f>(W7+U8)-V8</f>
        <v>200000</v>
      </c>
      <c r="Y8" s="6"/>
      <c r="Z8" s="3"/>
      <c r="AA8" s="4"/>
      <c r="AB8" s="7"/>
      <c r="AC8" s="5">
        <f>(AC7+AA8)-AB8</f>
        <v>900000</v>
      </c>
    </row>
    <row r="9" spans="1:29">
      <c r="A9" s="15">
        <v>44023</v>
      </c>
      <c r="B9" s="9" t="s">
        <v>201</v>
      </c>
      <c r="C9" s="4">
        <v>100000</v>
      </c>
      <c r="D9" s="7"/>
      <c r="E9" s="5">
        <f>(E8+C9)-D9</f>
        <v>1000000</v>
      </c>
      <c r="G9" s="15"/>
      <c r="H9" s="9"/>
      <c r="I9" s="4"/>
      <c r="J9" s="7"/>
      <c r="K9" s="5">
        <f>(K8+I9)-J9</f>
        <v>-134380</v>
      </c>
      <c r="M9" s="15"/>
      <c r="N9" s="9"/>
      <c r="O9" s="4"/>
      <c r="P9" s="7"/>
      <c r="Q9" s="5">
        <f>(Q8+O9)-P9</f>
        <v>600000</v>
      </c>
      <c r="S9" s="15"/>
      <c r="T9" s="9"/>
      <c r="U9" s="4"/>
      <c r="V9" s="7"/>
      <c r="W9" s="5">
        <f>(W8+U9)-V9</f>
        <v>200000</v>
      </c>
      <c r="Y9" s="15"/>
      <c r="Z9" s="9"/>
      <c r="AA9" s="4"/>
      <c r="AB9" s="7"/>
      <c r="AC9" s="5">
        <f>(AC8+AA9)-AB9</f>
        <v>900000</v>
      </c>
    </row>
    <row r="10" spans="1:29">
      <c r="A10" s="15"/>
      <c r="B10" s="66"/>
      <c r="C10" s="4"/>
      <c r="D10" s="7"/>
      <c r="E10" s="65">
        <f>(E9+C10)-D10</f>
        <v>1000000</v>
      </c>
      <c r="G10" s="15"/>
      <c r="H10" s="66"/>
      <c r="I10" s="4"/>
      <c r="J10" s="7"/>
      <c r="K10" s="65">
        <f>(K9+I10)-J10</f>
        <v>-134380</v>
      </c>
      <c r="M10" s="15"/>
      <c r="N10" s="66"/>
      <c r="O10" s="4"/>
      <c r="P10" s="7"/>
      <c r="Q10" s="65">
        <f>(Q9+O10)-P10</f>
        <v>600000</v>
      </c>
      <c r="S10" s="15"/>
      <c r="T10" s="66"/>
      <c r="U10" s="4"/>
      <c r="V10" s="7"/>
      <c r="W10" s="65">
        <f>(W9+U10)-V10</f>
        <v>200000</v>
      </c>
      <c r="Y10" s="15"/>
      <c r="Z10" s="66"/>
      <c r="AA10" s="4"/>
      <c r="AB10" s="7"/>
      <c r="AC10" s="65">
        <f>(AC9+AA10)-AB10</f>
        <v>900000</v>
      </c>
    </row>
    <row r="11" spans="1:29">
      <c r="B11" s="41" t="s">
        <v>76</v>
      </c>
      <c r="C11" s="41">
        <f>SUM(Table6813[[#All],[Column3]])</f>
        <v>1000000</v>
      </c>
      <c r="D11" s="41">
        <f>SUM(Table6813[[#All],[Column4]])</f>
        <v>0</v>
      </c>
      <c r="E11" s="41">
        <f>C11-D11</f>
        <v>1000000</v>
      </c>
      <c r="H11" s="41" t="s">
        <v>76</v>
      </c>
      <c r="I11" s="41">
        <f>SUM(Table681315[[#All],[Column3]])</f>
        <v>0</v>
      </c>
      <c r="J11" s="41">
        <f>SUM(Table681315[[#All],[Column4]])</f>
        <v>134380</v>
      </c>
      <c r="K11" s="41">
        <f>I11-J11</f>
        <v>-134380</v>
      </c>
      <c r="N11" s="41" t="s">
        <v>76</v>
      </c>
      <c r="O11" s="41">
        <f>SUM(Table681316[[#All],[Column3]])</f>
        <v>600000</v>
      </c>
      <c r="P11" s="41">
        <f>SUM(Table681316[[#All],[Column4]])</f>
        <v>0</v>
      </c>
      <c r="Q11" s="41">
        <f>O11-P11</f>
        <v>600000</v>
      </c>
      <c r="T11" s="41" t="s">
        <v>76</v>
      </c>
      <c r="U11" s="41">
        <f>SUM(Table681317[[#All],[Column3]])</f>
        <v>200000</v>
      </c>
      <c r="V11" s="41">
        <f>SUM(Table681317[[#All],[Column4]])</f>
        <v>0</v>
      </c>
      <c r="W11" s="41">
        <f>U11-V11</f>
        <v>200000</v>
      </c>
      <c r="Z11" s="41" t="s">
        <v>76</v>
      </c>
      <c r="AA11" s="41">
        <f>SUM(Table68131711[[#All],[Column3]])</f>
        <v>900000</v>
      </c>
      <c r="AB11" s="41">
        <f>SUM(Table68131711[[#All],[Column4]])</f>
        <v>0</v>
      </c>
      <c r="AC11" s="41">
        <f>AA11-AB11</f>
        <v>900000</v>
      </c>
    </row>
  </sheetData>
  <mergeCells count="5">
    <mergeCell ref="A1:E2"/>
    <mergeCell ref="G1:K2"/>
    <mergeCell ref="M1:Q2"/>
    <mergeCell ref="S1:W2"/>
    <mergeCell ref="Y1:AC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H11" sqref="H11"/>
    </sheetView>
  </sheetViews>
  <sheetFormatPr defaultRowHeight="17.25" customHeight="1"/>
  <cols>
    <col min="1" max="1" width="20.42578125" customWidth="1"/>
    <col min="2" max="2" width="6.42578125" customWidth="1"/>
    <col min="3" max="3" width="24.7109375" customWidth="1"/>
    <col min="4" max="4" width="6.42578125" customWidth="1"/>
    <col min="5" max="5" width="26.7109375" bestFit="1" customWidth="1"/>
  </cols>
  <sheetData>
    <row r="1" spans="1:5" ht="17.25" customHeight="1">
      <c r="A1" s="141" t="s">
        <v>98</v>
      </c>
      <c r="C1" s="143" t="s">
        <v>237</v>
      </c>
      <c r="E1" s="144" t="s">
        <v>343</v>
      </c>
    </row>
    <row r="2" spans="1:5" ht="17.25" customHeight="1">
      <c r="A2" s="142" t="s">
        <v>101</v>
      </c>
      <c r="C2" s="144" t="s">
        <v>241</v>
      </c>
      <c r="E2" s="143" t="s">
        <v>351</v>
      </c>
    </row>
    <row r="3" spans="1:5" ht="17.25" customHeight="1">
      <c r="A3" s="141" t="s">
        <v>104</v>
      </c>
      <c r="C3" s="143" t="s">
        <v>242</v>
      </c>
      <c r="E3" s="144" t="s">
        <v>353</v>
      </c>
    </row>
    <row r="4" spans="1:5" ht="17.25" customHeight="1">
      <c r="A4" s="142" t="s">
        <v>108</v>
      </c>
      <c r="C4" s="144" t="s">
        <v>251</v>
      </c>
      <c r="E4" s="143" t="s">
        <v>355</v>
      </c>
    </row>
    <row r="5" spans="1:5" ht="17.25" customHeight="1">
      <c r="A5" s="141" t="s">
        <v>111</v>
      </c>
      <c r="C5" s="143" t="s">
        <v>256</v>
      </c>
      <c r="E5" s="144" t="s">
        <v>356</v>
      </c>
    </row>
    <row r="6" spans="1:5" ht="17.25" customHeight="1">
      <c r="A6" s="142" t="s">
        <v>115</v>
      </c>
      <c r="C6" s="144" t="s">
        <v>287</v>
      </c>
      <c r="E6" s="143" t="s">
        <v>357</v>
      </c>
    </row>
    <row r="7" spans="1:5" ht="17.25" customHeight="1">
      <c r="A7" s="141" t="s">
        <v>118</v>
      </c>
      <c r="C7" s="143" t="s">
        <v>266</v>
      </c>
      <c r="E7" s="144" t="s">
        <v>369</v>
      </c>
    </row>
    <row r="8" spans="1:5" ht="17.25" customHeight="1">
      <c r="A8" s="142" t="s">
        <v>42</v>
      </c>
      <c r="C8" s="107" t="s">
        <v>169</v>
      </c>
      <c r="E8" s="143" t="s">
        <v>371</v>
      </c>
    </row>
    <row r="9" spans="1:5" ht="17.25" customHeight="1">
      <c r="A9" s="141" t="s">
        <v>43</v>
      </c>
      <c r="C9" s="107" t="s">
        <v>172</v>
      </c>
      <c r="E9" s="144" t="s">
        <v>372</v>
      </c>
    </row>
    <row r="10" spans="1:5" ht="17.25" customHeight="1">
      <c r="A10" s="142" t="s">
        <v>124</v>
      </c>
      <c r="C10" s="108" t="s">
        <v>175</v>
      </c>
      <c r="E10" s="143" t="s">
        <v>376</v>
      </c>
    </row>
    <row r="11" spans="1:5" ht="17.25" customHeight="1">
      <c r="A11" s="141" t="s">
        <v>128</v>
      </c>
      <c r="C11" s="108" t="s">
        <v>329</v>
      </c>
      <c r="E11" s="144" t="s">
        <v>378</v>
      </c>
    </row>
    <row r="12" spans="1:5" ht="17.25" customHeight="1">
      <c r="A12" s="142" t="s">
        <v>131</v>
      </c>
      <c r="C12" s="108" t="s">
        <v>180</v>
      </c>
      <c r="E12" s="143" t="s">
        <v>380</v>
      </c>
    </row>
    <row r="13" spans="1:5" ht="17.25" customHeight="1">
      <c r="A13" s="141" t="s">
        <v>135</v>
      </c>
      <c r="C13" s="143" t="s">
        <v>273</v>
      </c>
      <c r="E13" s="144" t="s">
        <v>383</v>
      </c>
    </row>
    <row r="14" spans="1:5" ht="17.25" customHeight="1">
      <c r="A14" s="142" t="s">
        <v>138</v>
      </c>
      <c r="C14" s="144" t="s">
        <v>275</v>
      </c>
      <c r="E14" s="143" t="s">
        <v>384</v>
      </c>
    </row>
    <row r="15" spans="1:5" ht="17.25" customHeight="1">
      <c r="A15" s="141" t="s">
        <v>165</v>
      </c>
      <c r="C15" s="143" t="s">
        <v>276</v>
      </c>
      <c r="E15" s="144" t="s">
        <v>386</v>
      </c>
    </row>
    <row r="16" spans="1:5" ht="17.25" customHeight="1">
      <c r="A16" s="142" t="s">
        <v>143</v>
      </c>
      <c r="C16" s="144" t="s">
        <v>289</v>
      </c>
      <c r="E16" s="143" t="s">
        <v>393</v>
      </c>
    </row>
    <row r="17" spans="1:5" ht="17.25" customHeight="1">
      <c r="A17" s="141" t="s">
        <v>147</v>
      </c>
      <c r="C17" s="143" t="s">
        <v>292</v>
      </c>
      <c r="E17" s="144" t="s">
        <v>124</v>
      </c>
    </row>
    <row r="18" spans="1:5" ht="17.25" customHeight="1">
      <c r="A18" s="142" t="s">
        <v>150</v>
      </c>
      <c r="C18" s="144" t="s">
        <v>118</v>
      </c>
      <c r="E18" s="143" t="s">
        <v>389</v>
      </c>
    </row>
    <row r="19" spans="1:5" ht="17.25" customHeight="1">
      <c r="A19" s="141" t="s">
        <v>153</v>
      </c>
      <c r="C19" s="143" t="s">
        <v>295</v>
      </c>
      <c r="E19" s="144" t="s">
        <v>392</v>
      </c>
    </row>
    <row r="20" spans="1:5" ht="17.25" customHeight="1">
      <c r="A20" s="142" t="s">
        <v>156</v>
      </c>
      <c r="C20" s="143" t="s">
        <v>297</v>
      </c>
      <c r="E20" s="143" t="s">
        <v>394</v>
      </c>
    </row>
    <row r="21" spans="1:5" ht="17.25" customHeight="1">
      <c r="A21" s="141" t="s">
        <v>158</v>
      </c>
      <c r="C21" s="144" t="s">
        <v>298</v>
      </c>
      <c r="E21" s="144" t="s">
        <v>396</v>
      </c>
    </row>
    <row r="22" spans="1:5" ht="17.25" customHeight="1">
      <c r="A22" s="142" t="s">
        <v>98</v>
      </c>
      <c r="C22" s="143" t="s">
        <v>299</v>
      </c>
    </row>
    <row r="23" spans="1:5" ht="17.25" customHeight="1">
      <c r="A23" s="141" t="s">
        <v>161</v>
      </c>
      <c r="C23" s="144" t="s">
        <v>301</v>
      </c>
    </row>
    <row r="24" spans="1:5" ht="17.25" customHeight="1">
      <c r="A24" s="142" t="s">
        <v>163</v>
      </c>
      <c r="C24" s="145" t="s">
        <v>303</v>
      </c>
    </row>
    <row r="25" spans="1:5" ht="17.25" customHeight="1">
      <c r="A25" s="141" t="s">
        <v>166</v>
      </c>
      <c r="C25" s="144" t="s">
        <v>313</v>
      </c>
    </row>
    <row r="26" spans="1:5" ht="17.25" customHeight="1">
      <c r="A26" s="143" t="s">
        <v>128</v>
      </c>
      <c r="C26" s="143" t="s">
        <v>314</v>
      </c>
    </row>
    <row r="27" spans="1:5" ht="17.25" customHeight="1">
      <c r="A27" s="142" t="s">
        <v>183</v>
      </c>
      <c r="C27" s="144" t="s">
        <v>330</v>
      </c>
    </row>
    <row r="28" spans="1:5" ht="17.25" customHeight="1">
      <c r="A28" s="141" t="s">
        <v>185</v>
      </c>
      <c r="C28" s="143" t="s">
        <v>316</v>
      </c>
    </row>
    <row r="29" spans="1:5" ht="17.25" customHeight="1">
      <c r="A29" s="143" t="s">
        <v>186</v>
      </c>
      <c r="C29" s="144" t="s">
        <v>317</v>
      </c>
    </row>
    <row r="30" spans="1:5" ht="17.25" customHeight="1">
      <c r="A30" s="144" t="s">
        <v>188</v>
      </c>
      <c r="C30" s="143" t="s">
        <v>318</v>
      </c>
    </row>
    <row r="31" spans="1:5" ht="17.25" customHeight="1">
      <c r="A31" s="143" t="s">
        <v>189</v>
      </c>
      <c r="C31" s="144" t="s">
        <v>333</v>
      </c>
    </row>
    <row r="32" spans="1:5" ht="17.25" customHeight="1">
      <c r="A32" s="144" t="s">
        <v>198</v>
      </c>
      <c r="C32" s="143" t="s">
        <v>334</v>
      </c>
    </row>
    <row r="33" spans="1:3" ht="17.25" customHeight="1">
      <c r="A33" s="143" t="s">
        <v>206</v>
      </c>
      <c r="C33" s="144" t="s">
        <v>335</v>
      </c>
    </row>
    <row r="34" spans="1:3" ht="17.25" customHeight="1">
      <c r="A34" s="144" t="s">
        <v>209</v>
      </c>
      <c r="C34" s="143" t="s">
        <v>339</v>
      </c>
    </row>
    <row r="35" spans="1:3" ht="17.25" customHeight="1">
      <c r="A35" s="143" t="s">
        <v>212</v>
      </c>
      <c r="C35" s="144" t="s">
        <v>341</v>
      </c>
    </row>
    <row r="36" spans="1:3" ht="17.25" customHeight="1">
      <c r="A36" s="144" t="s">
        <v>220</v>
      </c>
      <c r="C36" s="143" t="s">
        <v>344</v>
      </c>
    </row>
    <row r="37" spans="1:3" ht="17.25" customHeight="1">
      <c r="A37" s="143" t="s">
        <v>222</v>
      </c>
      <c r="C37" s="144" t="s">
        <v>345</v>
      </c>
    </row>
    <row r="38" spans="1:3" ht="17.25" customHeight="1">
      <c r="A38" s="144" t="s">
        <v>108</v>
      </c>
      <c r="C38" s="143" t="s">
        <v>346</v>
      </c>
    </row>
    <row r="39" spans="1:3" ht="17.25" customHeight="1">
      <c r="A39" s="143" t="s">
        <v>231</v>
      </c>
      <c r="C39" s="144" t="s">
        <v>348</v>
      </c>
    </row>
    <row r="40" spans="1:3" ht="17.25" customHeight="1">
      <c r="A40" s="144" t="s">
        <v>234</v>
      </c>
      <c r="C40" s="143" t="s">
        <v>349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Al-khair cash</vt:lpstr>
      <vt:lpstr>2019</vt:lpstr>
      <vt:lpstr>2020</vt:lpstr>
      <vt:lpstr>proft rec</vt:lpstr>
      <vt:lpstr>investor shares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2020-08-13T11:18:58Z</dcterms:modified>
</cp:coreProperties>
</file>