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ploussiou\Desktop\DP 2020\Task D\"/>
    </mc:Choice>
  </mc:AlternateContent>
  <xr:revisionPtr revIDLastSave="0" documentId="13_ncr:1_{D78B935D-6F76-49A4-89CD-9D8D636532AF}" xr6:coauthVersionLast="45" xr6:coauthVersionMax="45" xr10:uidLastSave="{00000000-0000-0000-0000-000000000000}"/>
  <bookViews>
    <workbookView xWindow="-120" yWindow="-120" windowWidth="20730" windowHeight="11160" firstSheet="15" activeTab="17" xr2:uid="{D02B4008-DF6A-46FB-86FC-F7BC4427CCA3}"/>
  </bookViews>
  <sheets>
    <sheet name="notes" sheetId="8" r:id="rId1"/>
    <sheet name="p&amp;l summary" sheetId="20" r:id="rId2"/>
    <sheet name="p&amp;l S1" sheetId="14" r:id="rId3"/>
    <sheet name="p&amp;l S2" sheetId="19" r:id="rId4"/>
    <sheet name="c-f s1 Summary" sheetId="21" r:id="rId5"/>
    <sheet name="c-f s1" sheetId="13" r:id="rId6"/>
    <sheet name="c-f s2" sheetId="16" r:id="rId7"/>
    <sheet name="ass. costs &amp; sale prices" sheetId="10" r:id="rId8"/>
    <sheet name="sales" sheetId="7" r:id="rId9"/>
    <sheet name="cost summary" sheetId="11" r:id="rId10"/>
    <sheet name="Supervision" sheetId="18" r:id="rId11"/>
    <sheet name="opex S1" sheetId="9" r:id="rId12"/>
    <sheet name="opex S2" sheetId="17" r:id="rId13"/>
    <sheet name="capex" sheetId="5" r:id="rId14"/>
    <sheet name="capex-lang factors" sheetId="2" r:id="rId15"/>
    <sheet name="DESIGN REVIEW MEETING OBJECTIVE" sheetId="15" r:id="rId16"/>
    <sheet name="COST SUMMARY old" sheetId="3" r:id="rId17"/>
    <sheet name="associated cost" sheetId="1" r:id="rId18"/>
    <sheet name="opex old" sheetId="6"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5" i="11" l="1"/>
  <c r="E44" i="11"/>
  <c r="E43" i="11"/>
  <c r="F43" i="13" l="1"/>
  <c r="F43" i="16"/>
  <c r="T31" i="21"/>
  <c r="E28" i="21"/>
  <c r="F28" i="21"/>
  <c r="G28" i="21"/>
  <c r="H28" i="21"/>
  <c r="I28" i="21"/>
  <c r="J28" i="21"/>
  <c r="K28" i="21"/>
  <c r="L28" i="21"/>
  <c r="M28" i="21"/>
  <c r="N28" i="21"/>
  <c r="O28" i="21"/>
  <c r="P28" i="21"/>
  <c r="Q28" i="21"/>
  <c r="R28" i="21"/>
  <c r="S28" i="21"/>
  <c r="T28" i="21"/>
  <c r="E8" i="21"/>
  <c r="F8" i="21"/>
  <c r="G8" i="21"/>
  <c r="H8" i="21"/>
  <c r="I8" i="21"/>
  <c r="J8" i="21"/>
  <c r="K8" i="21"/>
  <c r="L8" i="21"/>
  <c r="M8" i="21"/>
  <c r="N8" i="21"/>
  <c r="O8" i="21"/>
  <c r="P8" i="21"/>
  <c r="Q8" i="21"/>
  <c r="R8" i="21"/>
  <c r="S8" i="21"/>
  <c r="T8" i="21"/>
  <c r="E11" i="21"/>
  <c r="F11" i="21"/>
  <c r="G11" i="21"/>
  <c r="H11" i="21"/>
  <c r="I11" i="21"/>
  <c r="J11" i="21"/>
  <c r="K11" i="21"/>
  <c r="L11" i="21"/>
  <c r="M11" i="21"/>
  <c r="N11" i="21"/>
  <c r="O11" i="21"/>
  <c r="P11" i="21"/>
  <c r="Q11" i="21"/>
  <c r="R11" i="21"/>
  <c r="S11" i="21"/>
  <c r="T11" i="21"/>
  <c r="E14" i="21"/>
  <c r="F14" i="21"/>
  <c r="G14" i="21"/>
  <c r="H14" i="21"/>
  <c r="I14" i="21"/>
  <c r="J14" i="21"/>
  <c r="K14" i="21"/>
  <c r="L14" i="21"/>
  <c r="M14" i="21"/>
  <c r="N14" i="21"/>
  <c r="O14" i="21"/>
  <c r="P14" i="21"/>
  <c r="Q14" i="21"/>
  <c r="R14" i="21"/>
  <c r="S14" i="21"/>
  <c r="T14" i="21"/>
  <c r="E17" i="21"/>
  <c r="E19" i="21"/>
  <c r="T22" i="21"/>
  <c r="D28" i="21"/>
  <c r="D22" i="21"/>
  <c r="D17" i="21"/>
  <c r="D14" i="21"/>
  <c r="D11" i="21"/>
  <c r="D8" i="21"/>
  <c r="C44" i="21"/>
  <c r="C38" i="21" s="1"/>
  <c r="E38" i="21"/>
  <c r="F38" i="21" s="1"/>
  <c r="E31" i="21"/>
  <c r="F31" i="21" s="1"/>
  <c r="G31" i="21" s="1"/>
  <c r="H31" i="21" s="1"/>
  <c r="I31" i="21" s="1"/>
  <c r="J31" i="21" s="1"/>
  <c r="K31" i="21" s="1"/>
  <c r="L31" i="21" s="1"/>
  <c r="M31" i="21" s="1"/>
  <c r="N31" i="21" s="1"/>
  <c r="O31" i="21" s="1"/>
  <c r="P31" i="21" s="1"/>
  <c r="Q31" i="21" s="1"/>
  <c r="R31" i="21" s="1"/>
  <c r="S31" i="21" s="1"/>
  <c r="E30" i="21"/>
  <c r="F30" i="21" s="1"/>
  <c r="G30" i="21" s="1"/>
  <c r="H30" i="21" s="1"/>
  <c r="I30" i="21" s="1"/>
  <c r="J30" i="21" s="1"/>
  <c r="K30" i="21" s="1"/>
  <c r="L30" i="21" s="1"/>
  <c r="M30" i="21" s="1"/>
  <c r="N30" i="21" s="1"/>
  <c r="O30" i="21" s="1"/>
  <c r="P30" i="21" s="1"/>
  <c r="Q30" i="21" s="1"/>
  <c r="R30" i="21" s="1"/>
  <c r="S30" i="21" s="1"/>
  <c r="D33" i="21"/>
  <c r="G5" i="21"/>
  <c r="H5" i="21" s="1"/>
  <c r="I5" i="21" s="1"/>
  <c r="J5" i="21" s="1"/>
  <c r="K5" i="21" s="1"/>
  <c r="L5" i="21" s="1"/>
  <c r="M5" i="21" s="1"/>
  <c r="N5" i="21" s="1"/>
  <c r="O5" i="21" s="1"/>
  <c r="P5" i="21" s="1"/>
  <c r="Q5" i="21" s="1"/>
  <c r="R5" i="21" s="1"/>
  <c r="S5" i="21" s="1"/>
  <c r="T5" i="21" s="1"/>
  <c r="G4" i="21"/>
  <c r="H4" i="21" s="1"/>
  <c r="I4" i="21" s="1"/>
  <c r="J4" i="21" s="1"/>
  <c r="K4" i="21" s="1"/>
  <c r="L4" i="21" s="1"/>
  <c r="M4" i="21" s="1"/>
  <c r="N4" i="21" s="1"/>
  <c r="O4" i="21" s="1"/>
  <c r="P4" i="21" s="1"/>
  <c r="Q4" i="21" s="1"/>
  <c r="R4" i="21" s="1"/>
  <c r="S4" i="21" s="1"/>
  <c r="T4" i="21" s="1"/>
  <c r="G3" i="21"/>
  <c r="H3" i="21" s="1"/>
  <c r="I3" i="21" s="1"/>
  <c r="J3" i="21" s="1"/>
  <c r="K3" i="21" s="1"/>
  <c r="L3" i="21" s="1"/>
  <c r="M3" i="21" s="1"/>
  <c r="N3" i="21" s="1"/>
  <c r="O3" i="21" s="1"/>
  <c r="P3" i="21" s="1"/>
  <c r="Q3" i="21" s="1"/>
  <c r="R3" i="21" s="1"/>
  <c r="S3" i="21" s="1"/>
  <c r="T3" i="21" s="1"/>
  <c r="E64" i="16"/>
  <c r="E63" i="16"/>
  <c r="E62" i="16"/>
  <c r="E61" i="16"/>
  <c r="E53" i="16"/>
  <c r="E52" i="16"/>
  <c r="E51" i="16"/>
  <c r="E50" i="16"/>
  <c r="E40" i="16"/>
  <c r="E39" i="16"/>
  <c r="E38" i="16"/>
  <c r="E37" i="16"/>
  <c r="E36" i="16"/>
  <c r="E32" i="16"/>
  <c r="E31" i="16"/>
  <c r="E30" i="16"/>
  <c r="E24" i="16"/>
  <c r="E23" i="16"/>
  <c r="E22" i="16"/>
  <c r="E21" i="16"/>
  <c r="E20" i="16"/>
  <c r="D16" i="16"/>
  <c r="D15" i="16"/>
  <c r="D14" i="16"/>
  <c r="T68" i="16" s="1"/>
  <c r="D13" i="16"/>
  <c r="D12" i="16"/>
  <c r="D11" i="16"/>
  <c r="D10" i="16"/>
  <c r="D9" i="16"/>
  <c r="D8" i="16"/>
  <c r="E62" i="13"/>
  <c r="E61" i="13"/>
  <c r="E60" i="13"/>
  <c r="E59" i="13"/>
  <c r="E51" i="13"/>
  <c r="E50" i="13"/>
  <c r="E40" i="13"/>
  <c r="E39" i="13"/>
  <c r="E38" i="13"/>
  <c r="E37" i="13"/>
  <c r="E36" i="13"/>
  <c r="E32" i="13"/>
  <c r="E31" i="13"/>
  <c r="E30" i="13"/>
  <c r="E24" i="13"/>
  <c r="E23" i="13"/>
  <c r="E22" i="13"/>
  <c r="E21" i="13"/>
  <c r="E20" i="13"/>
  <c r="D16" i="13"/>
  <c r="D15" i="13"/>
  <c r="D14" i="13"/>
  <c r="D13" i="13"/>
  <c r="D12" i="13"/>
  <c r="D11" i="13"/>
  <c r="D10" i="13"/>
  <c r="D9" i="13"/>
  <c r="D8" i="13"/>
  <c r="E21" i="20"/>
  <c r="E11" i="20"/>
  <c r="E10" i="20"/>
  <c r="E7" i="20"/>
  <c r="E50" i="19"/>
  <c r="F50" i="19" s="1"/>
  <c r="E49" i="19"/>
  <c r="E48" i="19"/>
  <c r="F48" i="19" s="1"/>
  <c r="E47" i="19"/>
  <c r="F47" i="19" s="1"/>
  <c r="E39" i="19"/>
  <c r="F39" i="19" s="1"/>
  <c r="E38" i="19"/>
  <c r="F38" i="19" s="1"/>
  <c r="G38" i="19" s="1"/>
  <c r="H38" i="19" s="1"/>
  <c r="I38" i="19" s="1"/>
  <c r="J38" i="19" s="1"/>
  <c r="K38" i="19" s="1"/>
  <c r="L38" i="19" s="1"/>
  <c r="M38" i="19" s="1"/>
  <c r="N38" i="19" s="1"/>
  <c r="O38" i="19" s="1"/>
  <c r="P38" i="19" s="1"/>
  <c r="Q38" i="19" s="1"/>
  <c r="R38" i="19" s="1"/>
  <c r="S38" i="19" s="1"/>
  <c r="E37" i="19"/>
  <c r="F37" i="19" s="1"/>
  <c r="G37" i="19" s="1"/>
  <c r="H37" i="19" s="1"/>
  <c r="I37" i="19" s="1"/>
  <c r="J37" i="19" s="1"/>
  <c r="K37" i="19" s="1"/>
  <c r="L37" i="19" s="1"/>
  <c r="M37" i="19" s="1"/>
  <c r="N37" i="19" s="1"/>
  <c r="O37" i="19" s="1"/>
  <c r="P37" i="19" s="1"/>
  <c r="Q37" i="19" s="1"/>
  <c r="R37" i="19" s="1"/>
  <c r="S37" i="19" s="1"/>
  <c r="E36" i="19"/>
  <c r="F36" i="19" s="1"/>
  <c r="E29" i="19"/>
  <c r="F29" i="19" s="1"/>
  <c r="E28" i="19"/>
  <c r="F28" i="19" s="1"/>
  <c r="G28" i="19" s="1"/>
  <c r="E27" i="19"/>
  <c r="F27" i="19" s="1"/>
  <c r="E26" i="19"/>
  <c r="E25" i="19"/>
  <c r="F25" i="19" s="1"/>
  <c r="G25" i="19" s="1"/>
  <c r="E24" i="19"/>
  <c r="F24" i="19" s="1"/>
  <c r="G24" i="19" s="1"/>
  <c r="E23" i="19"/>
  <c r="E19" i="19"/>
  <c r="F19" i="19" s="1"/>
  <c r="G19" i="19" s="1"/>
  <c r="E18" i="19"/>
  <c r="E17" i="19"/>
  <c r="F17" i="19" s="1"/>
  <c r="E8" i="19"/>
  <c r="E7" i="19"/>
  <c r="E50" i="14"/>
  <c r="E49" i="14"/>
  <c r="E48" i="14"/>
  <c r="E47" i="14"/>
  <c r="E39" i="14"/>
  <c r="E38" i="14"/>
  <c r="E37" i="14"/>
  <c r="E36" i="14"/>
  <c r="E29" i="14"/>
  <c r="E28" i="14"/>
  <c r="E27" i="14"/>
  <c r="E26" i="14"/>
  <c r="E25" i="14"/>
  <c r="E24" i="14"/>
  <c r="E23" i="14"/>
  <c r="E19" i="14"/>
  <c r="E17" i="14"/>
  <c r="F17" i="14" s="1"/>
  <c r="G17" i="14" s="1"/>
  <c r="H17" i="14" s="1"/>
  <c r="I17" i="14" s="1"/>
  <c r="E18" i="14"/>
  <c r="E8" i="14"/>
  <c r="E7" i="14"/>
  <c r="T58" i="20"/>
  <c r="T52" i="20"/>
  <c r="T45" i="20"/>
  <c r="T21" i="20"/>
  <c r="T15" i="20"/>
  <c r="T10" i="20"/>
  <c r="D58" i="20"/>
  <c r="D52" i="20"/>
  <c r="D48" i="20"/>
  <c r="D45" i="20"/>
  <c r="F42" i="20"/>
  <c r="G42" i="20"/>
  <c r="H42" i="20"/>
  <c r="I42" i="20"/>
  <c r="J42" i="20"/>
  <c r="K42" i="20"/>
  <c r="L42" i="20"/>
  <c r="M42" i="20"/>
  <c r="N42" i="20"/>
  <c r="O42" i="20"/>
  <c r="P42" i="20"/>
  <c r="Q42" i="20"/>
  <c r="R42" i="20"/>
  <c r="S42" i="20"/>
  <c r="T42" i="20"/>
  <c r="D42" i="20"/>
  <c r="C68" i="20"/>
  <c r="D66" i="20"/>
  <c r="E63" i="20"/>
  <c r="E64" i="20" s="1"/>
  <c r="C63" i="20"/>
  <c r="G40" i="20"/>
  <c r="H40" i="20" s="1"/>
  <c r="I40" i="20" s="1"/>
  <c r="J40" i="20" s="1"/>
  <c r="K40" i="20" s="1"/>
  <c r="L40" i="20" s="1"/>
  <c r="M40" i="20" s="1"/>
  <c r="N40" i="20" s="1"/>
  <c r="O40" i="20" s="1"/>
  <c r="P40" i="20" s="1"/>
  <c r="Q40" i="20" s="1"/>
  <c r="R40" i="20" s="1"/>
  <c r="S40" i="20" s="1"/>
  <c r="T40" i="20" s="1"/>
  <c r="G39" i="20"/>
  <c r="H39" i="20" s="1"/>
  <c r="I39" i="20" s="1"/>
  <c r="J39" i="20" s="1"/>
  <c r="K39" i="20" s="1"/>
  <c r="L39" i="20" s="1"/>
  <c r="M39" i="20" s="1"/>
  <c r="N39" i="20" s="1"/>
  <c r="O39" i="20" s="1"/>
  <c r="P39" i="20" s="1"/>
  <c r="Q39" i="20" s="1"/>
  <c r="R39" i="20" s="1"/>
  <c r="S39" i="20" s="1"/>
  <c r="T39" i="20" s="1"/>
  <c r="G38" i="20"/>
  <c r="H38" i="20" s="1"/>
  <c r="I38" i="20" s="1"/>
  <c r="J38" i="20" s="1"/>
  <c r="K38" i="20" s="1"/>
  <c r="L38" i="20" s="1"/>
  <c r="M38" i="20" s="1"/>
  <c r="N38" i="20" s="1"/>
  <c r="O38" i="20" s="1"/>
  <c r="P38" i="20" s="1"/>
  <c r="Q38" i="20" s="1"/>
  <c r="R38" i="20" s="1"/>
  <c r="S38" i="20" s="1"/>
  <c r="T38" i="20" s="1"/>
  <c r="C61" i="14"/>
  <c r="E26" i="20"/>
  <c r="F26" i="20" s="1"/>
  <c r="E75" i="16"/>
  <c r="E76" i="16" s="1"/>
  <c r="E73" i="13"/>
  <c r="F73" i="13" s="1"/>
  <c r="E56" i="19"/>
  <c r="F56" i="19" s="1"/>
  <c r="C31" i="20"/>
  <c r="C26" i="20" s="1"/>
  <c r="D29" i="20"/>
  <c r="G5" i="20"/>
  <c r="H5" i="20" s="1"/>
  <c r="I5" i="20" s="1"/>
  <c r="J5" i="20" s="1"/>
  <c r="K5" i="20" s="1"/>
  <c r="L5" i="20" s="1"/>
  <c r="M5" i="20" s="1"/>
  <c r="N5" i="20" s="1"/>
  <c r="O5" i="20" s="1"/>
  <c r="P5" i="20" s="1"/>
  <c r="Q5" i="20" s="1"/>
  <c r="R5" i="20" s="1"/>
  <c r="S5" i="20" s="1"/>
  <c r="T5" i="20" s="1"/>
  <c r="G4" i="20"/>
  <c r="H4" i="20" s="1"/>
  <c r="I4" i="20" s="1"/>
  <c r="J4" i="20" s="1"/>
  <c r="K4" i="20" s="1"/>
  <c r="L4" i="20" s="1"/>
  <c r="M4" i="20" s="1"/>
  <c r="N4" i="20" s="1"/>
  <c r="O4" i="20" s="1"/>
  <c r="P4" i="20" s="1"/>
  <c r="Q4" i="20" s="1"/>
  <c r="R4" i="20" s="1"/>
  <c r="S4" i="20" s="1"/>
  <c r="T4" i="20" s="1"/>
  <c r="G3" i="20"/>
  <c r="H3" i="20" s="1"/>
  <c r="I3" i="20" s="1"/>
  <c r="J3" i="20" s="1"/>
  <c r="K3" i="20" s="1"/>
  <c r="L3" i="20" s="1"/>
  <c r="M3" i="20" s="1"/>
  <c r="N3" i="20" s="1"/>
  <c r="O3" i="20" s="1"/>
  <c r="P3" i="20" s="1"/>
  <c r="L16" i="5"/>
  <c r="L10" i="5"/>
  <c r="N10" i="5" s="1"/>
  <c r="L11" i="5"/>
  <c r="C56" i="19"/>
  <c r="C61" i="19"/>
  <c r="C56" i="14"/>
  <c r="D59" i="19"/>
  <c r="T51" i="19"/>
  <c r="D51" i="19"/>
  <c r="B50" i="19"/>
  <c r="F49" i="19"/>
  <c r="B49" i="19"/>
  <c r="B48" i="19"/>
  <c r="B47" i="19"/>
  <c r="T41" i="19"/>
  <c r="D41" i="19"/>
  <c r="D32" i="19"/>
  <c r="E31" i="19"/>
  <c r="F31" i="19" s="1"/>
  <c r="G31" i="19" s="1"/>
  <c r="H31" i="19" s="1"/>
  <c r="I31" i="19" s="1"/>
  <c r="J31" i="19" s="1"/>
  <c r="K31" i="19" s="1"/>
  <c r="L31" i="19" s="1"/>
  <c r="M31" i="19" s="1"/>
  <c r="N31" i="19" s="1"/>
  <c r="O31" i="19" s="1"/>
  <c r="P31" i="19" s="1"/>
  <c r="Q31" i="19" s="1"/>
  <c r="R31" i="19" s="1"/>
  <c r="S31" i="19" s="1"/>
  <c r="T31" i="19" s="1"/>
  <c r="F30" i="19"/>
  <c r="G30" i="19" s="1"/>
  <c r="H30" i="19" s="1"/>
  <c r="I30" i="19" s="1"/>
  <c r="J30" i="19" s="1"/>
  <c r="K30" i="19" s="1"/>
  <c r="L30" i="19" s="1"/>
  <c r="M30" i="19" s="1"/>
  <c r="N30" i="19" s="1"/>
  <c r="O30" i="19" s="1"/>
  <c r="P30" i="19" s="1"/>
  <c r="Q30" i="19" s="1"/>
  <c r="R30" i="19" s="1"/>
  <c r="S30" i="19" s="1"/>
  <c r="T30" i="19" s="1"/>
  <c r="F26" i="19"/>
  <c r="G26" i="19" s="1"/>
  <c r="H26" i="19" s="1"/>
  <c r="I26" i="19" s="1"/>
  <c r="T20" i="19"/>
  <c r="D19" i="19"/>
  <c r="D20" i="19" s="1"/>
  <c r="D33" i="19" s="1"/>
  <c r="F18" i="19"/>
  <c r="T13" i="19"/>
  <c r="S13" i="19"/>
  <c r="O13" i="19"/>
  <c r="L13" i="19"/>
  <c r="K13" i="19"/>
  <c r="G13" i="19"/>
  <c r="D13" i="19"/>
  <c r="T12" i="19"/>
  <c r="S12" i="19"/>
  <c r="R12" i="19"/>
  <c r="R13" i="19" s="1"/>
  <c r="Q12" i="19"/>
  <c r="Q13" i="19" s="1"/>
  <c r="P12" i="19"/>
  <c r="P13" i="19" s="1"/>
  <c r="O12" i="19"/>
  <c r="N12" i="19"/>
  <c r="N13" i="19" s="1"/>
  <c r="M12" i="19"/>
  <c r="M13" i="19" s="1"/>
  <c r="L12" i="19"/>
  <c r="K12" i="19"/>
  <c r="J12" i="19"/>
  <c r="J13" i="19" s="1"/>
  <c r="I12" i="19"/>
  <c r="I13" i="19" s="1"/>
  <c r="H12" i="19"/>
  <c r="H13" i="19" s="1"/>
  <c r="G12" i="19"/>
  <c r="F12" i="19"/>
  <c r="F13" i="19" s="1"/>
  <c r="E12" i="19"/>
  <c r="D12" i="19"/>
  <c r="H5" i="19"/>
  <c r="I5" i="19" s="1"/>
  <c r="J5" i="19" s="1"/>
  <c r="K5" i="19" s="1"/>
  <c r="L5" i="19" s="1"/>
  <c r="M5" i="19" s="1"/>
  <c r="N5" i="19" s="1"/>
  <c r="O5" i="19" s="1"/>
  <c r="P5" i="19" s="1"/>
  <c r="Q5" i="19" s="1"/>
  <c r="R5" i="19" s="1"/>
  <c r="S5" i="19" s="1"/>
  <c r="T5" i="19" s="1"/>
  <c r="G5" i="19"/>
  <c r="G4" i="19"/>
  <c r="H4" i="19" s="1"/>
  <c r="I4" i="19" s="1"/>
  <c r="J4" i="19" s="1"/>
  <c r="K4" i="19" s="1"/>
  <c r="L4" i="19" s="1"/>
  <c r="M4" i="19" s="1"/>
  <c r="N4" i="19" s="1"/>
  <c r="O4" i="19" s="1"/>
  <c r="P4" i="19" s="1"/>
  <c r="Q4" i="19" s="1"/>
  <c r="R4" i="19" s="1"/>
  <c r="S4" i="19" s="1"/>
  <c r="T4" i="19" s="1"/>
  <c r="L3" i="19"/>
  <c r="M3" i="19" s="1"/>
  <c r="N3" i="19" s="1"/>
  <c r="O3" i="19" s="1"/>
  <c r="P3" i="19" s="1"/>
  <c r="H3" i="19"/>
  <c r="I3" i="19" s="1"/>
  <c r="J3" i="19" s="1"/>
  <c r="K3" i="19" s="1"/>
  <c r="G3" i="19"/>
  <c r="F38" i="14"/>
  <c r="G38" i="14" s="1"/>
  <c r="H38" i="14" s="1"/>
  <c r="I38" i="14" s="1"/>
  <c r="J38" i="14" s="1"/>
  <c r="K38" i="14" s="1"/>
  <c r="L38" i="14" s="1"/>
  <c r="M38" i="14" s="1"/>
  <c r="N38" i="14" s="1"/>
  <c r="O38" i="14" s="1"/>
  <c r="P38" i="14" s="1"/>
  <c r="Q38" i="14" s="1"/>
  <c r="R38" i="14" s="1"/>
  <c r="S38" i="14" s="1"/>
  <c r="F37" i="14"/>
  <c r="G37" i="14" s="1"/>
  <c r="H37" i="14" s="1"/>
  <c r="I37" i="14" s="1"/>
  <c r="J37" i="14" s="1"/>
  <c r="K37" i="14" s="1"/>
  <c r="L37" i="14" s="1"/>
  <c r="M37" i="14" s="1"/>
  <c r="N37" i="14" s="1"/>
  <c r="O37" i="14" s="1"/>
  <c r="P37" i="14" s="1"/>
  <c r="Q37" i="14" s="1"/>
  <c r="R37" i="14" s="1"/>
  <c r="S37" i="14" s="1"/>
  <c r="C81" i="16"/>
  <c r="C75" i="16" s="1"/>
  <c r="C73" i="13"/>
  <c r="C79" i="13"/>
  <c r="F52" i="16"/>
  <c r="G52" i="16" s="1"/>
  <c r="H52" i="16" s="1"/>
  <c r="I52" i="16" s="1"/>
  <c r="J52" i="16" s="1"/>
  <c r="K52" i="16" s="1"/>
  <c r="L52" i="16" s="1"/>
  <c r="M52" i="16" s="1"/>
  <c r="N52" i="16" s="1"/>
  <c r="O52" i="16" s="1"/>
  <c r="P52" i="16" s="1"/>
  <c r="Q52" i="16" s="1"/>
  <c r="R52" i="16" s="1"/>
  <c r="S52" i="16" s="1"/>
  <c r="E55" i="11"/>
  <c r="I54" i="11"/>
  <c r="H54" i="11"/>
  <c r="E54" i="11"/>
  <c r="H45" i="11"/>
  <c r="F4" i="18"/>
  <c r="F3" i="18"/>
  <c r="C7" i="18"/>
  <c r="F6" i="18"/>
  <c r="F5" i="18"/>
  <c r="H39" i="11"/>
  <c r="H40" i="11" s="1"/>
  <c r="E39" i="11"/>
  <c r="E40" i="11" s="1"/>
  <c r="R9" i="17"/>
  <c r="I6" i="17" s="1"/>
  <c r="N9" i="5"/>
  <c r="I20" i="11"/>
  <c r="R12" i="17"/>
  <c r="R6" i="17"/>
  <c r="H5" i="17" s="1"/>
  <c r="L43" i="17"/>
  <c r="K43" i="17"/>
  <c r="H43" i="17"/>
  <c r="R42" i="17"/>
  <c r="R41" i="17"/>
  <c r="R40" i="17"/>
  <c r="I40" i="17"/>
  <c r="M40" i="17" s="1"/>
  <c r="R38" i="17"/>
  <c r="R37" i="17"/>
  <c r="B34" i="17"/>
  <c r="B36" i="17" s="1"/>
  <c r="A34" i="17"/>
  <c r="B30" i="17"/>
  <c r="B29" i="17"/>
  <c r="R28" i="17"/>
  <c r="L9" i="17" s="1"/>
  <c r="B28" i="17"/>
  <c r="R27" i="17"/>
  <c r="B27" i="17"/>
  <c r="R26" i="17"/>
  <c r="B26" i="17"/>
  <c r="R25" i="17"/>
  <c r="L5" i="17" s="1"/>
  <c r="B25" i="17"/>
  <c r="R24" i="17"/>
  <c r="B24" i="17"/>
  <c r="R23" i="17"/>
  <c r="B23" i="17"/>
  <c r="R22" i="17"/>
  <c r="R21" i="17"/>
  <c r="R20" i="17"/>
  <c r="R19" i="17"/>
  <c r="R18" i="17"/>
  <c r="R17" i="17"/>
  <c r="S21" i="17" s="1"/>
  <c r="R16" i="17"/>
  <c r="J10" i="17" s="1"/>
  <c r="M16" i="17"/>
  <c r="R15" i="17"/>
  <c r="B15" i="17"/>
  <c r="R14" i="17"/>
  <c r="S16" i="17" s="1"/>
  <c r="B14" i="17"/>
  <c r="R13" i="17"/>
  <c r="B13" i="17"/>
  <c r="B12" i="17"/>
  <c r="R11" i="17"/>
  <c r="L11" i="17"/>
  <c r="K11" i="17"/>
  <c r="J11" i="17"/>
  <c r="I11" i="17"/>
  <c r="H11" i="17"/>
  <c r="G11" i="17"/>
  <c r="B11" i="17"/>
  <c r="R10" i="17"/>
  <c r="I7" i="17" s="1"/>
  <c r="L10" i="17"/>
  <c r="K10" i="17"/>
  <c r="I10" i="17"/>
  <c r="H10" i="17"/>
  <c r="G10" i="17"/>
  <c r="B10" i="17"/>
  <c r="K9" i="17"/>
  <c r="J9" i="17"/>
  <c r="I9" i="17"/>
  <c r="H9" i="17"/>
  <c r="G9" i="17"/>
  <c r="B9" i="17"/>
  <c r="AC8" i="17"/>
  <c r="R8" i="17"/>
  <c r="L8" i="17"/>
  <c r="K8" i="17"/>
  <c r="J8" i="17"/>
  <c r="I8" i="17"/>
  <c r="H8" i="17"/>
  <c r="G8" i="17"/>
  <c r="B8" i="17"/>
  <c r="Y7" i="17"/>
  <c r="X7" i="17"/>
  <c r="J42" i="17" s="1"/>
  <c r="R7" i="17"/>
  <c r="K7" i="17"/>
  <c r="J7" i="17"/>
  <c r="H7" i="17"/>
  <c r="G7" i="17"/>
  <c r="B7" i="17"/>
  <c r="Y6" i="17"/>
  <c r="X6" i="17"/>
  <c r="I41" i="17" s="1"/>
  <c r="M41" i="17" s="1"/>
  <c r="L6" i="17"/>
  <c r="K6" i="17"/>
  <c r="J6" i="17"/>
  <c r="H6" i="17"/>
  <c r="G6" i="17"/>
  <c r="B6" i="17"/>
  <c r="X5" i="17"/>
  <c r="R5" i="17"/>
  <c r="K5" i="17"/>
  <c r="J5" i="17"/>
  <c r="G5" i="17"/>
  <c r="B5" i="17"/>
  <c r="X4" i="17"/>
  <c r="R4" i="17"/>
  <c r="M4" i="17"/>
  <c r="B4" i="17"/>
  <c r="X3" i="17"/>
  <c r="G38" i="17" s="1"/>
  <c r="R3" i="17"/>
  <c r="L3" i="17"/>
  <c r="K3" i="17"/>
  <c r="K12" i="17" s="1"/>
  <c r="J3" i="17"/>
  <c r="I3" i="17"/>
  <c r="H3" i="17"/>
  <c r="H32" i="11"/>
  <c r="H10" i="11"/>
  <c r="C17" i="2"/>
  <c r="D10" i="2"/>
  <c r="B12" i="2"/>
  <c r="D12" i="2"/>
  <c r="E4" i="11" s="1"/>
  <c r="F10" i="2"/>
  <c r="N4" i="5"/>
  <c r="E68" i="16"/>
  <c r="F68" i="16" s="1"/>
  <c r="G68" i="16" s="1"/>
  <c r="H68" i="16" s="1"/>
  <c r="I68" i="16" s="1"/>
  <c r="J68" i="16" s="1"/>
  <c r="K68" i="16" s="1"/>
  <c r="L68" i="16" s="1"/>
  <c r="M68" i="16" s="1"/>
  <c r="N68" i="16" s="1"/>
  <c r="O68" i="16" s="1"/>
  <c r="P68" i="16" s="1"/>
  <c r="Q68" i="16" s="1"/>
  <c r="R68" i="16" s="1"/>
  <c r="S68" i="16" s="1"/>
  <c r="E67" i="16"/>
  <c r="F67" i="16" s="1"/>
  <c r="G67" i="16" s="1"/>
  <c r="H67" i="16" s="1"/>
  <c r="I67" i="16" s="1"/>
  <c r="J67" i="16" s="1"/>
  <c r="K67" i="16" s="1"/>
  <c r="L67" i="16" s="1"/>
  <c r="M67" i="16" s="1"/>
  <c r="N67" i="16" s="1"/>
  <c r="O67" i="16" s="1"/>
  <c r="P67" i="16" s="1"/>
  <c r="Q67" i="16" s="1"/>
  <c r="R67" i="16" s="1"/>
  <c r="S67" i="16" s="1"/>
  <c r="T65" i="16"/>
  <c r="D65" i="16"/>
  <c r="D70" i="16" s="1"/>
  <c r="F64" i="16"/>
  <c r="B64" i="16"/>
  <c r="F63" i="16"/>
  <c r="G63" i="16" s="1"/>
  <c r="H63" i="16" s="1"/>
  <c r="I63" i="16" s="1"/>
  <c r="J63" i="16" s="1"/>
  <c r="K63" i="16" s="1"/>
  <c r="L63" i="16" s="1"/>
  <c r="M63" i="16" s="1"/>
  <c r="N63" i="16" s="1"/>
  <c r="O63" i="16" s="1"/>
  <c r="P63" i="16" s="1"/>
  <c r="Q63" i="16" s="1"/>
  <c r="R63" i="16" s="1"/>
  <c r="S63" i="16" s="1"/>
  <c r="B63" i="16"/>
  <c r="F62" i="16"/>
  <c r="B62" i="16"/>
  <c r="B61" i="16"/>
  <c r="T55" i="16"/>
  <c r="D55" i="16"/>
  <c r="D45" i="16"/>
  <c r="E44" i="16"/>
  <c r="T33" i="16"/>
  <c r="D32" i="16"/>
  <c r="D33" i="16" s="1"/>
  <c r="T25" i="16"/>
  <c r="T26" i="16" s="1"/>
  <c r="S25" i="16"/>
  <c r="S26" i="16" s="1"/>
  <c r="R25" i="16"/>
  <c r="R26" i="16" s="1"/>
  <c r="Q25" i="16"/>
  <c r="Q26" i="16" s="1"/>
  <c r="P25" i="16"/>
  <c r="P26" i="16" s="1"/>
  <c r="O25" i="16"/>
  <c r="O26" i="16" s="1"/>
  <c r="N25" i="16"/>
  <c r="N26" i="16" s="1"/>
  <c r="M25" i="16"/>
  <c r="M26" i="16" s="1"/>
  <c r="L25" i="16"/>
  <c r="L26" i="16" s="1"/>
  <c r="K25" i="16"/>
  <c r="K26" i="16" s="1"/>
  <c r="J25" i="16"/>
  <c r="J26" i="16" s="1"/>
  <c r="I25" i="16"/>
  <c r="I26" i="16" s="1"/>
  <c r="H25" i="16"/>
  <c r="H26" i="16" s="1"/>
  <c r="G25" i="16"/>
  <c r="G26" i="16" s="1"/>
  <c r="F25" i="16"/>
  <c r="F26" i="16" s="1"/>
  <c r="D25" i="16"/>
  <c r="D26" i="16" s="1"/>
  <c r="T17" i="16"/>
  <c r="S17" i="16"/>
  <c r="R17" i="16"/>
  <c r="Q17" i="16"/>
  <c r="P17" i="16"/>
  <c r="O17" i="16"/>
  <c r="N17" i="16"/>
  <c r="M17" i="16"/>
  <c r="L17" i="16"/>
  <c r="K17" i="16"/>
  <c r="J17" i="16"/>
  <c r="I17" i="16"/>
  <c r="H17" i="16"/>
  <c r="G17" i="16"/>
  <c r="F17" i="16"/>
  <c r="E17" i="16"/>
  <c r="G5" i="16"/>
  <c r="H5" i="16" s="1"/>
  <c r="I5" i="16" s="1"/>
  <c r="J5" i="16" s="1"/>
  <c r="K5" i="16" s="1"/>
  <c r="L5" i="16" s="1"/>
  <c r="M5" i="16" s="1"/>
  <c r="N5" i="16" s="1"/>
  <c r="O5" i="16" s="1"/>
  <c r="P5" i="16" s="1"/>
  <c r="Q5" i="16" s="1"/>
  <c r="R5" i="16" s="1"/>
  <c r="S5" i="16" s="1"/>
  <c r="T5" i="16" s="1"/>
  <c r="G4" i="16"/>
  <c r="H4" i="16" s="1"/>
  <c r="I4" i="16" s="1"/>
  <c r="J4" i="16" s="1"/>
  <c r="K4" i="16" s="1"/>
  <c r="L4" i="16" s="1"/>
  <c r="M4" i="16" s="1"/>
  <c r="N4" i="16" s="1"/>
  <c r="O4" i="16" s="1"/>
  <c r="P4" i="16" s="1"/>
  <c r="Q4" i="16" s="1"/>
  <c r="R4" i="16" s="1"/>
  <c r="S4" i="16" s="1"/>
  <c r="T4" i="16" s="1"/>
  <c r="G3" i="16"/>
  <c r="H3" i="16" s="1"/>
  <c r="I3" i="16" s="1"/>
  <c r="J3" i="16" s="1"/>
  <c r="K3" i="16" s="1"/>
  <c r="L3" i="16" s="1"/>
  <c r="M3" i="16" s="1"/>
  <c r="N3" i="16" s="1"/>
  <c r="O3" i="16" s="1"/>
  <c r="P3" i="16" s="1"/>
  <c r="Q3" i="16" s="1"/>
  <c r="R3" i="16" s="1"/>
  <c r="S3" i="16" s="1"/>
  <c r="T3" i="16" s="1"/>
  <c r="R29" i="9"/>
  <c r="T29" i="9"/>
  <c r="T28" i="9"/>
  <c r="T21" i="9"/>
  <c r="T16" i="9"/>
  <c r="T12" i="9"/>
  <c r="T8" i="9"/>
  <c r="T5" i="9"/>
  <c r="S29" i="9"/>
  <c r="N11" i="5"/>
  <c r="N16" i="5"/>
  <c r="N53" i="5"/>
  <c r="L53" i="5"/>
  <c r="L52" i="5"/>
  <c r="N52" i="5" s="1"/>
  <c r="N51" i="5"/>
  <c r="L51" i="5"/>
  <c r="N50" i="5"/>
  <c r="L49" i="5"/>
  <c r="N49" i="5" s="1"/>
  <c r="L48" i="5"/>
  <c r="N48" i="5" s="1"/>
  <c r="L47" i="5"/>
  <c r="N47" i="5" s="1"/>
  <c r="N46" i="5"/>
  <c r="N45" i="5"/>
  <c r="N44" i="5"/>
  <c r="N43" i="5"/>
  <c r="N42" i="5"/>
  <c r="N41" i="5"/>
  <c r="N40" i="5"/>
  <c r="N39" i="5"/>
  <c r="L38" i="5"/>
  <c r="N38" i="5" s="1"/>
  <c r="N37" i="5"/>
  <c r="N36" i="5"/>
  <c r="L36" i="5"/>
  <c r="L35" i="5"/>
  <c r="N35" i="5" s="1"/>
  <c r="O40" i="5" s="1"/>
  <c r="N34" i="5"/>
  <c r="N33" i="5"/>
  <c r="N32" i="5"/>
  <c r="N31" i="5"/>
  <c r="N30" i="5"/>
  <c r="N29" i="5"/>
  <c r="N28" i="5"/>
  <c r="N27" i="5"/>
  <c r="N26" i="5"/>
  <c r="N25" i="5"/>
  <c r="N24" i="5"/>
  <c r="N23" i="5"/>
  <c r="N22" i="5"/>
  <c r="O33" i="5" s="1"/>
  <c r="L22" i="5"/>
  <c r="N21" i="5"/>
  <c r="N20" i="5"/>
  <c r="N19" i="5"/>
  <c r="L18" i="5"/>
  <c r="N18" i="5" s="1"/>
  <c r="N17" i="5"/>
  <c r="N15" i="5"/>
  <c r="N14" i="5"/>
  <c r="L14" i="5"/>
  <c r="N13" i="5"/>
  <c r="N12" i="5"/>
  <c r="L8" i="5"/>
  <c r="N8" i="5" s="1"/>
  <c r="L7" i="5"/>
  <c r="N7" i="5" s="1"/>
  <c r="C4" i="7"/>
  <c r="D19" i="21" l="1"/>
  <c r="T30" i="21"/>
  <c r="T33" i="21" s="1"/>
  <c r="D23" i="21"/>
  <c r="G38" i="21"/>
  <c r="F39" i="21"/>
  <c r="F33" i="21"/>
  <c r="E33" i="21"/>
  <c r="E39" i="21"/>
  <c r="F63" i="20"/>
  <c r="F64" i="20" s="1"/>
  <c r="D49" i="20"/>
  <c r="T49" i="20"/>
  <c r="T53" i="20" s="1"/>
  <c r="T55" i="20" s="1"/>
  <c r="T60" i="20" s="1"/>
  <c r="D53" i="20"/>
  <c r="D55" i="20" s="1"/>
  <c r="D60" i="20" s="1"/>
  <c r="D61" i="20" s="1"/>
  <c r="G26" i="20"/>
  <c r="F27" i="20"/>
  <c r="E27" i="20"/>
  <c r="F75" i="16"/>
  <c r="G73" i="13"/>
  <c r="F74" i="13"/>
  <c r="E74" i="13"/>
  <c r="G56" i="19"/>
  <c r="F57" i="19"/>
  <c r="E57" i="19"/>
  <c r="Q3" i="20"/>
  <c r="R3" i="20" s="1"/>
  <c r="S3" i="20" s="1"/>
  <c r="T3" i="20" s="1"/>
  <c r="J26" i="19"/>
  <c r="K26" i="19" s="1"/>
  <c r="L26" i="19" s="1"/>
  <c r="M26" i="19" s="1"/>
  <c r="N26" i="19" s="1"/>
  <c r="O26" i="19" s="1"/>
  <c r="P26" i="19" s="1"/>
  <c r="Q26" i="19" s="1"/>
  <c r="R26" i="19" s="1"/>
  <c r="S26" i="19" s="1"/>
  <c r="E13" i="19"/>
  <c r="E42" i="20" s="1"/>
  <c r="G27" i="19"/>
  <c r="H27" i="19" s="1"/>
  <c r="I27" i="19" s="1"/>
  <c r="J27" i="19" s="1"/>
  <c r="K27" i="19" s="1"/>
  <c r="L27" i="19" s="1"/>
  <c r="M27" i="19" s="1"/>
  <c r="N27" i="19" s="1"/>
  <c r="O27" i="19" s="1"/>
  <c r="P27" i="19" s="1"/>
  <c r="Q27" i="19" s="1"/>
  <c r="R27" i="19" s="1"/>
  <c r="S27" i="19" s="1"/>
  <c r="G18" i="19"/>
  <c r="H18" i="19" s="1"/>
  <c r="I18" i="19" s="1"/>
  <c r="J18" i="19" s="1"/>
  <c r="K18" i="19" s="1"/>
  <c r="L18" i="19" s="1"/>
  <c r="M18" i="19" s="1"/>
  <c r="N18" i="19" s="1"/>
  <c r="O18" i="19" s="1"/>
  <c r="P18" i="19" s="1"/>
  <c r="T32" i="19"/>
  <c r="T48" i="20" s="1"/>
  <c r="G49" i="19"/>
  <c r="H49" i="19" s="1"/>
  <c r="I49" i="19" s="1"/>
  <c r="J49" i="19" s="1"/>
  <c r="K49" i="19" s="1"/>
  <c r="L49" i="19" s="1"/>
  <c r="M49" i="19" s="1"/>
  <c r="N49" i="19" s="1"/>
  <c r="O49" i="19" s="1"/>
  <c r="P49" i="19" s="1"/>
  <c r="Q49" i="19" s="1"/>
  <c r="R49" i="19" s="1"/>
  <c r="S49" i="19" s="1"/>
  <c r="P29" i="19"/>
  <c r="P28" i="19"/>
  <c r="Q3" i="19"/>
  <c r="R3" i="19" s="1"/>
  <c r="S3" i="19" s="1"/>
  <c r="T3" i="19" s="1"/>
  <c r="G17" i="19"/>
  <c r="F20" i="19"/>
  <c r="F45" i="20" s="1"/>
  <c r="H19" i="19"/>
  <c r="I19" i="19" s="1"/>
  <c r="J19" i="19" s="1"/>
  <c r="K19" i="19" s="1"/>
  <c r="L19" i="19" s="1"/>
  <c r="M19" i="19" s="1"/>
  <c r="N19" i="19" s="1"/>
  <c r="O19" i="19" s="1"/>
  <c r="P19" i="19" s="1"/>
  <c r="Q19" i="19" s="1"/>
  <c r="R19" i="19" s="1"/>
  <c r="S19" i="19" s="1"/>
  <c r="E20" i="19"/>
  <c r="E45" i="20" s="1"/>
  <c r="H25" i="19"/>
  <c r="I25" i="19" s="1"/>
  <c r="J25" i="19" s="1"/>
  <c r="K25" i="19" s="1"/>
  <c r="L25" i="19" s="1"/>
  <c r="M25" i="19" s="1"/>
  <c r="N25" i="19" s="1"/>
  <c r="O25" i="19" s="1"/>
  <c r="P25" i="19" s="1"/>
  <c r="Q25" i="19" s="1"/>
  <c r="R25" i="19" s="1"/>
  <c r="S25" i="19" s="1"/>
  <c r="G36" i="19"/>
  <c r="E32" i="19"/>
  <c r="E48" i="20" s="1"/>
  <c r="F23" i="19"/>
  <c r="H28" i="19"/>
  <c r="I28" i="19" s="1"/>
  <c r="J28" i="19" s="1"/>
  <c r="K28" i="19" s="1"/>
  <c r="L28" i="19" s="1"/>
  <c r="M28" i="19" s="1"/>
  <c r="N28" i="19" s="1"/>
  <c r="H24" i="19"/>
  <c r="I24" i="19" s="1"/>
  <c r="J24" i="19" s="1"/>
  <c r="K24" i="19" s="1"/>
  <c r="L24" i="19" s="1"/>
  <c r="M24" i="19" s="1"/>
  <c r="N24" i="19" s="1"/>
  <c r="O24" i="19" s="1"/>
  <c r="P24" i="19" s="1"/>
  <c r="Q24" i="19" s="1"/>
  <c r="R24" i="19" s="1"/>
  <c r="S24" i="19" s="1"/>
  <c r="G39" i="19"/>
  <c r="H39" i="19" s="1"/>
  <c r="I39" i="19" s="1"/>
  <c r="J39" i="19" s="1"/>
  <c r="K39" i="19" s="1"/>
  <c r="L39" i="19" s="1"/>
  <c r="M39" i="19" s="1"/>
  <c r="N39" i="19" s="1"/>
  <c r="O39" i="19" s="1"/>
  <c r="P39" i="19" s="1"/>
  <c r="G50" i="19"/>
  <c r="H50" i="19" s="1"/>
  <c r="I50" i="19" s="1"/>
  <c r="J50" i="19" s="1"/>
  <c r="K50" i="19" s="1"/>
  <c r="L50" i="19" s="1"/>
  <c r="M50" i="19" s="1"/>
  <c r="N50" i="19" s="1"/>
  <c r="O50" i="19" s="1"/>
  <c r="P50" i="19" s="1"/>
  <c r="Q50" i="19" s="1"/>
  <c r="R50" i="19" s="1"/>
  <c r="S50" i="19" s="1"/>
  <c r="G47" i="19"/>
  <c r="F51" i="19"/>
  <c r="F58" i="20" s="1"/>
  <c r="T33" i="19"/>
  <c r="T42" i="19" s="1"/>
  <c r="T44" i="19" s="1"/>
  <c r="T53" i="19" s="1"/>
  <c r="G29" i="19"/>
  <c r="H29" i="19" s="1"/>
  <c r="I29" i="19" s="1"/>
  <c r="J29" i="19" s="1"/>
  <c r="K29" i="19" s="1"/>
  <c r="L29" i="19" s="1"/>
  <c r="M29" i="19" s="1"/>
  <c r="N29" i="19" s="1"/>
  <c r="D42" i="19"/>
  <c r="D44" i="19" s="1"/>
  <c r="D53" i="19" s="1"/>
  <c r="D54" i="19" s="1"/>
  <c r="G48" i="19"/>
  <c r="H48" i="19" s="1"/>
  <c r="I48" i="19" s="1"/>
  <c r="J48" i="19" s="1"/>
  <c r="K48" i="19" s="1"/>
  <c r="L48" i="19" s="1"/>
  <c r="M48" i="19" s="1"/>
  <c r="N48" i="19" s="1"/>
  <c r="O48" i="19" s="1"/>
  <c r="P48" i="19" s="1"/>
  <c r="Q48" i="19" s="1"/>
  <c r="R48" i="19" s="1"/>
  <c r="S48" i="19" s="1"/>
  <c r="E51" i="19"/>
  <c r="E58" i="20" s="1"/>
  <c r="D47" i="16"/>
  <c r="D56" i="16" s="1"/>
  <c r="E65" i="16"/>
  <c r="E70" i="16" s="1"/>
  <c r="F61" i="16"/>
  <c r="F65" i="16" s="1"/>
  <c r="F70" i="16" s="1"/>
  <c r="E42" i="11"/>
  <c r="F7" i="18"/>
  <c r="F9" i="18" s="1"/>
  <c r="F10" i="18" s="1"/>
  <c r="H41" i="11" s="1"/>
  <c r="I39" i="11"/>
  <c r="S12" i="17"/>
  <c r="I5" i="17"/>
  <c r="M5" i="17"/>
  <c r="H17" i="17" s="1"/>
  <c r="H12" i="17"/>
  <c r="S8" i="17"/>
  <c r="K35" i="17"/>
  <c r="K27" i="17"/>
  <c r="K31" i="17"/>
  <c r="K34" i="17"/>
  <c r="H32" i="17"/>
  <c r="H35" i="17"/>
  <c r="H30" i="17"/>
  <c r="K22" i="17"/>
  <c r="K33" i="17"/>
  <c r="K30" i="17"/>
  <c r="M10" i="17"/>
  <c r="G22" i="17"/>
  <c r="M42" i="17"/>
  <c r="J43" i="17"/>
  <c r="G23" i="17"/>
  <c r="K23" i="17"/>
  <c r="L17" i="17"/>
  <c r="I12" i="17"/>
  <c r="I30" i="17" s="1"/>
  <c r="I28" i="17"/>
  <c r="K32" i="17"/>
  <c r="L23" i="17"/>
  <c r="I39" i="17"/>
  <c r="Y5" i="17"/>
  <c r="M9" i="17"/>
  <c r="H33" i="17"/>
  <c r="I34" i="17"/>
  <c r="M11" i="17"/>
  <c r="J33" i="17"/>
  <c r="I23" i="17"/>
  <c r="H26" i="17"/>
  <c r="H27" i="17"/>
  <c r="H28" i="17"/>
  <c r="J29" i="17"/>
  <c r="L12" i="17"/>
  <c r="J30" i="17"/>
  <c r="H31" i="17"/>
  <c r="M8" i="17"/>
  <c r="K20" i="17" s="1"/>
  <c r="L7" i="17"/>
  <c r="S28" i="17"/>
  <c r="R29" i="17"/>
  <c r="S5" i="17"/>
  <c r="L33" i="17"/>
  <c r="J12" i="17"/>
  <c r="J32" i="17" s="1"/>
  <c r="G43" i="17"/>
  <c r="M38" i="17"/>
  <c r="J28" i="17"/>
  <c r="H29" i="17"/>
  <c r="G3" i="17"/>
  <c r="K26" i="17"/>
  <c r="K28" i="17"/>
  <c r="I29" i="17"/>
  <c r="I21" i="17"/>
  <c r="J23" i="17"/>
  <c r="J22" i="17"/>
  <c r="Y3" i="17"/>
  <c r="J21" i="17"/>
  <c r="H22" i="17"/>
  <c r="L22" i="17"/>
  <c r="J26" i="17"/>
  <c r="H34" i="17"/>
  <c r="K29" i="17"/>
  <c r="M6" i="17"/>
  <c r="J18" i="17" s="1"/>
  <c r="K17" i="17"/>
  <c r="G21" i="17"/>
  <c r="K21" i="17"/>
  <c r="I22" i="17"/>
  <c r="H42" i="11"/>
  <c r="G62" i="16"/>
  <c r="H62" i="16" s="1"/>
  <c r="I62" i="16" s="1"/>
  <c r="J62" i="16" s="1"/>
  <c r="K62" i="16" s="1"/>
  <c r="L62" i="16" s="1"/>
  <c r="M62" i="16" s="1"/>
  <c r="N62" i="16" s="1"/>
  <c r="O62" i="16" s="1"/>
  <c r="P62" i="16" s="1"/>
  <c r="Q62" i="16" s="1"/>
  <c r="R62" i="16" s="1"/>
  <c r="S62" i="16" s="1"/>
  <c r="G64" i="16"/>
  <c r="H64" i="16" s="1"/>
  <c r="I64" i="16" s="1"/>
  <c r="J64" i="16" s="1"/>
  <c r="K64" i="16" s="1"/>
  <c r="L64" i="16" s="1"/>
  <c r="M64" i="16" s="1"/>
  <c r="N64" i="16" s="1"/>
  <c r="O64" i="16" s="1"/>
  <c r="P64" i="16" s="1"/>
  <c r="Q64" i="16" s="1"/>
  <c r="R64" i="16" s="1"/>
  <c r="S64" i="16" s="1"/>
  <c r="O49" i="5"/>
  <c r="O53" i="5"/>
  <c r="O11" i="5"/>
  <c r="N54" i="5"/>
  <c r="O19" i="5"/>
  <c r="F50" i="14"/>
  <c r="F49" i="14"/>
  <c r="F48" i="14"/>
  <c r="F47" i="14"/>
  <c r="F62" i="13"/>
  <c r="F61" i="13"/>
  <c r="G61" i="13" s="1"/>
  <c r="H61" i="13" s="1"/>
  <c r="I61" i="13" s="1"/>
  <c r="J61" i="13" s="1"/>
  <c r="K61" i="13" s="1"/>
  <c r="L61" i="13" s="1"/>
  <c r="M61" i="13" s="1"/>
  <c r="N61" i="13" s="1"/>
  <c r="O61" i="13" s="1"/>
  <c r="P61" i="13" s="1"/>
  <c r="Q61" i="13" s="1"/>
  <c r="R61" i="13" s="1"/>
  <c r="S61" i="13" s="1"/>
  <c r="F60" i="13"/>
  <c r="G60" i="13" s="1"/>
  <c r="F59" i="13"/>
  <c r="E66" i="13"/>
  <c r="F66" i="13" s="1"/>
  <c r="G66" i="13" s="1"/>
  <c r="H66" i="13" s="1"/>
  <c r="I66" i="13" s="1"/>
  <c r="J66" i="13" s="1"/>
  <c r="K66" i="13" s="1"/>
  <c r="L66" i="13" s="1"/>
  <c r="M66" i="13" s="1"/>
  <c r="N66" i="13" s="1"/>
  <c r="O66" i="13" s="1"/>
  <c r="P66" i="13" s="1"/>
  <c r="Q66" i="13" s="1"/>
  <c r="R66" i="13" s="1"/>
  <c r="S66" i="13" s="1"/>
  <c r="D59" i="14"/>
  <c r="E56" i="14"/>
  <c r="G5" i="13"/>
  <c r="H5" i="13" s="1"/>
  <c r="I5" i="13" s="1"/>
  <c r="J5" i="13" s="1"/>
  <c r="K5" i="13" s="1"/>
  <c r="L5" i="13" s="1"/>
  <c r="M5" i="13" s="1"/>
  <c r="N5" i="13" s="1"/>
  <c r="O5" i="13" s="1"/>
  <c r="P5" i="13" s="1"/>
  <c r="Q5" i="13" s="1"/>
  <c r="R5" i="13" s="1"/>
  <c r="S5" i="13" s="1"/>
  <c r="T5" i="13" s="1"/>
  <c r="G4" i="13"/>
  <c r="H4" i="13" s="1"/>
  <c r="I4" i="13" s="1"/>
  <c r="J4" i="13" s="1"/>
  <c r="K4" i="13" s="1"/>
  <c r="L4" i="13" s="1"/>
  <c r="M4" i="13" s="1"/>
  <c r="N4" i="13" s="1"/>
  <c r="O4" i="13" s="1"/>
  <c r="P4" i="13" s="1"/>
  <c r="Q4" i="13" s="1"/>
  <c r="R4" i="13" s="1"/>
  <c r="S4" i="13" s="1"/>
  <c r="T4" i="13" s="1"/>
  <c r="G3" i="13"/>
  <c r="H3" i="13" s="1"/>
  <c r="I3" i="13" s="1"/>
  <c r="J3" i="13" s="1"/>
  <c r="K3" i="13" s="1"/>
  <c r="L3" i="13" s="1"/>
  <c r="M3" i="13" s="1"/>
  <c r="N3" i="13" s="1"/>
  <c r="O3" i="13" s="1"/>
  <c r="P3" i="13" s="1"/>
  <c r="Q3" i="13" s="1"/>
  <c r="R3" i="13" s="1"/>
  <c r="S3" i="13" s="1"/>
  <c r="T3" i="13" s="1"/>
  <c r="H4" i="14"/>
  <c r="I4" i="14" s="1"/>
  <c r="J4" i="14" s="1"/>
  <c r="K4" i="14" s="1"/>
  <c r="L4" i="14" s="1"/>
  <c r="M4" i="14" s="1"/>
  <c r="N4" i="14" s="1"/>
  <c r="O4" i="14" s="1"/>
  <c r="P4" i="14" s="1"/>
  <c r="Q4" i="14" s="1"/>
  <c r="R4" i="14" s="1"/>
  <c r="S4" i="14" s="1"/>
  <c r="T4" i="14" s="1"/>
  <c r="G5" i="14"/>
  <c r="H5" i="14" s="1"/>
  <c r="I5" i="14" s="1"/>
  <c r="J5" i="14" s="1"/>
  <c r="K5" i="14" s="1"/>
  <c r="L5" i="14" s="1"/>
  <c r="M5" i="14" s="1"/>
  <c r="N5" i="14" s="1"/>
  <c r="O5" i="14" s="1"/>
  <c r="P5" i="14" s="1"/>
  <c r="Q5" i="14" s="1"/>
  <c r="R5" i="14" s="1"/>
  <c r="S5" i="14" s="1"/>
  <c r="T5" i="14" s="1"/>
  <c r="G4" i="14"/>
  <c r="E65" i="13"/>
  <c r="F65" i="13" s="1"/>
  <c r="G65" i="13" s="1"/>
  <c r="H65" i="13" s="1"/>
  <c r="I65" i="13" s="1"/>
  <c r="J65" i="13" s="1"/>
  <c r="K65" i="13" s="1"/>
  <c r="L65" i="13" s="1"/>
  <c r="M65" i="13" s="1"/>
  <c r="N65" i="13" s="1"/>
  <c r="O65" i="13" s="1"/>
  <c r="P65" i="13" s="1"/>
  <c r="Q65" i="13" s="1"/>
  <c r="R65" i="13" s="1"/>
  <c r="S65" i="13" s="1"/>
  <c r="T51" i="14"/>
  <c r="D51" i="14"/>
  <c r="D21" i="20" s="1"/>
  <c r="B50" i="14"/>
  <c r="B49" i="14"/>
  <c r="B48" i="14"/>
  <c r="B47" i="14"/>
  <c r="T41" i="14"/>
  <c r="D41" i="14"/>
  <c r="D15" i="20" s="1"/>
  <c r="D32" i="14"/>
  <c r="D11" i="20" s="1"/>
  <c r="E31" i="14"/>
  <c r="F31" i="14" s="1"/>
  <c r="G31" i="14" s="1"/>
  <c r="H31" i="14" s="1"/>
  <c r="I31" i="14" s="1"/>
  <c r="J31" i="14" s="1"/>
  <c r="K31" i="14" s="1"/>
  <c r="L31" i="14" s="1"/>
  <c r="M31" i="14" s="1"/>
  <c r="N31" i="14" s="1"/>
  <c r="O31" i="14" s="1"/>
  <c r="P31" i="14" s="1"/>
  <c r="Q31" i="14" s="1"/>
  <c r="R31" i="14" s="1"/>
  <c r="S31" i="14" s="1"/>
  <c r="T31" i="14" s="1"/>
  <c r="D19" i="14"/>
  <c r="D20" i="14" s="1"/>
  <c r="D10" i="20" s="1"/>
  <c r="T12" i="14"/>
  <c r="T13" i="14" s="1"/>
  <c r="T7" i="20" s="1"/>
  <c r="S12" i="14"/>
  <c r="S13" i="14" s="1"/>
  <c r="S7" i="20" s="1"/>
  <c r="R12" i="14"/>
  <c r="R13" i="14" s="1"/>
  <c r="R7" i="20" s="1"/>
  <c r="Q12" i="14"/>
  <c r="Q13" i="14" s="1"/>
  <c r="Q7" i="20" s="1"/>
  <c r="P12" i="14"/>
  <c r="P13" i="14" s="1"/>
  <c r="P7" i="20" s="1"/>
  <c r="O12" i="14"/>
  <c r="O13" i="14" s="1"/>
  <c r="O7" i="20" s="1"/>
  <c r="N12" i="14"/>
  <c r="N13" i="14" s="1"/>
  <c r="N7" i="20" s="1"/>
  <c r="M12" i="14"/>
  <c r="M13" i="14" s="1"/>
  <c r="M7" i="20" s="1"/>
  <c r="L12" i="14"/>
  <c r="L13" i="14" s="1"/>
  <c r="L7" i="20" s="1"/>
  <c r="K12" i="14"/>
  <c r="K13" i="14" s="1"/>
  <c r="K7" i="20" s="1"/>
  <c r="J12" i="14"/>
  <c r="J13" i="14" s="1"/>
  <c r="J7" i="20" s="1"/>
  <c r="I12" i="14"/>
  <c r="I13" i="14" s="1"/>
  <c r="I7" i="20" s="1"/>
  <c r="H12" i="14"/>
  <c r="H13" i="14" s="1"/>
  <c r="H7" i="20" s="1"/>
  <c r="G12" i="14"/>
  <c r="G13" i="14" s="1"/>
  <c r="G7" i="20" s="1"/>
  <c r="F12" i="14"/>
  <c r="F13" i="14" s="1"/>
  <c r="F7" i="20" s="1"/>
  <c r="D12" i="14"/>
  <c r="D13" i="14" s="1"/>
  <c r="D7" i="20" s="1"/>
  <c r="G3" i="14"/>
  <c r="H3" i="14" s="1"/>
  <c r="I3" i="14" s="1"/>
  <c r="J3" i="14" s="1"/>
  <c r="K3" i="14" s="1"/>
  <c r="L3" i="14" s="1"/>
  <c r="M3" i="14" s="1"/>
  <c r="N3" i="14" s="1"/>
  <c r="O3" i="14" s="1"/>
  <c r="P3" i="14" s="1"/>
  <c r="Q3" i="14" s="1"/>
  <c r="R3" i="14" s="1"/>
  <c r="S3" i="14" s="1"/>
  <c r="T3" i="14" s="1"/>
  <c r="H5" i="7"/>
  <c r="H6" i="7"/>
  <c r="H4" i="7"/>
  <c r="G6" i="7"/>
  <c r="G5" i="7"/>
  <c r="G4" i="7"/>
  <c r="D63" i="13"/>
  <c r="D68" i="13" s="1"/>
  <c r="T63" i="13"/>
  <c r="B60" i="13"/>
  <c r="B61" i="13"/>
  <c r="B62" i="13"/>
  <c r="B59" i="13"/>
  <c r="D45" i="13"/>
  <c r="D53" i="13"/>
  <c r="T53" i="13"/>
  <c r="T33" i="13"/>
  <c r="T25" i="13"/>
  <c r="T26" i="13" s="1"/>
  <c r="T17" i="13"/>
  <c r="D32" i="13"/>
  <c r="D33" i="13" s="1"/>
  <c r="D25" i="13"/>
  <c r="D26" i="13" s="1"/>
  <c r="F25" i="13"/>
  <c r="F26" i="13" s="1"/>
  <c r="G25" i="13"/>
  <c r="G26" i="13" s="1"/>
  <c r="H25" i="13"/>
  <c r="H26" i="13" s="1"/>
  <c r="I25" i="13"/>
  <c r="I26" i="13" s="1"/>
  <c r="J25" i="13"/>
  <c r="J26" i="13" s="1"/>
  <c r="K25" i="13"/>
  <c r="K26" i="13" s="1"/>
  <c r="L25" i="13"/>
  <c r="L26" i="13" s="1"/>
  <c r="M25" i="13"/>
  <c r="M26" i="13" s="1"/>
  <c r="N25" i="13"/>
  <c r="N26" i="13" s="1"/>
  <c r="O25" i="13"/>
  <c r="O26" i="13" s="1"/>
  <c r="P25" i="13"/>
  <c r="P26" i="13" s="1"/>
  <c r="Q25" i="13"/>
  <c r="Q26" i="13" s="1"/>
  <c r="R25" i="13"/>
  <c r="R26" i="13" s="1"/>
  <c r="S25" i="13"/>
  <c r="S26" i="13" s="1"/>
  <c r="E17" i="13"/>
  <c r="F17" i="13"/>
  <c r="G17" i="13"/>
  <c r="H17" i="13"/>
  <c r="I17" i="13"/>
  <c r="J17" i="13"/>
  <c r="K17" i="13"/>
  <c r="L17" i="13"/>
  <c r="M17" i="13"/>
  <c r="N17" i="13"/>
  <c r="O17" i="13"/>
  <c r="P17" i="13"/>
  <c r="Q17" i="13"/>
  <c r="R17" i="13"/>
  <c r="S17" i="13"/>
  <c r="E44" i="13"/>
  <c r="E10" i="11"/>
  <c r="I10" i="11" s="1"/>
  <c r="F4" i="5"/>
  <c r="T66" i="13" s="1"/>
  <c r="F50" i="5"/>
  <c r="F45" i="5"/>
  <c r="D36" i="5"/>
  <c r="F36" i="5" s="1"/>
  <c r="D35" i="5"/>
  <c r="F35" i="5" s="1"/>
  <c r="F33" i="5"/>
  <c r="F32" i="5"/>
  <c r="F31" i="5"/>
  <c r="F30" i="5"/>
  <c r="F29" i="5"/>
  <c r="F28" i="5"/>
  <c r="F27" i="5"/>
  <c r="F25" i="5"/>
  <c r="F26" i="5"/>
  <c r="F24" i="5"/>
  <c r="F23" i="5"/>
  <c r="F21" i="5"/>
  <c r="F20" i="5"/>
  <c r="F19" i="5"/>
  <c r="F16" i="5"/>
  <c r="F13" i="5"/>
  <c r="F12" i="5"/>
  <c r="F11" i="5"/>
  <c r="F10" i="5"/>
  <c r="D8" i="5"/>
  <c r="F8" i="5" s="1"/>
  <c r="D7" i="5"/>
  <c r="F7" i="5" s="1"/>
  <c r="D53" i="5"/>
  <c r="F53" i="5" s="1"/>
  <c r="D52" i="5"/>
  <c r="F52" i="5" s="1"/>
  <c r="D51" i="5"/>
  <c r="F51" i="5" s="1"/>
  <c r="D49" i="5"/>
  <c r="F49" i="5" s="1"/>
  <c r="D48" i="5"/>
  <c r="F48" i="5" s="1"/>
  <c r="D47" i="5"/>
  <c r="F47" i="5" s="1"/>
  <c r="D38" i="5"/>
  <c r="F38" i="5" s="1"/>
  <c r="D22" i="5"/>
  <c r="F22" i="5" s="1"/>
  <c r="D18" i="5"/>
  <c r="F18" i="5" s="1"/>
  <c r="D14" i="5"/>
  <c r="F14" i="5" s="1"/>
  <c r="C7" i="7"/>
  <c r="C8" i="7" s="1"/>
  <c r="D5" i="7" s="1"/>
  <c r="C6" i="7"/>
  <c r="C5" i="7"/>
  <c r="R23" i="9"/>
  <c r="R21" i="9"/>
  <c r="K11" i="9" s="1"/>
  <c r="R3" i="9"/>
  <c r="AC8" i="9"/>
  <c r="I45" i="11" s="1"/>
  <c r="X7" i="9"/>
  <c r="Y7" i="9" s="1"/>
  <c r="X6" i="9"/>
  <c r="Y6" i="9" s="1"/>
  <c r="X5" i="9"/>
  <c r="I40" i="9" s="1"/>
  <c r="M40" i="9" s="1"/>
  <c r="X4" i="9"/>
  <c r="E21" i="11" s="1"/>
  <c r="I21" i="11" s="1"/>
  <c r="X3" i="9"/>
  <c r="G38" i="9" s="1"/>
  <c r="R28" i="9"/>
  <c r="L9" i="9" s="1"/>
  <c r="R26" i="9"/>
  <c r="L10" i="9" s="1"/>
  <c r="R25" i="9"/>
  <c r="L5" i="9" s="1"/>
  <c r="R24" i="9"/>
  <c r="L6" i="9" s="1"/>
  <c r="R22" i="9"/>
  <c r="R20" i="9"/>
  <c r="K6" i="9" s="1"/>
  <c r="R19" i="9"/>
  <c r="K8" i="9" s="1"/>
  <c r="R18" i="9"/>
  <c r="K5" i="9" s="1"/>
  <c r="R17" i="9"/>
  <c r="K7" i="9" s="1"/>
  <c r="R16" i="9"/>
  <c r="J10" i="9" s="1"/>
  <c r="R15" i="9"/>
  <c r="J11" i="9" s="1"/>
  <c r="R14" i="9"/>
  <c r="R13" i="9"/>
  <c r="J6" i="9" s="1"/>
  <c r="R12" i="9"/>
  <c r="I5" i="9" s="1"/>
  <c r="R11" i="9"/>
  <c r="I3" i="9" s="1"/>
  <c r="R10" i="9"/>
  <c r="I7" i="9" s="1"/>
  <c r="C16" i="10"/>
  <c r="R9" i="9"/>
  <c r="I6" i="9" s="1"/>
  <c r="R8" i="9"/>
  <c r="H3" i="9" s="1"/>
  <c r="R7" i="9"/>
  <c r="H6" i="9" s="1"/>
  <c r="R5" i="9"/>
  <c r="G5" i="9" s="1"/>
  <c r="H43" i="9"/>
  <c r="K43" i="9"/>
  <c r="L43" i="9"/>
  <c r="M16" i="9"/>
  <c r="L11" i="9"/>
  <c r="I11" i="9"/>
  <c r="H11" i="9"/>
  <c r="G11" i="9"/>
  <c r="K10" i="9"/>
  <c r="I10" i="9"/>
  <c r="H10" i="9"/>
  <c r="G10" i="9"/>
  <c r="K9" i="9"/>
  <c r="J9" i="9"/>
  <c r="H9" i="9"/>
  <c r="I9" i="9"/>
  <c r="G9" i="9"/>
  <c r="L8" i="9"/>
  <c r="J8" i="9"/>
  <c r="H8" i="9"/>
  <c r="I8" i="9"/>
  <c r="G8" i="9"/>
  <c r="J7" i="9"/>
  <c r="H7" i="9"/>
  <c r="G7" i="9"/>
  <c r="G6" i="9"/>
  <c r="M4" i="9"/>
  <c r="K3" i="9"/>
  <c r="J3" i="9"/>
  <c r="C15" i="10"/>
  <c r="G3" i="6" s="1"/>
  <c r="C35" i="10"/>
  <c r="C34" i="10"/>
  <c r="C33" i="10"/>
  <c r="C32" i="10"/>
  <c r="C4" i="10"/>
  <c r="C5" i="10"/>
  <c r="C6" i="10"/>
  <c r="C7" i="10"/>
  <c r="C8" i="10"/>
  <c r="C9" i="10"/>
  <c r="C10" i="10"/>
  <c r="C11" i="10"/>
  <c r="C17" i="10"/>
  <c r="C18" i="10"/>
  <c r="C19" i="10"/>
  <c r="C20" i="10"/>
  <c r="C21" i="10"/>
  <c r="C22" i="10"/>
  <c r="B26" i="10"/>
  <c r="C26" i="10"/>
  <c r="C28" i="10" s="1"/>
  <c r="R42" i="9"/>
  <c r="R41" i="9"/>
  <c r="R40" i="9"/>
  <c r="R38" i="9"/>
  <c r="R37" i="9"/>
  <c r="A34" i="9"/>
  <c r="B34" i="9" s="1"/>
  <c r="B36" i="9" s="1"/>
  <c r="B30" i="9"/>
  <c r="B29" i="9"/>
  <c r="B28" i="9"/>
  <c r="B27" i="9"/>
  <c r="B26" i="9"/>
  <c r="B25" i="9"/>
  <c r="R27" i="9"/>
  <c r="L3" i="9" s="1"/>
  <c r="B24" i="9"/>
  <c r="B23" i="9"/>
  <c r="B15" i="9"/>
  <c r="J5" i="9"/>
  <c r="B14" i="9"/>
  <c r="B13" i="9"/>
  <c r="B12" i="9"/>
  <c r="B11" i="9"/>
  <c r="B10" i="9"/>
  <c r="B9" i="9"/>
  <c r="B8" i="9"/>
  <c r="B7" i="9"/>
  <c r="R6" i="9"/>
  <c r="H5" i="9" s="1"/>
  <c r="B6" i="9"/>
  <c r="B5" i="9"/>
  <c r="R4" i="9"/>
  <c r="B4" i="9"/>
  <c r="L10" i="1"/>
  <c r="H50" i="1"/>
  <c r="L26" i="1"/>
  <c r="T11" i="1"/>
  <c r="M8" i="6"/>
  <c r="M9" i="6"/>
  <c r="N3" i="6"/>
  <c r="A5" i="8"/>
  <c r="A6" i="8" s="1"/>
  <c r="A7" i="8" s="1"/>
  <c r="A8" i="8" s="1"/>
  <c r="A9" i="8" s="1"/>
  <c r="A10" i="8" s="1"/>
  <c r="A11" i="8" s="1"/>
  <c r="A12" i="8" s="1"/>
  <c r="A13" i="8" s="1"/>
  <c r="A14" i="8" s="1"/>
  <c r="A15" i="8" s="1"/>
  <c r="A16" i="8" s="1"/>
  <c r="A17" i="8" s="1"/>
  <c r="A4" i="8"/>
  <c r="R8" i="6"/>
  <c r="M7" i="6"/>
  <c r="N9" i="6" s="1"/>
  <c r="M6" i="6"/>
  <c r="N6" i="6" s="1"/>
  <c r="G8" i="6"/>
  <c r="G7" i="6"/>
  <c r="G6" i="6"/>
  <c r="G5" i="6"/>
  <c r="G4" i="6"/>
  <c r="G39" i="6"/>
  <c r="G38" i="6"/>
  <c r="G37" i="6"/>
  <c r="G35" i="6"/>
  <c r="G34" i="6"/>
  <c r="G14" i="6"/>
  <c r="B4" i="6"/>
  <c r="M3" i="6" s="1"/>
  <c r="B5" i="6"/>
  <c r="B6" i="6"/>
  <c r="B7" i="6"/>
  <c r="B8" i="6"/>
  <c r="B9" i="6"/>
  <c r="B10" i="6"/>
  <c r="B11" i="6"/>
  <c r="B12" i="6"/>
  <c r="B13" i="6"/>
  <c r="B14" i="6"/>
  <c r="B15" i="6"/>
  <c r="B23" i="6"/>
  <c r="B24" i="6"/>
  <c r="G20" i="6" s="1"/>
  <c r="B25" i="6"/>
  <c r="B26" i="6"/>
  <c r="B27" i="6"/>
  <c r="M10" i="6" s="1"/>
  <c r="N10" i="6" s="1"/>
  <c r="B28" i="6"/>
  <c r="B29" i="6"/>
  <c r="B30" i="6"/>
  <c r="A34" i="6"/>
  <c r="B34" i="6" s="1"/>
  <c r="B36" i="6" s="1"/>
  <c r="G9" i="6"/>
  <c r="G25" i="6"/>
  <c r="G24" i="6"/>
  <c r="G23" i="6"/>
  <c r="G22" i="6"/>
  <c r="G21" i="6"/>
  <c r="G19" i="6"/>
  <c r="G18" i="6"/>
  <c r="G17" i="6"/>
  <c r="G16" i="6"/>
  <c r="M5" i="6"/>
  <c r="M4" i="6"/>
  <c r="N5" i="6" s="1"/>
  <c r="G15" i="6"/>
  <c r="G13" i="6"/>
  <c r="H15" i="6" s="1"/>
  <c r="G12" i="6"/>
  <c r="G11" i="6"/>
  <c r="G10" i="6"/>
  <c r="F46" i="5"/>
  <c r="F44" i="5"/>
  <c r="F43" i="5"/>
  <c r="F42" i="5"/>
  <c r="F41" i="5"/>
  <c r="F40" i="5"/>
  <c r="F39" i="5"/>
  <c r="F37" i="5"/>
  <c r="F34" i="5"/>
  <c r="F17" i="5"/>
  <c r="F15" i="5"/>
  <c r="F9" i="5"/>
  <c r="I15" i="1"/>
  <c r="I7" i="1"/>
  <c r="AD10" i="1"/>
  <c r="E31" i="3"/>
  <c r="E33" i="3"/>
  <c r="E32" i="3"/>
  <c r="E49" i="3"/>
  <c r="E47" i="3"/>
  <c r="E46" i="3"/>
  <c r="E45" i="3"/>
  <c r="E44" i="3"/>
  <c r="E43" i="3"/>
  <c r="E42" i="3"/>
  <c r="E41" i="3"/>
  <c r="E40" i="3"/>
  <c r="E39" i="3"/>
  <c r="E38" i="3"/>
  <c r="E37" i="3"/>
  <c r="E48" i="3"/>
  <c r="E36" i="3"/>
  <c r="E35" i="3"/>
  <c r="E34" i="3"/>
  <c r="U4" i="3"/>
  <c r="U5" i="3"/>
  <c r="U6" i="3"/>
  <c r="O9" i="3"/>
  <c r="O6" i="3"/>
  <c r="O15" i="3"/>
  <c r="G18" i="3"/>
  <c r="G17" i="3"/>
  <c r="T8" i="1"/>
  <c r="O19" i="3"/>
  <c r="O14" i="3"/>
  <c r="O8" i="3"/>
  <c r="O7" i="3"/>
  <c r="L20" i="3"/>
  <c r="L22" i="3"/>
  <c r="L21" i="3"/>
  <c r="L19" i="3"/>
  <c r="L18" i="3"/>
  <c r="L17" i="3"/>
  <c r="L16" i="3"/>
  <c r="L23" i="3" s="1"/>
  <c r="L10" i="3"/>
  <c r="L9" i="3"/>
  <c r="L8" i="3"/>
  <c r="L7" i="3"/>
  <c r="L11" i="3" s="1"/>
  <c r="L6" i="3"/>
  <c r="B33" i="1"/>
  <c r="H49" i="1"/>
  <c r="H48" i="1"/>
  <c r="H47" i="1"/>
  <c r="H46" i="1"/>
  <c r="L25" i="1"/>
  <c r="L24" i="1"/>
  <c r="L23" i="1"/>
  <c r="C19" i="2"/>
  <c r="C18" i="2"/>
  <c r="C9" i="2"/>
  <c r="C8" i="2"/>
  <c r="C7" i="2"/>
  <c r="C6" i="2"/>
  <c r="C5" i="2"/>
  <c r="D5" i="2" s="1"/>
  <c r="T10" i="1"/>
  <c r="T9" i="1"/>
  <c r="AE5" i="1"/>
  <c r="L18" i="1"/>
  <c r="L22" i="1"/>
  <c r="L21" i="1"/>
  <c r="L12" i="1"/>
  <c r="L8" i="1"/>
  <c r="L20" i="1"/>
  <c r="T5" i="1"/>
  <c r="L19" i="1"/>
  <c r="L17" i="1"/>
  <c r="AE4" i="1"/>
  <c r="AE6" i="1"/>
  <c r="H45" i="1"/>
  <c r="H44" i="1"/>
  <c r="H43" i="1"/>
  <c r="H42" i="1"/>
  <c r="H38" i="1"/>
  <c r="H41" i="1"/>
  <c r="H40" i="1"/>
  <c r="H39" i="1"/>
  <c r="H37" i="1"/>
  <c r="T7" i="1"/>
  <c r="AE3" i="1"/>
  <c r="L16" i="1"/>
  <c r="L15" i="1"/>
  <c r="L14" i="1"/>
  <c r="L13" i="1"/>
  <c r="H36" i="1"/>
  <c r="H35" i="1"/>
  <c r="H34" i="1"/>
  <c r="H33" i="1"/>
  <c r="H32" i="1"/>
  <c r="H31" i="1"/>
  <c r="H30" i="1"/>
  <c r="L6" i="1"/>
  <c r="G33" i="21" l="1"/>
  <c r="D25" i="21"/>
  <c r="D35" i="21" s="1"/>
  <c r="G39" i="21"/>
  <c r="H38" i="21"/>
  <c r="G63" i="20"/>
  <c r="D12" i="20"/>
  <c r="D16" i="20" s="1"/>
  <c r="D18" i="20" s="1"/>
  <c r="D23" i="20" s="1"/>
  <c r="D24" i="20" s="1"/>
  <c r="E49" i="20"/>
  <c r="H26" i="20"/>
  <c r="G27" i="20"/>
  <c r="G75" i="16"/>
  <c r="F76" i="16"/>
  <c r="H73" i="13"/>
  <c r="G74" i="13"/>
  <c r="H56" i="19"/>
  <c r="G57" i="19"/>
  <c r="F56" i="14"/>
  <c r="G56" i="14" s="1"/>
  <c r="E57" i="14"/>
  <c r="G50" i="14"/>
  <c r="H50" i="14" s="1"/>
  <c r="I50" i="14" s="1"/>
  <c r="J50" i="14" s="1"/>
  <c r="K50" i="14" s="1"/>
  <c r="L50" i="14" s="1"/>
  <c r="M50" i="14" s="1"/>
  <c r="N50" i="14" s="1"/>
  <c r="O50" i="14" s="1"/>
  <c r="P50" i="14" s="1"/>
  <c r="Q50" i="14" s="1"/>
  <c r="R50" i="14" s="1"/>
  <c r="S50" i="14" s="1"/>
  <c r="G47" i="14"/>
  <c r="H47" i="14" s="1"/>
  <c r="I47" i="14" s="1"/>
  <c r="J47" i="14" s="1"/>
  <c r="K47" i="14" s="1"/>
  <c r="L47" i="14" s="1"/>
  <c r="M47" i="14" s="1"/>
  <c r="N47" i="14" s="1"/>
  <c r="O47" i="14" s="1"/>
  <c r="P47" i="14" s="1"/>
  <c r="Q47" i="14" s="1"/>
  <c r="R47" i="14" s="1"/>
  <c r="S47" i="14" s="1"/>
  <c r="G49" i="14"/>
  <c r="H49" i="14" s="1"/>
  <c r="I49" i="14" s="1"/>
  <c r="J49" i="14" s="1"/>
  <c r="K49" i="14" s="1"/>
  <c r="L49" i="14" s="1"/>
  <c r="M49" i="14" s="1"/>
  <c r="N49" i="14" s="1"/>
  <c r="O49" i="14" s="1"/>
  <c r="P49" i="14" s="1"/>
  <c r="Q49" i="14" s="1"/>
  <c r="R49" i="14" s="1"/>
  <c r="S49" i="14" s="1"/>
  <c r="G48" i="14"/>
  <c r="H48" i="14" s="1"/>
  <c r="I48" i="14" s="1"/>
  <c r="J48" i="14" s="1"/>
  <c r="K48" i="14" s="1"/>
  <c r="L48" i="14" s="1"/>
  <c r="M48" i="14" s="1"/>
  <c r="N48" i="14" s="1"/>
  <c r="O48" i="14" s="1"/>
  <c r="P48" i="14" s="1"/>
  <c r="Q48" i="14" s="1"/>
  <c r="R48" i="14" s="1"/>
  <c r="S48" i="14" s="1"/>
  <c r="F32" i="19"/>
  <c r="F48" i="20" s="1"/>
  <c r="F49" i="20" s="1"/>
  <c r="G23" i="19"/>
  <c r="Q28" i="19"/>
  <c r="R28" i="19" s="1"/>
  <c r="S28" i="19" s="1"/>
  <c r="G20" i="19"/>
  <c r="G45" i="20" s="1"/>
  <c r="H17" i="19"/>
  <c r="G51" i="19"/>
  <c r="G58" i="20" s="1"/>
  <c r="H47" i="19"/>
  <c r="Q39" i="19"/>
  <c r="R39" i="19" s="1"/>
  <c r="S39" i="19" s="1"/>
  <c r="Q29" i="19"/>
  <c r="R29" i="19" s="1"/>
  <c r="S29" i="19" s="1"/>
  <c r="H36" i="19"/>
  <c r="E33" i="19"/>
  <c r="F33" i="19"/>
  <c r="Q18" i="19"/>
  <c r="R18" i="19" s="1"/>
  <c r="S18" i="19" s="1"/>
  <c r="G61" i="16"/>
  <c r="D47" i="13"/>
  <c r="G62" i="13"/>
  <c r="H62" i="13" s="1"/>
  <c r="I62" i="13" s="1"/>
  <c r="J62" i="13" s="1"/>
  <c r="K62" i="13" s="1"/>
  <c r="L62" i="13" s="1"/>
  <c r="M62" i="13" s="1"/>
  <c r="N62" i="13" s="1"/>
  <c r="O62" i="13" s="1"/>
  <c r="P62" i="13" s="1"/>
  <c r="Q62" i="13" s="1"/>
  <c r="R62" i="13" s="1"/>
  <c r="S62" i="13" s="1"/>
  <c r="G59" i="13"/>
  <c r="H59" i="13" s="1"/>
  <c r="I59" i="13" s="1"/>
  <c r="J59" i="13" s="1"/>
  <c r="K59" i="13" s="1"/>
  <c r="L59" i="13" s="1"/>
  <c r="M59" i="13" s="1"/>
  <c r="N59" i="13" s="1"/>
  <c r="O59" i="13" s="1"/>
  <c r="P59" i="13" s="1"/>
  <c r="Q59" i="13" s="1"/>
  <c r="R59" i="13" s="1"/>
  <c r="S59" i="13" s="1"/>
  <c r="E41" i="11"/>
  <c r="I41" i="11"/>
  <c r="G18" i="17"/>
  <c r="I32" i="17"/>
  <c r="F12" i="2"/>
  <c r="H4" i="11" s="1"/>
  <c r="G17" i="17"/>
  <c r="J17" i="17"/>
  <c r="I33" i="17"/>
  <c r="I17" i="17"/>
  <c r="I31" i="17"/>
  <c r="L35" i="17"/>
  <c r="L27" i="17"/>
  <c r="L26" i="17"/>
  <c r="J20" i="17"/>
  <c r="M43" i="17"/>
  <c r="I43" i="17"/>
  <c r="M39" i="17"/>
  <c r="L32" i="17"/>
  <c r="L31" i="17"/>
  <c r="Z3" i="17"/>
  <c r="Y8" i="17"/>
  <c r="M3" i="17"/>
  <c r="G15" i="17" s="1"/>
  <c r="G12" i="17"/>
  <c r="G26" i="17" s="1"/>
  <c r="M22" i="17"/>
  <c r="M17" i="17"/>
  <c r="I20" i="17"/>
  <c r="L29" i="17"/>
  <c r="L30" i="17"/>
  <c r="H21" i="17"/>
  <c r="M21" i="17" s="1"/>
  <c r="L21" i="17"/>
  <c r="I35" i="17"/>
  <c r="I27" i="17"/>
  <c r="I26" i="17"/>
  <c r="L28" i="17"/>
  <c r="Z5" i="17"/>
  <c r="I18" i="17"/>
  <c r="L18" i="17"/>
  <c r="H18" i="17"/>
  <c r="L34" i="17"/>
  <c r="G20" i="17"/>
  <c r="J34" i="17"/>
  <c r="J35" i="17"/>
  <c r="J27" i="17"/>
  <c r="J31" i="17"/>
  <c r="S29" i="17"/>
  <c r="T5" i="17" s="1"/>
  <c r="H23" i="17"/>
  <c r="M23" i="17" s="1"/>
  <c r="K18" i="17"/>
  <c r="L20" i="17"/>
  <c r="M7" i="17"/>
  <c r="H20" i="17"/>
  <c r="F30" i="14"/>
  <c r="G30" i="14" s="1"/>
  <c r="H30" i="14" s="1"/>
  <c r="I30" i="14" s="1"/>
  <c r="J30" i="14" s="1"/>
  <c r="K30" i="14" s="1"/>
  <c r="L30" i="14" s="1"/>
  <c r="M30" i="14" s="1"/>
  <c r="N30" i="14" s="1"/>
  <c r="O30" i="14" s="1"/>
  <c r="P30" i="14" s="1"/>
  <c r="Q30" i="14" s="1"/>
  <c r="R30" i="14" s="1"/>
  <c r="S30" i="14" s="1"/>
  <c r="T30" i="14" s="1"/>
  <c r="T32" i="14" s="1"/>
  <c r="T11" i="20" s="1"/>
  <c r="G43" i="16"/>
  <c r="H43" i="16" s="1"/>
  <c r="I43" i="16" s="1"/>
  <c r="J43" i="16" s="1"/>
  <c r="K43" i="16" s="1"/>
  <c r="L43" i="16" s="1"/>
  <c r="M43" i="16" s="1"/>
  <c r="N43" i="16" s="1"/>
  <c r="O43" i="16" s="1"/>
  <c r="P43" i="16" s="1"/>
  <c r="Q43" i="16" s="1"/>
  <c r="R43" i="16" s="1"/>
  <c r="S43" i="16" s="1"/>
  <c r="T43" i="16" s="1"/>
  <c r="T45" i="16" s="1"/>
  <c r="T47" i="16" s="1"/>
  <c r="T56" i="16" s="1"/>
  <c r="T58" i="16" s="1"/>
  <c r="D6" i="2"/>
  <c r="D7" i="2"/>
  <c r="D9" i="2"/>
  <c r="D8" i="2"/>
  <c r="H61" i="16"/>
  <c r="G65" i="16"/>
  <c r="G70" i="16" s="1"/>
  <c r="D10" i="3"/>
  <c r="O54" i="5"/>
  <c r="O56" i="5" s="1"/>
  <c r="S5" i="9"/>
  <c r="I39" i="9"/>
  <c r="M39" i="9" s="1"/>
  <c r="S28" i="9"/>
  <c r="G43" i="13"/>
  <c r="H43" i="13" s="1"/>
  <c r="I43" i="13" s="1"/>
  <c r="E25" i="11"/>
  <c r="H60" i="13"/>
  <c r="I60" i="13" s="1"/>
  <c r="J60" i="13" s="1"/>
  <c r="K60" i="13" s="1"/>
  <c r="L60" i="13" s="1"/>
  <c r="M60" i="13" s="1"/>
  <c r="N60" i="13" s="1"/>
  <c r="O60" i="13" s="1"/>
  <c r="P60" i="13" s="1"/>
  <c r="Q60" i="13" s="1"/>
  <c r="R60" i="13" s="1"/>
  <c r="S60" i="13" s="1"/>
  <c r="E12" i="14"/>
  <c r="E63" i="13"/>
  <c r="E68" i="13" s="1"/>
  <c r="F51" i="14"/>
  <c r="F21" i="20" s="1"/>
  <c r="D33" i="14"/>
  <c r="D42" i="14" s="1"/>
  <c r="E51" i="14"/>
  <c r="D54" i="13"/>
  <c r="S12" i="9"/>
  <c r="S16" i="9"/>
  <c r="S21" i="9"/>
  <c r="S8" i="9"/>
  <c r="G19" i="5"/>
  <c r="G33" i="5"/>
  <c r="G40" i="5"/>
  <c r="G49" i="5"/>
  <c r="G11" i="5"/>
  <c r="F54" i="5"/>
  <c r="G53" i="5"/>
  <c r="D4" i="7"/>
  <c r="D6" i="7"/>
  <c r="D7" i="7"/>
  <c r="J42" i="9"/>
  <c r="I41" i="9"/>
  <c r="M41" i="9" s="1"/>
  <c r="I43" i="9"/>
  <c r="M38" i="9"/>
  <c r="G43" i="9"/>
  <c r="Y3" i="9"/>
  <c r="G3" i="9"/>
  <c r="G12" i="9" s="1"/>
  <c r="L7" i="9"/>
  <c r="L12" i="9" s="1"/>
  <c r="M8" i="9"/>
  <c r="M11" i="9"/>
  <c r="M10" i="9"/>
  <c r="J12" i="9"/>
  <c r="M9" i="9"/>
  <c r="K12" i="9"/>
  <c r="I12" i="9"/>
  <c r="H12" i="9"/>
  <c r="H28" i="9" s="1"/>
  <c r="M6" i="9"/>
  <c r="M5" i="9"/>
  <c r="H17" i="9" s="1"/>
  <c r="Y5" i="9"/>
  <c r="N11" i="6"/>
  <c r="H19" i="6"/>
  <c r="H5" i="6"/>
  <c r="H8" i="6"/>
  <c r="H12" i="6"/>
  <c r="H25" i="6"/>
  <c r="H26" i="6"/>
  <c r="I8" i="6" s="1"/>
  <c r="G26" i="6"/>
  <c r="D4" i="3"/>
  <c r="E50" i="3"/>
  <c r="Y3" i="1"/>
  <c r="A31" i="1"/>
  <c r="L11" i="1"/>
  <c r="H29" i="1"/>
  <c r="H28" i="1"/>
  <c r="H27" i="1"/>
  <c r="H26" i="1"/>
  <c r="H25" i="1"/>
  <c r="H24" i="1"/>
  <c r="H23" i="1"/>
  <c r="H22" i="1"/>
  <c r="H21" i="1"/>
  <c r="H20" i="1"/>
  <c r="H19" i="1"/>
  <c r="H18" i="1"/>
  <c r="H17" i="1"/>
  <c r="H16" i="1"/>
  <c r="T6" i="1"/>
  <c r="T4" i="1"/>
  <c r="T3" i="1"/>
  <c r="L9" i="1"/>
  <c r="L7" i="1"/>
  <c r="L5" i="1"/>
  <c r="L4" i="1"/>
  <c r="L3" i="1"/>
  <c r="H15" i="1"/>
  <c r="H14" i="1"/>
  <c r="H13" i="1"/>
  <c r="H12" i="1"/>
  <c r="H11" i="1"/>
  <c r="H10" i="1"/>
  <c r="H9" i="1"/>
  <c r="H8" i="1"/>
  <c r="H7" i="1"/>
  <c r="H6" i="1"/>
  <c r="H5" i="1"/>
  <c r="H4" i="1"/>
  <c r="H3" i="1"/>
  <c r="H33" i="21" l="1"/>
  <c r="D36" i="21"/>
  <c r="D40" i="21"/>
  <c r="D41" i="21" s="1"/>
  <c r="I38" i="21"/>
  <c r="H39" i="21"/>
  <c r="H63" i="20"/>
  <c r="G64" i="20"/>
  <c r="H27" i="20"/>
  <c r="I26" i="20"/>
  <c r="H75" i="16"/>
  <c r="G76" i="16"/>
  <c r="H74" i="13"/>
  <c r="I73" i="13"/>
  <c r="H57" i="19"/>
  <c r="I56" i="19"/>
  <c r="F57" i="14"/>
  <c r="H56" i="14"/>
  <c r="G57" i="14"/>
  <c r="F8" i="2"/>
  <c r="H8" i="11" s="1"/>
  <c r="F5" i="2"/>
  <c r="H5" i="11" s="1"/>
  <c r="F6" i="2"/>
  <c r="H6" i="11" s="1"/>
  <c r="F7" i="2"/>
  <c r="H7" i="11" s="1"/>
  <c r="F9" i="2"/>
  <c r="H9" i="11" s="1"/>
  <c r="I36" i="19"/>
  <c r="H20" i="19"/>
  <c r="H45" i="20" s="1"/>
  <c r="I17" i="19"/>
  <c r="G32" i="19"/>
  <c r="H23" i="19"/>
  <c r="I47" i="19"/>
  <c r="H51" i="19"/>
  <c r="H58" i="20" s="1"/>
  <c r="F26" i="14"/>
  <c r="G26" i="14" s="1"/>
  <c r="H26" i="14" s="1"/>
  <c r="I26" i="14" s="1"/>
  <c r="J26" i="14" s="1"/>
  <c r="K26" i="14" s="1"/>
  <c r="L26" i="14" s="1"/>
  <c r="M26" i="14" s="1"/>
  <c r="N26" i="14" s="1"/>
  <c r="O26" i="14" s="1"/>
  <c r="P26" i="14" s="1"/>
  <c r="Q26" i="14" s="1"/>
  <c r="R26" i="14" s="1"/>
  <c r="S26" i="14" s="1"/>
  <c r="F39" i="13"/>
  <c r="G39" i="13" s="1"/>
  <c r="H39" i="13" s="1"/>
  <c r="I39" i="13" s="1"/>
  <c r="J39" i="13" s="1"/>
  <c r="K39" i="13" s="1"/>
  <c r="L39" i="13" s="1"/>
  <c r="M39" i="13" s="1"/>
  <c r="N39" i="13" s="1"/>
  <c r="O39" i="13" s="1"/>
  <c r="P39" i="13" s="1"/>
  <c r="Q39" i="13" s="1"/>
  <c r="R39" i="13" s="1"/>
  <c r="S39" i="13" s="1"/>
  <c r="F39" i="16"/>
  <c r="G39" i="16" s="1"/>
  <c r="H39" i="16" s="1"/>
  <c r="I39" i="16" s="1"/>
  <c r="J39" i="16" s="1"/>
  <c r="K39" i="16" s="1"/>
  <c r="L39" i="16" s="1"/>
  <c r="M39" i="16" s="1"/>
  <c r="N39" i="16" s="1"/>
  <c r="O39" i="16" s="1"/>
  <c r="P39" i="16" s="1"/>
  <c r="Q39" i="16" s="1"/>
  <c r="R39" i="16" s="1"/>
  <c r="S39" i="16" s="1"/>
  <c r="E13" i="14"/>
  <c r="M18" i="17"/>
  <c r="H43" i="11"/>
  <c r="I4" i="11"/>
  <c r="H44" i="11"/>
  <c r="H19" i="17"/>
  <c r="K19" i="17"/>
  <c r="G19" i="17"/>
  <c r="M19" i="17" s="1"/>
  <c r="J19" i="17"/>
  <c r="I19" i="17"/>
  <c r="M20" i="17"/>
  <c r="M15" i="17"/>
  <c r="I15" i="17"/>
  <c r="M12" i="17"/>
  <c r="L15" i="17"/>
  <c r="H15" i="17"/>
  <c r="J15" i="17"/>
  <c r="K15" i="17"/>
  <c r="T8" i="17"/>
  <c r="T12" i="17"/>
  <c r="T21" i="17"/>
  <c r="T16" i="17"/>
  <c r="L19" i="17"/>
  <c r="G35" i="17"/>
  <c r="G27" i="17"/>
  <c r="G34" i="17"/>
  <c r="G31" i="17"/>
  <c r="G32" i="17"/>
  <c r="G28" i="17"/>
  <c r="G33" i="17"/>
  <c r="G30" i="17"/>
  <c r="G29" i="17"/>
  <c r="Z8" i="17"/>
  <c r="Z6" i="17"/>
  <c r="Z7" i="17"/>
  <c r="T28" i="17"/>
  <c r="E25" i="13"/>
  <c r="E25" i="16"/>
  <c r="I61" i="16"/>
  <c r="H65" i="16"/>
  <c r="H70" i="16" s="1"/>
  <c r="K17" i="9"/>
  <c r="G23" i="9"/>
  <c r="J22" i="9"/>
  <c r="J18" i="9"/>
  <c r="K21" i="9"/>
  <c r="H20" i="9"/>
  <c r="G17" i="9"/>
  <c r="I17" i="9"/>
  <c r="D5" i="3"/>
  <c r="E5" i="11"/>
  <c r="I5" i="11" s="1"/>
  <c r="G54" i="5"/>
  <c r="D8" i="7"/>
  <c r="D44" i="14"/>
  <c r="D53" i="14" s="1"/>
  <c r="D54" i="14" s="1"/>
  <c r="F63" i="13"/>
  <c r="F68" i="13" s="1"/>
  <c r="G51" i="14"/>
  <c r="G21" i="20" s="1"/>
  <c r="J43" i="13"/>
  <c r="L23" i="9"/>
  <c r="M3" i="9"/>
  <c r="M42" i="9"/>
  <c r="M43" i="9" s="1"/>
  <c r="E32" i="11" s="1"/>
  <c r="J43" i="9"/>
  <c r="Y8" i="9"/>
  <c r="Z8" i="9" s="1"/>
  <c r="L29" i="9"/>
  <c r="L33" i="9"/>
  <c r="L34" i="9"/>
  <c r="L28" i="9"/>
  <c r="L32" i="9"/>
  <c r="L27" i="9"/>
  <c r="L31" i="9"/>
  <c r="L35" i="9"/>
  <c r="L26" i="9"/>
  <c r="L30" i="9"/>
  <c r="M7" i="9"/>
  <c r="L20" i="9"/>
  <c r="K27" i="9"/>
  <c r="K29" i="9"/>
  <c r="K31" i="9"/>
  <c r="K33" i="9"/>
  <c r="K35" i="9"/>
  <c r="K28" i="9"/>
  <c r="K32" i="9"/>
  <c r="K34" i="9"/>
  <c r="K26" i="9"/>
  <c r="K30" i="9"/>
  <c r="J27" i="9"/>
  <c r="J31" i="9"/>
  <c r="J35" i="9"/>
  <c r="J34" i="9"/>
  <c r="J26" i="9"/>
  <c r="J30" i="9"/>
  <c r="J33" i="9"/>
  <c r="J28" i="9"/>
  <c r="J32" i="9"/>
  <c r="J29" i="9"/>
  <c r="I34" i="9"/>
  <c r="I26" i="9"/>
  <c r="I27" i="9"/>
  <c r="I28" i="9"/>
  <c r="I30" i="9"/>
  <c r="I31" i="9"/>
  <c r="I32" i="9"/>
  <c r="I33" i="9"/>
  <c r="I35" i="9"/>
  <c r="I29" i="9"/>
  <c r="H33" i="9"/>
  <c r="H30" i="9"/>
  <c r="H34" i="9"/>
  <c r="H27" i="9"/>
  <c r="H31" i="9"/>
  <c r="H35" i="9"/>
  <c r="H32" i="9"/>
  <c r="H26" i="9"/>
  <c r="H29" i="9"/>
  <c r="G27" i="9"/>
  <c r="G29" i="9"/>
  <c r="G31" i="9"/>
  <c r="G33" i="9"/>
  <c r="G35" i="9"/>
  <c r="G28" i="9"/>
  <c r="G30" i="9"/>
  <c r="G32" i="9"/>
  <c r="G34" i="9"/>
  <c r="G26" i="9"/>
  <c r="K18" i="9"/>
  <c r="L18" i="9"/>
  <c r="J17" i="9"/>
  <c r="G22" i="9"/>
  <c r="H22" i="9"/>
  <c r="K22" i="9"/>
  <c r="J23" i="9"/>
  <c r="I23" i="9"/>
  <c r="G20" i="9"/>
  <c r="K15" i="9"/>
  <c r="I21" i="9"/>
  <c r="L17" i="9"/>
  <c r="G21" i="9"/>
  <c r="L21" i="9"/>
  <c r="J20" i="9"/>
  <c r="I22" i="9"/>
  <c r="G18" i="9"/>
  <c r="H23" i="9"/>
  <c r="K20" i="9"/>
  <c r="I20" i="9"/>
  <c r="L22" i="9"/>
  <c r="I18" i="9"/>
  <c r="K23" i="9"/>
  <c r="J21" i="9"/>
  <c r="H21" i="9"/>
  <c r="H18" i="9"/>
  <c r="Z7" i="9"/>
  <c r="Z5" i="9"/>
  <c r="L28" i="1"/>
  <c r="O3" i="6"/>
  <c r="O9" i="6"/>
  <c r="O6" i="6"/>
  <c r="O11" i="6"/>
  <c r="O5" i="6"/>
  <c r="O10" i="6"/>
  <c r="I5" i="6"/>
  <c r="I15" i="6"/>
  <c r="I19" i="6"/>
  <c r="I12" i="6"/>
  <c r="I25" i="6"/>
  <c r="B12" i="1"/>
  <c r="B31" i="1"/>
  <c r="D3" i="1" s="1"/>
  <c r="B27" i="1"/>
  <c r="B26" i="1"/>
  <c r="B13" i="1"/>
  <c r="B9" i="1"/>
  <c r="B28" i="1"/>
  <c r="B25" i="1"/>
  <c r="B24" i="1"/>
  <c r="B23" i="1"/>
  <c r="B22" i="1"/>
  <c r="B21" i="1"/>
  <c r="B11" i="1"/>
  <c r="B10" i="1"/>
  <c r="B8" i="1"/>
  <c r="B7" i="1"/>
  <c r="B6" i="1"/>
  <c r="B5" i="1"/>
  <c r="B4" i="1"/>
  <c r="B3" i="1"/>
  <c r="B2" i="1"/>
  <c r="J38" i="21" l="1"/>
  <c r="I39" i="21"/>
  <c r="I33" i="21"/>
  <c r="G33" i="19"/>
  <c r="G48" i="20"/>
  <c r="G49" i="20" s="1"/>
  <c r="I63" i="20"/>
  <c r="H64" i="20"/>
  <c r="I27" i="20"/>
  <c r="J26" i="20"/>
  <c r="H76" i="16"/>
  <c r="I75" i="16"/>
  <c r="J73" i="13"/>
  <c r="I74" i="13"/>
  <c r="J56" i="19"/>
  <c r="I57" i="19"/>
  <c r="I56" i="14"/>
  <c r="H57" i="14"/>
  <c r="F11" i="2"/>
  <c r="F13" i="2" s="1"/>
  <c r="I23" i="19"/>
  <c r="H32" i="19"/>
  <c r="J36" i="19"/>
  <c r="J17" i="19"/>
  <c r="I20" i="19"/>
  <c r="I45" i="20" s="1"/>
  <c r="J47" i="19"/>
  <c r="I51" i="19"/>
  <c r="I58" i="20" s="1"/>
  <c r="F30" i="16"/>
  <c r="G30" i="16" s="1"/>
  <c r="H30" i="16" s="1"/>
  <c r="I30" i="16" s="1"/>
  <c r="J30" i="16" s="1"/>
  <c r="I32" i="11"/>
  <c r="N7" i="17"/>
  <c r="H34" i="11"/>
  <c r="N3" i="17"/>
  <c r="T29" i="17"/>
  <c r="N5" i="17"/>
  <c r="N4" i="17"/>
  <c r="N10" i="17"/>
  <c r="N8" i="17"/>
  <c r="N6" i="17"/>
  <c r="N11" i="17"/>
  <c r="N9" i="17"/>
  <c r="F17" i="2"/>
  <c r="H13" i="11" s="1"/>
  <c r="F18" i="2"/>
  <c r="H14" i="11" s="1"/>
  <c r="F19" i="2"/>
  <c r="H24" i="11" s="1"/>
  <c r="D11" i="2"/>
  <c r="D13" i="2" s="1"/>
  <c r="I65" i="16"/>
  <c r="I70" i="16" s="1"/>
  <c r="J61" i="16"/>
  <c r="P40" i="5"/>
  <c r="P33" i="5"/>
  <c r="P53" i="5"/>
  <c r="P49" i="5"/>
  <c r="P19" i="5"/>
  <c r="P11" i="5"/>
  <c r="K19" i="9"/>
  <c r="L15" i="9"/>
  <c r="F30" i="13"/>
  <c r="G30" i="13" s="1"/>
  <c r="H30" i="13" s="1"/>
  <c r="I30" i="13" s="1"/>
  <c r="J30" i="13" s="1"/>
  <c r="K30" i="13" s="1"/>
  <c r="L30" i="13" s="1"/>
  <c r="M30" i="13" s="1"/>
  <c r="N30" i="13" s="1"/>
  <c r="O30" i="13" s="1"/>
  <c r="P30" i="13" s="1"/>
  <c r="Q30" i="13" s="1"/>
  <c r="R30" i="13" s="1"/>
  <c r="S30" i="13" s="1"/>
  <c r="J17" i="14"/>
  <c r="K17" i="14" s="1"/>
  <c r="L17" i="14" s="1"/>
  <c r="M17" i="14" s="1"/>
  <c r="N17" i="14" s="1"/>
  <c r="O17" i="14" s="1"/>
  <c r="P17" i="14" s="1"/>
  <c r="Q17" i="14" s="1"/>
  <c r="R17" i="14" s="1"/>
  <c r="S17" i="14" s="1"/>
  <c r="T20" i="14" s="1"/>
  <c r="E6" i="11"/>
  <c r="I6" i="11" s="1"/>
  <c r="D6" i="3"/>
  <c r="H40" i="5"/>
  <c r="H49" i="5"/>
  <c r="H19" i="5"/>
  <c r="H53" i="5"/>
  <c r="H33" i="5"/>
  <c r="E8" i="11"/>
  <c r="I8" i="11" s="1"/>
  <c r="D8" i="3"/>
  <c r="F29" i="14"/>
  <c r="G29" i="14" s="1"/>
  <c r="H29" i="14" s="1"/>
  <c r="I29" i="14" s="1"/>
  <c r="J29" i="14" s="1"/>
  <c r="K29" i="14" s="1"/>
  <c r="L29" i="14" s="1"/>
  <c r="M29" i="14" s="1"/>
  <c r="N29" i="14" s="1"/>
  <c r="P29" i="14" s="1"/>
  <c r="Q29" i="14" s="1"/>
  <c r="R29" i="14" s="1"/>
  <c r="S29" i="14" s="1"/>
  <c r="E7" i="11"/>
  <c r="I7" i="11" s="1"/>
  <c r="D7" i="3"/>
  <c r="E9" i="11"/>
  <c r="D9" i="3"/>
  <c r="H11" i="5"/>
  <c r="G63" i="13"/>
  <c r="G68" i="13" s="1"/>
  <c r="H51" i="14"/>
  <c r="H21" i="20" s="1"/>
  <c r="K43" i="13"/>
  <c r="M15" i="9"/>
  <c r="Z6" i="9"/>
  <c r="J15" i="9"/>
  <c r="G15" i="9"/>
  <c r="I15" i="9"/>
  <c r="H15" i="9"/>
  <c r="H19" i="9"/>
  <c r="Z3" i="9"/>
  <c r="G19" i="9"/>
  <c r="M12" i="9"/>
  <c r="N7" i="9" s="1"/>
  <c r="I19" i="9"/>
  <c r="J19" i="9"/>
  <c r="L19" i="9"/>
  <c r="M20" i="9"/>
  <c r="M21" i="9"/>
  <c r="M23" i="9"/>
  <c r="M17" i="9"/>
  <c r="M18" i="9"/>
  <c r="I26" i="6"/>
  <c r="K38" i="21" l="1"/>
  <c r="J39" i="21"/>
  <c r="J33" i="21"/>
  <c r="H33" i="19"/>
  <c r="H48" i="20"/>
  <c r="H49" i="20" s="1"/>
  <c r="J63" i="20"/>
  <c r="I64" i="20"/>
  <c r="K26" i="20"/>
  <c r="J27" i="20"/>
  <c r="I76" i="16"/>
  <c r="J75" i="16"/>
  <c r="J74" i="13"/>
  <c r="K73" i="13"/>
  <c r="K56" i="19"/>
  <c r="J57" i="19"/>
  <c r="T33" i="14"/>
  <c r="T42" i="14" s="1"/>
  <c r="T44" i="14" s="1"/>
  <c r="T53" i="14" s="1"/>
  <c r="T12" i="20"/>
  <c r="T16" i="20" s="1"/>
  <c r="T18" i="20" s="1"/>
  <c r="T23" i="20" s="1"/>
  <c r="J56" i="14"/>
  <c r="I57" i="14"/>
  <c r="K17" i="19"/>
  <c r="J20" i="19"/>
  <c r="J45" i="20" s="1"/>
  <c r="K47" i="19"/>
  <c r="J51" i="19"/>
  <c r="J58" i="20" s="1"/>
  <c r="K36" i="19"/>
  <c r="I32" i="19"/>
  <c r="J23" i="19"/>
  <c r="I44" i="11"/>
  <c r="I43" i="11"/>
  <c r="I9" i="11"/>
  <c r="I24" i="11"/>
  <c r="D17" i="2"/>
  <c r="E13" i="11" s="1"/>
  <c r="I13" i="11" s="1"/>
  <c r="D18" i="2"/>
  <c r="D19" i="2"/>
  <c r="E24" i="11" s="1"/>
  <c r="K30" i="16"/>
  <c r="K61" i="16"/>
  <c r="J65" i="16"/>
  <c r="J70" i="16" s="1"/>
  <c r="P54" i="5"/>
  <c r="N3" i="9"/>
  <c r="N4" i="9"/>
  <c r="N5" i="9"/>
  <c r="N10" i="9"/>
  <c r="N9" i="9"/>
  <c r="N11" i="9"/>
  <c r="N8" i="9"/>
  <c r="N6" i="9"/>
  <c r="H54" i="5"/>
  <c r="E11" i="11"/>
  <c r="D12" i="3"/>
  <c r="F28" i="14"/>
  <c r="G28" i="14" s="1"/>
  <c r="H28" i="14" s="1"/>
  <c r="I28" i="14" s="1"/>
  <c r="J28" i="14" s="1"/>
  <c r="K28" i="14" s="1"/>
  <c r="L28" i="14" s="1"/>
  <c r="M28" i="14" s="1"/>
  <c r="N28" i="14" s="1"/>
  <c r="P28" i="14" s="1"/>
  <c r="Q28" i="14" s="1"/>
  <c r="R28" i="14" s="1"/>
  <c r="S28" i="14" s="1"/>
  <c r="H11" i="11"/>
  <c r="H63" i="13"/>
  <c r="H68" i="13" s="1"/>
  <c r="I51" i="14"/>
  <c r="I21" i="20" s="1"/>
  <c r="L43" i="13"/>
  <c r="F37" i="16"/>
  <c r="G37" i="16" s="1"/>
  <c r="H37" i="16" s="1"/>
  <c r="I37" i="16" s="1"/>
  <c r="J37" i="16" s="1"/>
  <c r="K37" i="16" s="1"/>
  <c r="L37" i="16" s="1"/>
  <c r="M37" i="16" s="1"/>
  <c r="N37" i="16" s="1"/>
  <c r="O37" i="16" s="1"/>
  <c r="P37" i="16" s="1"/>
  <c r="Q37" i="16" s="1"/>
  <c r="R37" i="16" s="1"/>
  <c r="S37" i="16" s="1"/>
  <c r="E34" i="11"/>
  <c r="F32" i="16" s="1"/>
  <c r="G32" i="16" s="1"/>
  <c r="H32" i="16" s="1"/>
  <c r="I32" i="16" s="1"/>
  <c r="J32" i="16" s="1"/>
  <c r="K32" i="16" s="1"/>
  <c r="L32" i="16" s="1"/>
  <c r="M32" i="16" s="1"/>
  <c r="N32" i="16" s="1"/>
  <c r="O32" i="16" s="1"/>
  <c r="P32" i="16" s="1"/>
  <c r="Q32" i="16" s="1"/>
  <c r="R32" i="16" s="1"/>
  <c r="S32" i="16" s="1"/>
  <c r="M19" i="9"/>
  <c r="M22" i="9"/>
  <c r="K33" i="21" l="1"/>
  <c r="K39" i="21"/>
  <c r="L38" i="21"/>
  <c r="I33" i="19"/>
  <c r="I48" i="20"/>
  <c r="I49" i="20" s="1"/>
  <c r="J64" i="20"/>
  <c r="K63" i="20"/>
  <c r="L26" i="20"/>
  <c r="K27" i="20"/>
  <c r="K75" i="16"/>
  <c r="J76" i="16"/>
  <c r="L73" i="13"/>
  <c r="K74" i="13"/>
  <c r="L56" i="19"/>
  <c r="K57" i="19"/>
  <c r="K56" i="14"/>
  <c r="J57" i="14"/>
  <c r="L36" i="19"/>
  <c r="K51" i="19"/>
  <c r="K58" i="20" s="1"/>
  <c r="L47" i="19"/>
  <c r="J32" i="19"/>
  <c r="K23" i="19"/>
  <c r="K20" i="19"/>
  <c r="K45" i="20" s="1"/>
  <c r="L17" i="19"/>
  <c r="I11" i="11"/>
  <c r="I34" i="11"/>
  <c r="E14" i="11"/>
  <c r="H4" i="3"/>
  <c r="D20" i="2"/>
  <c r="D21" i="2" s="1"/>
  <c r="D17" i="16"/>
  <c r="D58" i="16" s="1"/>
  <c r="D72" i="16" s="1"/>
  <c r="D77" i="16" s="1"/>
  <c r="D78" i="16" s="1"/>
  <c r="H5" i="3"/>
  <c r="L61" i="16"/>
  <c r="K65" i="16"/>
  <c r="K70" i="16" s="1"/>
  <c r="L30" i="16"/>
  <c r="E15" i="11"/>
  <c r="F32" i="13"/>
  <c r="G32" i="13" s="1"/>
  <c r="H32" i="13" s="1"/>
  <c r="I32" i="13" s="1"/>
  <c r="J32" i="13" s="1"/>
  <c r="K32" i="13" s="1"/>
  <c r="L32" i="13" s="1"/>
  <c r="M32" i="13" s="1"/>
  <c r="N32" i="13" s="1"/>
  <c r="O32" i="13" s="1"/>
  <c r="P32" i="13" s="1"/>
  <c r="Q32" i="13" s="1"/>
  <c r="R32" i="13" s="1"/>
  <c r="S32" i="13" s="1"/>
  <c r="F19" i="14"/>
  <c r="G19" i="14" s="1"/>
  <c r="H19" i="14" s="1"/>
  <c r="I19" i="14" s="1"/>
  <c r="J19" i="14" s="1"/>
  <c r="K19" i="14" s="1"/>
  <c r="L19" i="14" s="1"/>
  <c r="M19" i="14" s="1"/>
  <c r="N19" i="14" s="1"/>
  <c r="O19" i="14" s="1"/>
  <c r="P19" i="14" s="1"/>
  <c r="Q19" i="14" s="1"/>
  <c r="R19" i="14" s="1"/>
  <c r="S19" i="14" s="1"/>
  <c r="F24" i="14"/>
  <c r="G24" i="14" s="1"/>
  <c r="H24" i="14" s="1"/>
  <c r="I24" i="14" s="1"/>
  <c r="J24" i="14" s="1"/>
  <c r="K24" i="14" s="1"/>
  <c r="L24" i="14" s="1"/>
  <c r="M24" i="14" s="1"/>
  <c r="N24" i="14" s="1"/>
  <c r="O24" i="14" s="1"/>
  <c r="P24" i="14" s="1"/>
  <c r="Q24" i="14" s="1"/>
  <c r="R24" i="14" s="1"/>
  <c r="S24" i="14" s="1"/>
  <c r="F37" i="13"/>
  <c r="G37" i="13" s="1"/>
  <c r="H37" i="13" s="1"/>
  <c r="I37" i="13" s="1"/>
  <c r="J37" i="13" s="1"/>
  <c r="K37" i="13" s="1"/>
  <c r="L37" i="13" s="1"/>
  <c r="M37" i="13" s="1"/>
  <c r="N37" i="13" s="1"/>
  <c r="O37" i="13" s="1"/>
  <c r="P37" i="13" s="1"/>
  <c r="Q37" i="13" s="1"/>
  <c r="R37" i="13" s="1"/>
  <c r="S37" i="13" s="1"/>
  <c r="I63" i="13"/>
  <c r="I68" i="13" s="1"/>
  <c r="J51" i="14"/>
  <c r="J21" i="20" s="1"/>
  <c r="M43" i="13"/>
  <c r="M38" i="21" l="1"/>
  <c r="L39" i="21"/>
  <c r="L33" i="21"/>
  <c r="J33" i="19"/>
  <c r="J48" i="20"/>
  <c r="J49" i="20" s="1"/>
  <c r="L63" i="20"/>
  <c r="K64" i="20"/>
  <c r="L27" i="20"/>
  <c r="M26" i="20"/>
  <c r="L75" i="16"/>
  <c r="K76" i="16"/>
  <c r="L74" i="13"/>
  <c r="M73" i="13"/>
  <c r="L57" i="19"/>
  <c r="M56" i="19"/>
  <c r="L56" i="14"/>
  <c r="K57" i="14"/>
  <c r="L20" i="19"/>
  <c r="L45" i="20" s="1"/>
  <c r="M17" i="19"/>
  <c r="M47" i="19"/>
  <c r="L51" i="19"/>
  <c r="L58" i="20" s="1"/>
  <c r="L23" i="19"/>
  <c r="K32" i="19"/>
  <c r="M36" i="19"/>
  <c r="H15" i="11"/>
  <c r="I15" i="11" s="1"/>
  <c r="I14" i="11"/>
  <c r="F38" i="16"/>
  <c r="G38" i="16" s="1"/>
  <c r="H38" i="16" s="1"/>
  <c r="I38" i="16" s="1"/>
  <c r="J38" i="16" s="1"/>
  <c r="K38" i="16" s="1"/>
  <c r="L38" i="16" s="1"/>
  <c r="M38" i="16" s="1"/>
  <c r="N38" i="16" s="1"/>
  <c r="O38" i="16" s="1"/>
  <c r="P38" i="16" s="1"/>
  <c r="Q38" i="16" s="1"/>
  <c r="R38" i="16" s="1"/>
  <c r="S38" i="16" s="1"/>
  <c r="I40" i="11"/>
  <c r="F40" i="16"/>
  <c r="G40" i="16" s="1"/>
  <c r="H40" i="16" s="1"/>
  <c r="I40" i="16" s="1"/>
  <c r="J40" i="16" s="1"/>
  <c r="K40" i="16" s="1"/>
  <c r="L40" i="16" s="1"/>
  <c r="M40" i="16" s="1"/>
  <c r="N40" i="16" s="1"/>
  <c r="O40" i="16" s="1"/>
  <c r="P40" i="16" s="1"/>
  <c r="Q40" i="16" s="1"/>
  <c r="R40" i="16" s="1"/>
  <c r="S40" i="16" s="1"/>
  <c r="I42" i="11"/>
  <c r="E17" i="11"/>
  <c r="D73" i="16"/>
  <c r="D17" i="13"/>
  <c r="D56" i="13" s="1"/>
  <c r="D70" i="13" s="1"/>
  <c r="D71" i="13" s="1"/>
  <c r="H9" i="3"/>
  <c r="D15" i="3" s="1"/>
  <c r="O10" i="3" s="1"/>
  <c r="F20" i="2"/>
  <c r="F21" i="2" s="1"/>
  <c r="C21" i="2"/>
  <c r="E23" i="11"/>
  <c r="M61" i="16"/>
  <c r="L65" i="16"/>
  <c r="L70" i="16" s="1"/>
  <c r="M30" i="16"/>
  <c r="F38" i="13"/>
  <c r="G38" i="13" s="1"/>
  <c r="H38" i="13" s="1"/>
  <c r="I38" i="13" s="1"/>
  <c r="J38" i="13" s="1"/>
  <c r="K38" i="13" s="1"/>
  <c r="L38" i="13" s="1"/>
  <c r="M38" i="13" s="1"/>
  <c r="N38" i="13" s="1"/>
  <c r="O38" i="13" s="1"/>
  <c r="P38" i="13" s="1"/>
  <c r="Q38" i="13" s="1"/>
  <c r="R38" i="13" s="1"/>
  <c r="S38" i="13" s="1"/>
  <c r="F25" i="14"/>
  <c r="G25" i="14" s="1"/>
  <c r="H25" i="14" s="1"/>
  <c r="I25" i="14" s="1"/>
  <c r="J25" i="14" s="1"/>
  <c r="K25" i="14" s="1"/>
  <c r="L25" i="14" s="1"/>
  <c r="M25" i="14" s="1"/>
  <c r="N25" i="14" s="1"/>
  <c r="O25" i="14" s="1"/>
  <c r="P25" i="14" s="1"/>
  <c r="Q25" i="14" s="1"/>
  <c r="R25" i="14" s="1"/>
  <c r="S25" i="14" s="1"/>
  <c r="F40" i="13"/>
  <c r="G40" i="13" s="1"/>
  <c r="H40" i="13" s="1"/>
  <c r="I40" i="13" s="1"/>
  <c r="J40" i="13" s="1"/>
  <c r="K40" i="13" s="1"/>
  <c r="L40" i="13" s="1"/>
  <c r="M40" i="13" s="1"/>
  <c r="N40" i="13" s="1"/>
  <c r="O40" i="13" s="1"/>
  <c r="P40" i="13" s="1"/>
  <c r="Q40" i="13" s="1"/>
  <c r="R40" i="13" s="1"/>
  <c r="S40" i="13" s="1"/>
  <c r="F27" i="14"/>
  <c r="G27" i="14" s="1"/>
  <c r="H27" i="14" s="1"/>
  <c r="I27" i="14" s="1"/>
  <c r="J27" i="14" s="1"/>
  <c r="K27" i="14" s="1"/>
  <c r="L27" i="14" s="1"/>
  <c r="M27" i="14" s="1"/>
  <c r="N27" i="14" s="1"/>
  <c r="O27" i="14" s="1"/>
  <c r="P27" i="14" s="1"/>
  <c r="Q27" i="14" s="1"/>
  <c r="R27" i="14" s="1"/>
  <c r="S27" i="14" s="1"/>
  <c r="O5" i="3"/>
  <c r="O11" i="3"/>
  <c r="H15" i="3"/>
  <c r="J63" i="13"/>
  <c r="K51" i="14"/>
  <c r="K21" i="20" s="1"/>
  <c r="N43" i="13"/>
  <c r="M33" i="21" l="1"/>
  <c r="N38" i="21"/>
  <c r="M39" i="21"/>
  <c r="K33" i="19"/>
  <c r="K48" i="20"/>
  <c r="K49" i="20" s="1"/>
  <c r="M63" i="20"/>
  <c r="L64" i="20"/>
  <c r="M27" i="20"/>
  <c r="N26" i="20"/>
  <c r="L76" i="16"/>
  <c r="M75" i="16"/>
  <c r="N73" i="13"/>
  <c r="M74" i="13"/>
  <c r="N56" i="19"/>
  <c r="M57" i="19"/>
  <c r="M56" i="14"/>
  <c r="L57" i="14"/>
  <c r="H17" i="11"/>
  <c r="N36" i="19"/>
  <c r="N47" i="19"/>
  <c r="M51" i="19"/>
  <c r="M58" i="20" s="1"/>
  <c r="N17" i="19"/>
  <c r="M20" i="19"/>
  <c r="M45" i="20" s="1"/>
  <c r="L32" i="19"/>
  <c r="M23" i="19"/>
  <c r="H38" i="11"/>
  <c r="H53" i="11"/>
  <c r="F51" i="16" s="1"/>
  <c r="G51" i="16" s="1"/>
  <c r="H51" i="16" s="1"/>
  <c r="I51" i="16" s="1"/>
  <c r="J51" i="16" s="1"/>
  <c r="K51" i="16" s="1"/>
  <c r="L51" i="16" s="1"/>
  <c r="M51" i="16" s="1"/>
  <c r="N51" i="16" s="1"/>
  <c r="O51" i="16" s="1"/>
  <c r="P51" i="16" s="1"/>
  <c r="Q51" i="16" s="1"/>
  <c r="R51" i="16" s="1"/>
  <c r="S51" i="16" s="1"/>
  <c r="E38" i="11"/>
  <c r="F36" i="13" s="1"/>
  <c r="E53" i="11"/>
  <c r="I17" i="11"/>
  <c r="H22" i="11"/>
  <c r="H23" i="11"/>
  <c r="E47" i="11"/>
  <c r="E33" i="11"/>
  <c r="D75" i="13"/>
  <c r="D76" i="13" s="1"/>
  <c r="E22" i="11"/>
  <c r="E26" i="13"/>
  <c r="T65" i="13" s="1"/>
  <c r="T68" i="13" s="1"/>
  <c r="M65" i="16"/>
  <c r="M70" i="16" s="1"/>
  <c r="N61" i="16"/>
  <c r="N30" i="16"/>
  <c r="G15" i="3"/>
  <c r="G16" i="3"/>
  <c r="P5" i="3"/>
  <c r="J68" i="13"/>
  <c r="K63" i="13"/>
  <c r="L51" i="14"/>
  <c r="L21" i="20" s="1"/>
  <c r="O43" i="13"/>
  <c r="O38" i="21" l="1"/>
  <c r="N39" i="21"/>
  <c r="N33" i="21"/>
  <c r="L33" i="19"/>
  <c r="L48" i="20"/>
  <c r="L49" i="20" s="1"/>
  <c r="N63" i="20"/>
  <c r="M64" i="20"/>
  <c r="O26" i="20"/>
  <c r="N27" i="20"/>
  <c r="M76" i="16"/>
  <c r="N75" i="16"/>
  <c r="O73" i="13"/>
  <c r="N74" i="13"/>
  <c r="O56" i="19"/>
  <c r="N57" i="19"/>
  <c r="N56" i="14"/>
  <c r="M57" i="14"/>
  <c r="I23" i="11"/>
  <c r="M32" i="19"/>
  <c r="M48" i="20" s="1"/>
  <c r="M49" i="20" s="1"/>
  <c r="N23" i="19"/>
  <c r="O17" i="19"/>
  <c r="N20" i="19"/>
  <c r="N45" i="20" s="1"/>
  <c r="O47" i="19"/>
  <c r="N51" i="19"/>
  <c r="N58" i="20" s="1"/>
  <c r="O36" i="19"/>
  <c r="I53" i="11"/>
  <c r="E20" i="14"/>
  <c r="I38" i="11"/>
  <c r="H33" i="11"/>
  <c r="E33" i="16" s="1"/>
  <c r="H47" i="11"/>
  <c r="I47" i="11" s="1"/>
  <c r="H26" i="11"/>
  <c r="I22" i="11"/>
  <c r="E35" i="11"/>
  <c r="E45" i="13"/>
  <c r="E33" i="13"/>
  <c r="E26" i="11"/>
  <c r="E26" i="16"/>
  <c r="T67" i="16" s="1"/>
  <c r="T70" i="16" s="1"/>
  <c r="T72" i="16" s="1"/>
  <c r="E45" i="16"/>
  <c r="F36" i="16"/>
  <c r="O61" i="16"/>
  <c r="N65" i="16"/>
  <c r="N70" i="16" s="1"/>
  <c r="O30" i="16"/>
  <c r="G19" i="3"/>
  <c r="C18" i="3" s="1"/>
  <c r="G36" i="13"/>
  <c r="F45" i="13"/>
  <c r="F17" i="21" s="1"/>
  <c r="F19" i="21" s="1"/>
  <c r="K68" i="13"/>
  <c r="L63" i="13"/>
  <c r="M51" i="14"/>
  <c r="M21" i="20" s="1"/>
  <c r="P43" i="13"/>
  <c r="O39" i="21" l="1"/>
  <c r="P38" i="21"/>
  <c r="O33" i="21"/>
  <c r="M33" i="19"/>
  <c r="N64" i="20"/>
  <c r="O63" i="20"/>
  <c r="P26" i="20"/>
  <c r="O27" i="20"/>
  <c r="O75" i="16"/>
  <c r="N76" i="16"/>
  <c r="P73" i="13"/>
  <c r="O74" i="13"/>
  <c r="P56" i="19"/>
  <c r="O57" i="19"/>
  <c r="O56" i="14"/>
  <c r="N57" i="14"/>
  <c r="F31" i="16"/>
  <c r="F33" i="16" s="1"/>
  <c r="E47" i="16"/>
  <c r="O20" i="19"/>
  <c r="O45" i="20" s="1"/>
  <c r="P17" i="19"/>
  <c r="O51" i="19"/>
  <c r="O58" i="20" s="1"/>
  <c r="P47" i="19"/>
  <c r="P36" i="19"/>
  <c r="N32" i="19"/>
  <c r="N48" i="20" s="1"/>
  <c r="N49" i="20" s="1"/>
  <c r="O23" i="19"/>
  <c r="F18" i="14"/>
  <c r="F20" i="14" s="1"/>
  <c r="F10" i="20" s="1"/>
  <c r="E47" i="13"/>
  <c r="F23" i="14"/>
  <c r="E32" i="14"/>
  <c r="F31" i="13"/>
  <c r="G31" i="13" s="1"/>
  <c r="E49" i="11"/>
  <c r="E52" i="11"/>
  <c r="E28" i="11"/>
  <c r="D26" i="11"/>
  <c r="I33" i="11"/>
  <c r="H35" i="11"/>
  <c r="G26" i="11"/>
  <c r="I26" i="11"/>
  <c r="H28" i="11"/>
  <c r="F45" i="16"/>
  <c r="G36" i="16"/>
  <c r="P30" i="16"/>
  <c r="P61" i="16"/>
  <c r="O65" i="16"/>
  <c r="O70" i="16" s="1"/>
  <c r="H36" i="13"/>
  <c r="G45" i="13"/>
  <c r="G17" i="21" s="1"/>
  <c r="G19" i="21" s="1"/>
  <c r="F33" i="13"/>
  <c r="F47" i="13" s="1"/>
  <c r="L68" i="13"/>
  <c r="M63" i="13"/>
  <c r="N51" i="14"/>
  <c r="N21" i="20" s="1"/>
  <c r="Q43" i="13"/>
  <c r="P33" i="21" l="1"/>
  <c r="Q38" i="21"/>
  <c r="P39" i="21"/>
  <c r="G31" i="16"/>
  <c r="H31" i="16" s="1"/>
  <c r="F47" i="16"/>
  <c r="G18" i="14"/>
  <c r="N33" i="19"/>
  <c r="O64" i="20"/>
  <c r="P63" i="20"/>
  <c r="P27" i="20"/>
  <c r="Q26" i="20"/>
  <c r="P75" i="16"/>
  <c r="O76" i="16"/>
  <c r="P74" i="13"/>
  <c r="Q73" i="13"/>
  <c r="P57" i="19"/>
  <c r="Q56" i="19"/>
  <c r="E33" i="14"/>
  <c r="E12" i="20"/>
  <c r="P56" i="14"/>
  <c r="O57" i="14"/>
  <c r="H52" i="11"/>
  <c r="F50" i="16" s="1"/>
  <c r="G50" i="16" s="1"/>
  <c r="H50" i="16" s="1"/>
  <c r="I50" i="16" s="1"/>
  <c r="J50" i="16" s="1"/>
  <c r="K50" i="16" s="1"/>
  <c r="L50" i="16" s="1"/>
  <c r="M50" i="16" s="1"/>
  <c r="N50" i="16" s="1"/>
  <c r="O50" i="16" s="1"/>
  <c r="P50" i="16" s="1"/>
  <c r="Q50" i="16" s="1"/>
  <c r="R50" i="16" s="1"/>
  <c r="S50" i="16" s="1"/>
  <c r="H55" i="11"/>
  <c r="F53" i="16" s="1"/>
  <c r="G53" i="16" s="1"/>
  <c r="H53" i="16" s="1"/>
  <c r="I53" i="16" s="1"/>
  <c r="J53" i="16" s="1"/>
  <c r="K53" i="16" s="1"/>
  <c r="L53" i="16" s="1"/>
  <c r="M53" i="16" s="1"/>
  <c r="N53" i="16" s="1"/>
  <c r="O53" i="16" s="1"/>
  <c r="P53" i="16" s="1"/>
  <c r="Q53" i="16" s="1"/>
  <c r="R53" i="16" s="1"/>
  <c r="S53" i="16" s="1"/>
  <c r="Q36" i="19"/>
  <c r="O32" i="19"/>
  <c r="P23" i="19"/>
  <c r="Q47" i="19"/>
  <c r="P51" i="19"/>
  <c r="P58" i="20" s="1"/>
  <c r="P20" i="19"/>
  <c r="P45" i="20" s="1"/>
  <c r="Q17" i="19"/>
  <c r="G33" i="16"/>
  <c r="G23" i="14"/>
  <c r="F32" i="14"/>
  <c r="F11" i="20" s="1"/>
  <c r="E56" i="11"/>
  <c r="I28" i="11"/>
  <c r="F51" i="13"/>
  <c r="G51" i="13" s="1"/>
  <c r="H51" i="13" s="1"/>
  <c r="I51" i="13" s="1"/>
  <c r="J51" i="13" s="1"/>
  <c r="K51" i="13" s="1"/>
  <c r="L51" i="13" s="1"/>
  <c r="M51" i="13" s="1"/>
  <c r="N51" i="13" s="1"/>
  <c r="O51" i="13" s="1"/>
  <c r="P51" i="13" s="1"/>
  <c r="Q51" i="13" s="1"/>
  <c r="R51" i="13" s="1"/>
  <c r="S51" i="13" s="1"/>
  <c r="F39" i="14"/>
  <c r="G39" i="14" s="1"/>
  <c r="H39" i="14" s="1"/>
  <c r="I39" i="14" s="1"/>
  <c r="J39" i="14" s="1"/>
  <c r="K39" i="14" s="1"/>
  <c r="L39" i="14" s="1"/>
  <c r="M39" i="14" s="1"/>
  <c r="N39" i="14" s="1"/>
  <c r="O39" i="14" s="1"/>
  <c r="P39" i="14" s="1"/>
  <c r="Q39" i="14" s="1"/>
  <c r="R39" i="14" s="1"/>
  <c r="S39" i="14" s="1"/>
  <c r="I35" i="11"/>
  <c r="H49" i="11"/>
  <c r="F50" i="13"/>
  <c r="G45" i="16"/>
  <c r="H36" i="16"/>
  <c r="I31" i="16"/>
  <c r="H33" i="16"/>
  <c r="Q61" i="16"/>
  <c r="P65" i="16"/>
  <c r="P70" i="16" s="1"/>
  <c r="Q30" i="16"/>
  <c r="H31" i="13"/>
  <c r="G33" i="13"/>
  <c r="G47" i="13" s="1"/>
  <c r="H18" i="14"/>
  <c r="G20" i="14"/>
  <c r="G10" i="20" s="1"/>
  <c r="I36" i="13"/>
  <c r="H45" i="13"/>
  <c r="H17" i="21" s="1"/>
  <c r="H19" i="21" s="1"/>
  <c r="M68" i="13"/>
  <c r="N63" i="13"/>
  <c r="O51" i="14"/>
  <c r="O21" i="20" s="1"/>
  <c r="R43" i="13"/>
  <c r="E40" i="19" l="1"/>
  <c r="E54" i="16"/>
  <c r="F54" i="16" s="1"/>
  <c r="R38" i="21"/>
  <c r="Q39" i="21"/>
  <c r="Q33" i="21"/>
  <c r="G47" i="16"/>
  <c r="O33" i="19"/>
  <c r="O48" i="20"/>
  <c r="O49" i="20" s="1"/>
  <c r="P64" i="20"/>
  <c r="Q63" i="20"/>
  <c r="R26" i="20"/>
  <c r="Q27" i="20"/>
  <c r="P76" i="16"/>
  <c r="Q75" i="16"/>
  <c r="R73" i="13"/>
  <c r="Q74" i="13"/>
  <c r="R56" i="19"/>
  <c r="Q57" i="19"/>
  <c r="F33" i="14"/>
  <c r="F12" i="20"/>
  <c r="Q56" i="14"/>
  <c r="P57" i="14"/>
  <c r="R47" i="19"/>
  <c r="Q51" i="19"/>
  <c r="Q58" i="20" s="1"/>
  <c r="R17" i="19"/>
  <c r="Q20" i="19"/>
  <c r="Q45" i="20" s="1"/>
  <c r="P32" i="19"/>
  <c r="Q23" i="19"/>
  <c r="R36" i="19"/>
  <c r="E57" i="11"/>
  <c r="E59" i="11" s="1"/>
  <c r="E55" i="16"/>
  <c r="E56" i="16" s="1"/>
  <c r="E58" i="16" s="1"/>
  <c r="E72" i="16" s="1"/>
  <c r="E77" i="16" s="1"/>
  <c r="E78" i="16" s="1"/>
  <c r="E40" i="14"/>
  <c r="F40" i="14" s="1"/>
  <c r="G40" i="14" s="1"/>
  <c r="H40" i="14" s="1"/>
  <c r="I40" i="14" s="1"/>
  <c r="J40" i="14" s="1"/>
  <c r="K40" i="14" s="1"/>
  <c r="L40" i="14" s="1"/>
  <c r="M40" i="14" s="1"/>
  <c r="N40" i="14" s="1"/>
  <c r="O40" i="14" s="1"/>
  <c r="P40" i="14" s="1"/>
  <c r="Q40" i="14" s="1"/>
  <c r="R40" i="14" s="1"/>
  <c r="S40" i="14" s="1"/>
  <c r="E52" i="13"/>
  <c r="F52" i="13" s="1"/>
  <c r="G52" i="13" s="1"/>
  <c r="H52" i="13" s="1"/>
  <c r="I52" i="13" s="1"/>
  <c r="J52" i="13" s="1"/>
  <c r="K52" i="13" s="1"/>
  <c r="L52" i="13" s="1"/>
  <c r="M52" i="13" s="1"/>
  <c r="N52" i="13" s="1"/>
  <c r="O52" i="13" s="1"/>
  <c r="P52" i="13" s="1"/>
  <c r="Q52" i="13" s="1"/>
  <c r="R52" i="13" s="1"/>
  <c r="S52" i="13" s="1"/>
  <c r="G32" i="14"/>
  <c r="G11" i="20" s="1"/>
  <c r="H23" i="14"/>
  <c r="I49" i="11"/>
  <c r="H56" i="11"/>
  <c r="I55" i="11"/>
  <c r="F36" i="14"/>
  <c r="G36" i="14" s="1"/>
  <c r="H45" i="16"/>
  <c r="H47" i="16" s="1"/>
  <c r="I36" i="16"/>
  <c r="J31" i="16"/>
  <c r="I33" i="16"/>
  <c r="R30" i="16"/>
  <c r="S30" i="16" s="1"/>
  <c r="Q65" i="16"/>
  <c r="Q70" i="16" s="1"/>
  <c r="R61" i="16"/>
  <c r="J36" i="13"/>
  <c r="I45" i="13"/>
  <c r="I17" i="21" s="1"/>
  <c r="I19" i="21" s="1"/>
  <c r="F53" i="13"/>
  <c r="G50" i="13"/>
  <c r="I18" i="14"/>
  <c r="H20" i="14"/>
  <c r="H10" i="20" s="1"/>
  <c r="I31" i="13"/>
  <c r="H33" i="13"/>
  <c r="H47" i="13" s="1"/>
  <c r="N68" i="13"/>
  <c r="O63" i="13"/>
  <c r="O68" i="13" s="1"/>
  <c r="P51" i="14"/>
  <c r="P21" i="20" s="1"/>
  <c r="S43" i="13"/>
  <c r="F54" i="13" l="1"/>
  <c r="F56" i="13" s="1"/>
  <c r="F70" i="13" s="1"/>
  <c r="F75" i="13" s="1"/>
  <c r="F22" i="21"/>
  <c r="F23" i="21" s="1"/>
  <c r="F25" i="21" s="1"/>
  <c r="F35" i="21" s="1"/>
  <c r="F40" i="21" s="1"/>
  <c r="F40" i="19"/>
  <c r="E41" i="19"/>
  <c r="S38" i="21"/>
  <c r="R39" i="21"/>
  <c r="S33" i="21"/>
  <c r="R33" i="21"/>
  <c r="P33" i="19"/>
  <c r="P48" i="20"/>
  <c r="P49" i="20" s="1"/>
  <c r="Q64" i="20"/>
  <c r="R63" i="20"/>
  <c r="S26" i="20"/>
  <c r="R27" i="20"/>
  <c r="R75" i="16"/>
  <c r="Q76" i="16"/>
  <c r="R74" i="13"/>
  <c r="S73" i="13"/>
  <c r="S56" i="19"/>
  <c r="R57" i="19"/>
  <c r="G33" i="14"/>
  <c r="G12" i="20"/>
  <c r="R56" i="14"/>
  <c r="Q57" i="14"/>
  <c r="S36" i="19"/>
  <c r="Q32" i="19"/>
  <c r="R23" i="19"/>
  <c r="S17" i="19"/>
  <c r="S20" i="19" s="1"/>
  <c r="S45" i="20" s="1"/>
  <c r="R20" i="19"/>
  <c r="R45" i="20" s="1"/>
  <c r="S47" i="19"/>
  <c r="S51" i="19" s="1"/>
  <c r="S58" i="20" s="1"/>
  <c r="R51" i="19"/>
  <c r="R58" i="20" s="1"/>
  <c r="E53" i="13"/>
  <c r="E73" i="16"/>
  <c r="G54" i="16"/>
  <c r="F55" i="16"/>
  <c r="F56" i="16" s="1"/>
  <c r="F58" i="16" s="1"/>
  <c r="F72" i="16" s="1"/>
  <c r="H32" i="14"/>
  <c r="H11" i="20" s="1"/>
  <c r="I23" i="14"/>
  <c r="E41" i="14"/>
  <c r="E15" i="20" s="1"/>
  <c r="F41" i="14"/>
  <c r="F15" i="20" s="1"/>
  <c r="I52" i="11"/>
  <c r="H57" i="11"/>
  <c r="I45" i="16"/>
  <c r="I47" i="16" s="1"/>
  <c r="J36" i="16"/>
  <c r="K31" i="16"/>
  <c r="J33" i="16"/>
  <c r="S61" i="16"/>
  <c r="S65" i="16" s="1"/>
  <c r="S70" i="16" s="1"/>
  <c r="R65" i="16"/>
  <c r="R70" i="16" s="1"/>
  <c r="G41" i="14"/>
  <c r="G15" i="20" s="1"/>
  <c r="H36" i="14"/>
  <c r="G53" i="13"/>
  <c r="H50" i="13"/>
  <c r="J31" i="13"/>
  <c r="I33" i="13"/>
  <c r="I47" i="13" s="1"/>
  <c r="K36" i="13"/>
  <c r="J45" i="13"/>
  <c r="J17" i="21" s="1"/>
  <c r="J19" i="21" s="1"/>
  <c r="J18" i="14"/>
  <c r="I20" i="14"/>
  <c r="I10" i="20" s="1"/>
  <c r="P63" i="13"/>
  <c r="P68" i="13" s="1"/>
  <c r="Q51" i="14"/>
  <c r="Q21" i="20" s="1"/>
  <c r="T43" i="13"/>
  <c r="T45" i="13" s="1"/>
  <c r="G40" i="19" l="1"/>
  <c r="F41" i="19"/>
  <c r="G54" i="13"/>
  <c r="G56" i="13" s="1"/>
  <c r="G70" i="13" s="1"/>
  <c r="G75" i="13" s="1"/>
  <c r="G22" i="21"/>
  <c r="G23" i="21" s="1"/>
  <c r="G25" i="21" s="1"/>
  <c r="G35" i="21" s="1"/>
  <c r="G40" i="21" s="1"/>
  <c r="E54" i="13"/>
  <c r="E56" i="13" s="1"/>
  <c r="E70" i="13" s="1"/>
  <c r="E75" i="13" s="1"/>
  <c r="E76" i="13" s="1"/>
  <c r="F76" i="13" s="1"/>
  <c r="G76" i="13" s="1"/>
  <c r="E22" i="21"/>
  <c r="E23" i="21" s="1"/>
  <c r="E25" i="21" s="1"/>
  <c r="E35" i="21" s="1"/>
  <c r="E52" i="20"/>
  <c r="E53" i="20" s="1"/>
  <c r="E55" i="20" s="1"/>
  <c r="E60" i="20" s="1"/>
  <c r="E42" i="19"/>
  <c r="E44" i="19" s="1"/>
  <c r="E53" i="19" s="1"/>
  <c r="T47" i="13"/>
  <c r="T54" i="13" s="1"/>
  <c r="T56" i="13" s="1"/>
  <c r="T70" i="13" s="1"/>
  <c r="T17" i="21"/>
  <c r="T19" i="21" s="1"/>
  <c r="T23" i="21" s="1"/>
  <c r="T25" i="21" s="1"/>
  <c r="T35" i="21" s="1"/>
  <c r="S39" i="21"/>
  <c r="T38" i="21"/>
  <c r="E71" i="13"/>
  <c r="F71" i="13" s="1"/>
  <c r="G71" i="13" s="1"/>
  <c r="Q33" i="19"/>
  <c r="Q48" i="20"/>
  <c r="Q49" i="20" s="1"/>
  <c r="S63" i="20"/>
  <c r="R64" i="20"/>
  <c r="T26" i="20"/>
  <c r="S27" i="20"/>
  <c r="S75" i="16"/>
  <c r="R76" i="16"/>
  <c r="T73" i="13"/>
  <c r="T74" i="13" s="1"/>
  <c r="S74" i="13"/>
  <c r="T56" i="19"/>
  <c r="S57" i="19"/>
  <c r="E42" i="14"/>
  <c r="E44" i="14" s="1"/>
  <c r="E53" i="14" s="1"/>
  <c r="E54" i="14" s="1"/>
  <c r="E16" i="20"/>
  <c r="E18" i="20" s="1"/>
  <c r="E23" i="20" s="1"/>
  <c r="G42" i="14"/>
  <c r="G44" i="14" s="1"/>
  <c r="G53" i="14" s="1"/>
  <c r="G58" i="14" s="1"/>
  <c r="G16" i="20"/>
  <c r="G18" i="20" s="1"/>
  <c r="G23" i="20" s="1"/>
  <c r="G28" i="20" s="1"/>
  <c r="F42" i="14"/>
  <c r="F44" i="14" s="1"/>
  <c r="F53" i="14" s="1"/>
  <c r="F58" i="14" s="1"/>
  <c r="F16" i="20"/>
  <c r="F18" i="20" s="1"/>
  <c r="F23" i="20" s="1"/>
  <c r="F28" i="20" s="1"/>
  <c r="H33" i="14"/>
  <c r="H12" i="20"/>
  <c r="S56" i="14"/>
  <c r="T56" i="14" s="1"/>
  <c r="T57" i="14" s="1"/>
  <c r="R57" i="14"/>
  <c r="R32" i="19"/>
  <c r="S23" i="19"/>
  <c r="S32" i="19" s="1"/>
  <c r="F77" i="16"/>
  <c r="F78" i="16" s="1"/>
  <c r="F73" i="16"/>
  <c r="H54" i="16"/>
  <c r="G55" i="16"/>
  <c r="G56" i="16" s="1"/>
  <c r="G58" i="16" s="1"/>
  <c r="G72" i="16" s="1"/>
  <c r="G77" i="16" s="1"/>
  <c r="I32" i="14"/>
  <c r="I11" i="20" s="1"/>
  <c r="J23" i="14"/>
  <c r="H59" i="11"/>
  <c r="I59" i="11" s="1"/>
  <c r="I57" i="11"/>
  <c r="J45" i="16"/>
  <c r="J47" i="16" s="1"/>
  <c r="K36" i="16"/>
  <c r="L31" i="16"/>
  <c r="K33" i="16"/>
  <c r="I50" i="13"/>
  <c r="H53" i="13"/>
  <c r="L36" i="13"/>
  <c r="K45" i="13"/>
  <c r="K17" i="21" s="1"/>
  <c r="K19" i="21" s="1"/>
  <c r="H41" i="14"/>
  <c r="H15" i="20" s="1"/>
  <c r="I36" i="14"/>
  <c r="K18" i="14"/>
  <c r="J20" i="14"/>
  <c r="J10" i="20" s="1"/>
  <c r="K31" i="13"/>
  <c r="J33" i="13"/>
  <c r="J47" i="13" s="1"/>
  <c r="T75" i="13"/>
  <c r="Q63" i="13"/>
  <c r="Q68" i="13" s="1"/>
  <c r="R51" i="14"/>
  <c r="R21" i="20" s="1"/>
  <c r="S51" i="14"/>
  <c r="S21" i="20" s="1"/>
  <c r="H54" i="13" l="1"/>
  <c r="H56" i="13" s="1"/>
  <c r="H70" i="13" s="1"/>
  <c r="H75" i="13" s="1"/>
  <c r="H22" i="21"/>
  <c r="H23" i="21" s="1"/>
  <c r="H25" i="21" s="1"/>
  <c r="H35" i="21" s="1"/>
  <c r="H40" i="21" s="1"/>
  <c r="E40" i="21"/>
  <c r="E41" i="21" s="1"/>
  <c r="F41" i="21" s="1"/>
  <c r="G41" i="21" s="1"/>
  <c r="H41" i="21" s="1"/>
  <c r="E36" i="21"/>
  <c r="F36" i="21" s="1"/>
  <c r="G36" i="21" s="1"/>
  <c r="H36" i="21" s="1"/>
  <c r="F52" i="20"/>
  <c r="F53" i="20" s="1"/>
  <c r="F55" i="20" s="1"/>
  <c r="F60" i="20" s="1"/>
  <c r="F65" i="20" s="1"/>
  <c r="F42" i="19"/>
  <c r="F44" i="19" s="1"/>
  <c r="F53" i="19" s="1"/>
  <c r="F58" i="19" s="1"/>
  <c r="E61" i="20"/>
  <c r="E65" i="20"/>
  <c r="E66" i="20" s="1"/>
  <c r="E54" i="19"/>
  <c r="E58" i="19"/>
  <c r="E59" i="19" s="1"/>
  <c r="H40" i="19"/>
  <c r="G41" i="19"/>
  <c r="T39" i="21"/>
  <c r="T40" i="21"/>
  <c r="S33" i="19"/>
  <c r="S48" i="20"/>
  <c r="S49" i="20" s="1"/>
  <c r="R33" i="19"/>
  <c r="R48" i="20"/>
  <c r="R49" i="20" s="1"/>
  <c r="F54" i="14"/>
  <c r="G54" i="14" s="1"/>
  <c r="E58" i="14"/>
  <c r="E59" i="14" s="1"/>
  <c r="F59" i="14" s="1"/>
  <c r="G59" i="14" s="1"/>
  <c r="T63" i="20"/>
  <c r="S64" i="20"/>
  <c r="T27" i="20"/>
  <c r="T28" i="20"/>
  <c r="T75" i="16"/>
  <c r="S76" i="16"/>
  <c r="T57" i="19"/>
  <c r="T58" i="19"/>
  <c r="E28" i="20"/>
  <c r="E29" i="20" s="1"/>
  <c r="F29" i="20" s="1"/>
  <c r="G29" i="20" s="1"/>
  <c r="E24" i="20"/>
  <c r="F24" i="20" s="1"/>
  <c r="G24" i="20" s="1"/>
  <c r="I33" i="14"/>
  <c r="I12" i="20"/>
  <c r="H42" i="14"/>
  <c r="H44" i="14" s="1"/>
  <c r="H53" i="14" s="1"/>
  <c r="H58" i="14" s="1"/>
  <c r="H16" i="20"/>
  <c r="H18" i="20" s="1"/>
  <c r="H23" i="20" s="1"/>
  <c r="H28" i="20" s="1"/>
  <c r="S57" i="14"/>
  <c r="T58" i="14"/>
  <c r="G73" i="16"/>
  <c r="I54" i="16"/>
  <c r="H55" i="16"/>
  <c r="H56" i="16" s="1"/>
  <c r="H58" i="16" s="1"/>
  <c r="H72" i="16" s="1"/>
  <c r="H77" i="16" s="1"/>
  <c r="G78" i="16"/>
  <c r="K23" i="14"/>
  <c r="J32" i="14"/>
  <c r="J11" i="20" s="1"/>
  <c r="K45" i="16"/>
  <c r="K47" i="16" s="1"/>
  <c r="L36" i="16"/>
  <c r="M31" i="16"/>
  <c r="L33" i="16"/>
  <c r="H76" i="13"/>
  <c r="H71" i="13"/>
  <c r="L31" i="13"/>
  <c r="K33" i="13"/>
  <c r="K47" i="13" s="1"/>
  <c r="M36" i="13"/>
  <c r="L45" i="13"/>
  <c r="L17" i="21" s="1"/>
  <c r="L19" i="21" s="1"/>
  <c r="I41" i="14"/>
  <c r="I15" i="20" s="1"/>
  <c r="J36" i="14"/>
  <c r="L18" i="14"/>
  <c r="K20" i="14"/>
  <c r="K10" i="20" s="1"/>
  <c r="J50" i="13"/>
  <c r="I53" i="13"/>
  <c r="S63" i="13"/>
  <c r="R63" i="13"/>
  <c r="R68" i="13" s="1"/>
  <c r="G52" i="20" l="1"/>
  <c r="G53" i="20" s="1"/>
  <c r="G55" i="20" s="1"/>
  <c r="G60" i="20" s="1"/>
  <c r="G65" i="20" s="1"/>
  <c r="G66" i="20" s="1"/>
  <c r="G42" i="19"/>
  <c r="G44" i="19" s="1"/>
  <c r="G53" i="19" s="1"/>
  <c r="G58" i="19" s="1"/>
  <c r="I40" i="19"/>
  <c r="H41" i="19"/>
  <c r="F66" i="20"/>
  <c r="F54" i="19"/>
  <c r="I36" i="21"/>
  <c r="I41" i="21"/>
  <c r="I54" i="13"/>
  <c r="I56" i="13" s="1"/>
  <c r="I70" i="13" s="1"/>
  <c r="I75" i="13" s="1"/>
  <c r="I22" i="21"/>
  <c r="I23" i="21" s="1"/>
  <c r="I25" i="21" s="1"/>
  <c r="I35" i="21" s="1"/>
  <c r="I40" i="21" s="1"/>
  <c r="F59" i="19"/>
  <c r="F61" i="20"/>
  <c r="T65" i="20"/>
  <c r="T64" i="20"/>
  <c r="T76" i="16"/>
  <c r="T77" i="16"/>
  <c r="H59" i="14"/>
  <c r="H29" i="20"/>
  <c r="I42" i="14"/>
  <c r="I44" i="14" s="1"/>
  <c r="I53" i="14" s="1"/>
  <c r="I58" i="14" s="1"/>
  <c r="I16" i="20"/>
  <c r="I18" i="20" s="1"/>
  <c r="I23" i="20" s="1"/>
  <c r="I28" i="20" s="1"/>
  <c r="J33" i="14"/>
  <c r="J12" i="20"/>
  <c r="H54" i="14"/>
  <c r="H24" i="20"/>
  <c r="H78" i="16"/>
  <c r="J54" i="16"/>
  <c r="I55" i="16"/>
  <c r="I56" i="16" s="1"/>
  <c r="I58" i="16" s="1"/>
  <c r="I72" i="16" s="1"/>
  <c r="I77" i="16" s="1"/>
  <c r="H73" i="16"/>
  <c r="L23" i="14"/>
  <c r="K32" i="14"/>
  <c r="K11" i="20" s="1"/>
  <c r="M36" i="16"/>
  <c r="L45" i="16"/>
  <c r="L47" i="16" s="1"/>
  <c r="N31" i="16"/>
  <c r="M33" i="16"/>
  <c r="I76" i="13"/>
  <c r="I71" i="13"/>
  <c r="M31" i="13"/>
  <c r="L33" i="13"/>
  <c r="L47" i="13" s="1"/>
  <c r="M18" i="14"/>
  <c r="L20" i="14"/>
  <c r="L10" i="20" s="1"/>
  <c r="K50" i="13"/>
  <c r="J53" i="13"/>
  <c r="J41" i="14"/>
  <c r="J15" i="20" s="1"/>
  <c r="K36" i="14"/>
  <c r="N36" i="13"/>
  <c r="M45" i="13"/>
  <c r="M17" i="21" s="1"/>
  <c r="M19" i="21" s="1"/>
  <c r="S68" i="13"/>
  <c r="H52" i="20" l="1"/>
  <c r="H53" i="20" s="1"/>
  <c r="H55" i="20" s="1"/>
  <c r="H60" i="20" s="1"/>
  <c r="H65" i="20" s="1"/>
  <c r="H66" i="20" s="1"/>
  <c r="H42" i="19"/>
  <c r="H44" i="19" s="1"/>
  <c r="H53" i="19" s="1"/>
  <c r="H58" i="19" s="1"/>
  <c r="J36" i="21"/>
  <c r="G54" i="19"/>
  <c r="J40" i="19"/>
  <c r="I41" i="19"/>
  <c r="J54" i="13"/>
  <c r="J56" i="13" s="1"/>
  <c r="J70" i="13" s="1"/>
  <c r="J75" i="13" s="1"/>
  <c r="J22" i="21"/>
  <c r="J23" i="21" s="1"/>
  <c r="J25" i="21" s="1"/>
  <c r="J35" i="21" s="1"/>
  <c r="J40" i="21" s="1"/>
  <c r="J41" i="21" s="1"/>
  <c r="G61" i="20"/>
  <c r="H61" i="20" s="1"/>
  <c r="G59" i="19"/>
  <c r="I54" i="14"/>
  <c r="I29" i="20"/>
  <c r="I59" i="14"/>
  <c r="J42" i="14"/>
  <c r="J44" i="14" s="1"/>
  <c r="J53" i="14" s="1"/>
  <c r="J58" i="14" s="1"/>
  <c r="J16" i="20"/>
  <c r="J18" i="20" s="1"/>
  <c r="J23" i="20" s="1"/>
  <c r="J28" i="20" s="1"/>
  <c r="K33" i="14"/>
  <c r="K12" i="20"/>
  <c r="I24" i="20"/>
  <c r="I78" i="16"/>
  <c r="I73" i="16"/>
  <c r="K54" i="16"/>
  <c r="J55" i="16"/>
  <c r="J56" i="16" s="1"/>
  <c r="J58" i="16" s="1"/>
  <c r="J72" i="16" s="1"/>
  <c r="J77" i="16" s="1"/>
  <c r="M23" i="14"/>
  <c r="L32" i="14"/>
  <c r="M45" i="16"/>
  <c r="M47" i="16" s="1"/>
  <c r="N36" i="16"/>
  <c r="J76" i="13"/>
  <c r="O31" i="16"/>
  <c r="N33" i="16"/>
  <c r="N18" i="14"/>
  <c r="M20" i="14"/>
  <c r="M10" i="20" s="1"/>
  <c r="N31" i="13"/>
  <c r="M33" i="13"/>
  <c r="M47" i="13" s="1"/>
  <c r="J71" i="13"/>
  <c r="L36" i="14"/>
  <c r="K41" i="14"/>
  <c r="K15" i="20" s="1"/>
  <c r="O36" i="13"/>
  <c r="N45" i="13"/>
  <c r="N17" i="21" s="1"/>
  <c r="N19" i="21" s="1"/>
  <c r="K53" i="13"/>
  <c r="L50" i="13"/>
  <c r="K54" i="13" l="1"/>
  <c r="K56" i="13" s="1"/>
  <c r="K70" i="13" s="1"/>
  <c r="K75" i="13" s="1"/>
  <c r="K22" i="21"/>
  <c r="K23" i="21" s="1"/>
  <c r="K25" i="21" s="1"/>
  <c r="K35" i="21" s="1"/>
  <c r="K40" i="21" s="1"/>
  <c r="K41" i="21" s="1"/>
  <c r="I52" i="20"/>
  <c r="I53" i="20" s="1"/>
  <c r="I55" i="20" s="1"/>
  <c r="I60" i="20" s="1"/>
  <c r="I65" i="20" s="1"/>
  <c r="I66" i="20" s="1"/>
  <c r="I42" i="19"/>
  <c r="I44" i="19" s="1"/>
  <c r="I53" i="19" s="1"/>
  <c r="I58" i="19" s="1"/>
  <c r="K40" i="19"/>
  <c r="J41" i="19"/>
  <c r="H59" i="19"/>
  <c r="H54" i="19"/>
  <c r="I54" i="19" s="1"/>
  <c r="L11" i="20"/>
  <c r="L12" i="20" s="1"/>
  <c r="J59" i="14"/>
  <c r="J29" i="20"/>
  <c r="L33" i="14"/>
  <c r="J54" i="14"/>
  <c r="J24" i="20"/>
  <c r="K42" i="14"/>
  <c r="K44" i="14" s="1"/>
  <c r="K53" i="14" s="1"/>
  <c r="K58" i="14" s="1"/>
  <c r="K16" i="20"/>
  <c r="K18" i="20" s="1"/>
  <c r="K23" i="20" s="1"/>
  <c r="K28" i="20" s="1"/>
  <c r="J78" i="16"/>
  <c r="L54" i="16"/>
  <c r="K55" i="16"/>
  <c r="K56" i="16" s="1"/>
  <c r="K58" i="16" s="1"/>
  <c r="K72" i="16" s="1"/>
  <c r="K77" i="16" s="1"/>
  <c r="J73" i="16"/>
  <c r="M32" i="14"/>
  <c r="M11" i="20" s="1"/>
  <c r="N23" i="14"/>
  <c r="O36" i="16"/>
  <c r="N45" i="16"/>
  <c r="N47" i="16" s="1"/>
  <c r="K76" i="13"/>
  <c r="P31" i="16"/>
  <c r="O33" i="16"/>
  <c r="O18" i="14"/>
  <c r="N20" i="14"/>
  <c r="N10" i="20" s="1"/>
  <c r="L53" i="13"/>
  <c r="M50" i="13"/>
  <c r="L41" i="14"/>
  <c r="L15" i="20" s="1"/>
  <c r="M36" i="14"/>
  <c r="P36" i="13"/>
  <c r="O45" i="13"/>
  <c r="O17" i="21" s="1"/>
  <c r="O19" i="21" s="1"/>
  <c r="K71" i="13"/>
  <c r="O31" i="13"/>
  <c r="N33" i="13"/>
  <c r="N47" i="13" s="1"/>
  <c r="L54" i="13" l="1"/>
  <c r="L56" i="13" s="1"/>
  <c r="L70" i="13" s="1"/>
  <c r="L75" i="13" s="1"/>
  <c r="L22" i="21"/>
  <c r="L23" i="21" s="1"/>
  <c r="L25" i="21" s="1"/>
  <c r="L35" i="21" s="1"/>
  <c r="L40" i="21" s="1"/>
  <c r="L41" i="21" s="1"/>
  <c r="J54" i="19"/>
  <c r="I61" i="20"/>
  <c r="L40" i="19"/>
  <c r="K41" i="19"/>
  <c r="J52" i="20"/>
  <c r="J53" i="20" s="1"/>
  <c r="J55" i="20" s="1"/>
  <c r="J60" i="20" s="1"/>
  <c r="J65" i="20" s="1"/>
  <c r="J66" i="20" s="1"/>
  <c r="J42" i="19"/>
  <c r="J44" i="19" s="1"/>
  <c r="J53" i="19" s="1"/>
  <c r="J58" i="19" s="1"/>
  <c r="K36" i="21"/>
  <c r="I59" i="19"/>
  <c r="K59" i="14"/>
  <c r="K29" i="20"/>
  <c r="L42" i="14"/>
  <c r="L44" i="14" s="1"/>
  <c r="L53" i="14" s="1"/>
  <c r="L58" i="14" s="1"/>
  <c r="L16" i="20"/>
  <c r="L18" i="20" s="1"/>
  <c r="L23" i="20" s="1"/>
  <c r="L28" i="20" s="1"/>
  <c r="K54" i="14"/>
  <c r="K24" i="20"/>
  <c r="M33" i="14"/>
  <c r="M12" i="20"/>
  <c r="K78" i="16"/>
  <c r="K73" i="16"/>
  <c r="M54" i="16"/>
  <c r="L55" i="16"/>
  <c r="L56" i="16" s="1"/>
  <c r="L58" i="16" s="1"/>
  <c r="L72" i="16" s="1"/>
  <c r="L77" i="16" s="1"/>
  <c r="O23" i="14"/>
  <c r="N32" i="14"/>
  <c r="N11" i="20" s="1"/>
  <c r="P36" i="16"/>
  <c r="O45" i="16"/>
  <c r="O47" i="16" s="1"/>
  <c r="L76" i="13"/>
  <c r="Q31" i="16"/>
  <c r="P33" i="16"/>
  <c r="L71" i="13"/>
  <c r="M53" i="13"/>
  <c r="N50" i="13"/>
  <c r="P31" i="13"/>
  <c r="O33" i="13"/>
  <c r="O47" i="13" s="1"/>
  <c r="P18" i="14"/>
  <c r="O20" i="14"/>
  <c r="O10" i="20" s="1"/>
  <c r="Q36" i="13"/>
  <c r="P45" i="13"/>
  <c r="P17" i="21" s="1"/>
  <c r="P19" i="21" s="1"/>
  <c r="M41" i="14"/>
  <c r="M15" i="20" s="1"/>
  <c r="N36" i="14"/>
  <c r="M54" i="13" l="1"/>
  <c r="M56" i="13" s="1"/>
  <c r="M70" i="13" s="1"/>
  <c r="M75" i="13" s="1"/>
  <c r="M22" i="21"/>
  <c r="M23" i="21" s="1"/>
  <c r="M25" i="21" s="1"/>
  <c r="M35" i="21" s="1"/>
  <c r="M40" i="21" s="1"/>
  <c r="M41" i="21" s="1"/>
  <c r="M40" i="19"/>
  <c r="L41" i="19"/>
  <c r="K54" i="19"/>
  <c r="L36" i="21"/>
  <c r="K52" i="20"/>
  <c r="K53" i="20" s="1"/>
  <c r="K55" i="20" s="1"/>
  <c r="K60" i="20" s="1"/>
  <c r="K65" i="20" s="1"/>
  <c r="K66" i="20" s="1"/>
  <c r="K42" i="19"/>
  <c r="K44" i="19" s="1"/>
  <c r="K53" i="19" s="1"/>
  <c r="K58" i="19" s="1"/>
  <c r="J59" i="19"/>
  <c r="J61" i="20"/>
  <c r="L59" i="14"/>
  <c r="L54" i="14"/>
  <c r="L29" i="20"/>
  <c r="M42" i="14"/>
  <c r="M44" i="14" s="1"/>
  <c r="M53" i="14" s="1"/>
  <c r="M58" i="14" s="1"/>
  <c r="M16" i="20"/>
  <c r="M18" i="20" s="1"/>
  <c r="M23" i="20" s="1"/>
  <c r="M28" i="20" s="1"/>
  <c r="N33" i="14"/>
  <c r="N12" i="20"/>
  <c r="L24" i="20"/>
  <c r="L78" i="16"/>
  <c r="N54" i="16"/>
  <c r="M55" i="16"/>
  <c r="M56" i="16" s="1"/>
  <c r="M58" i="16" s="1"/>
  <c r="M72" i="16" s="1"/>
  <c r="M77" i="16" s="1"/>
  <c r="L73" i="16"/>
  <c r="O32" i="14"/>
  <c r="O11" i="20" s="1"/>
  <c r="P23" i="14"/>
  <c r="P45" i="16"/>
  <c r="P47" i="16" s="1"/>
  <c r="Q36" i="16"/>
  <c r="M76" i="13"/>
  <c r="R31" i="16"/>
  <c r="Q33" i="16"/>
  <c r="M71" i="13"/>
  <c r="O36" i="14"/>
  <c r="N41" i="14"/>
  <c r="N15" i="20" s="1"/>
  <c r="Q31" i="13"/>
  <c r="P33" i="13"/>
  <c r="P47" i="13" s="1"/>
  <c r="Q18" i="14"/>
  <c r="P20" i="14"/>
  <c r="P10" i="20" s="1"/>
  <c r="N53" i="13"/>
  <c r="O50" i="13"/>
  <c r="R36" i="13"/>
  <c r="Q45" i="13"/>
  <c r="Q17" i="21" s="1"/>
  <c r="Q19" i="21" s="1"/>
  <c r="K61" i="20" l="1"/>
  <c r="L61" i="20" s="1"/>
  <c r="N40" i="19"/>
  <c r="M41" i="19"/>
  <c r="M36" i="21"/>
  <c r="N36" i="21" s="1"/>
  <c r="N54" i="13"/>
  <c r="N56" i="13" s="1"/>
  <c r="N70" i="13" s="1"/>
  <c r="N75" i="13" s="1"/>
  <c r="N76" i="13" s="1"/>
  <c r="N22" i="21"/>
  <c r="N23" i="21" s="1"/>
  <c r="N25" i="21" s="1"/>
  <c r="N35" i="21" s="1"/>
  <c r="N40" i="21" s="1"/>
  <c r="N41" i="21" s="1"/>
  <c r="K59" i="19"/>
  <c r="L52" i="20"/>
  <c r="L53" i="20" s="1"/>
  <c r="L55" i="20" s="1"/>
  <c r="L60" i="20" s="1"/>
  <c r="L65" i="20" s="1"/>
  <c r="L66" i="20" s="1"/>
  <c r="L42" i="19"/>
  <c r="L44" i="19" s="1"/>
  <c r="L53" i="19" s="1"/>
  <c r="L58" i="19" s="1"/>
  <c r="M78" i="16"/>
  <c r="M59" i="14"/>
  <c r="M29" i="20"/>
  <c r="M24" i="20"/>
  <c r="M54" i="14"/>
  <c r="N42" i="14"/>
  <c r="N44" i="14" s="1"/>
  <c r="N53" i="14" s="1"/>
  <c r="N58" i="14" s="1"/>
  <c r="N59" i="14" s="1"/>
  <c r="N16" i="20"/>
  <c r="N18" i="20" s="1"/>
  <c r="N23" i="20" s="1"/>
  <c r="N28" i="20" s="1"/>
  <c r="O33" i="14"/>
  <c r="O12" i="20"/>
  <c r="M73" i="16"/>
  <c r="O54" i="16"/>
  <c r="N55" i="16"/>
  <c r="N56" i="16" s="1"/>
  <c r="N58" i="16" s="1"/>
  <c r="N72" i="16" s="1"/>
  <c r="N77" i="16" s="1"/>
  <c r="Q23" i="14"/>
  <c r="P32" i="14"/>
  <c r="P33" i="14" s="1"/>
  <c r="Q45" i="16"/>
  <c r="Q47" i="16" s="1"/>
  <c r="R36" i="16"/>
  <c r="S31" i="16"/>
  <c r="S33" i="16" s="1"/>
  <c r="R33" i="16"/>
  <c r="P36" i="14"/>
  <c r="O41" i="14"/>
  <c r="O15" i="20" s="1"/>
  <c r="O53" i="13"/>
  <c r="P50" i="13"/>
  <c r="S36" i="13"/>
  <c r="S45" i="13" s="1"/>
  <c r="S17" i="21" s="1"/>
  <c r="S19" i="21" s="1"/>
  <c r="R45" i="13"/>
  <c r="R17" i="21" s="1"/>
  <c r="R19" i="21" s="1"/>
  <c r="R18" i="14"/>
  <c r="Q20" i="14"/>
  <c r="Q10" i="20" s="1"/>
  <c r="R31" i="13"/>
  <c r="Q33" i="13"/>
  <c r="Q47" i="13" s="1"/>
  <c r="M66" i="20" l="1"/>
  <c r="L59" i="19"/>
  <c r="M52" i="20"/>
  <c r="M53" i="20" s="1"/>
  <c r="M55" i="20" s="1"/>
  <c r="M60" i="20" s="1"/>
  <c r="M65" i="20" s="1"/>
  <c r="M42" i="19"/>
  <c r="M44" i="19" s="1"/>
  <c r="M53" i="19" s="1"/>
  <c r="M58" i="19" s="1"/>
  <c r="L54" i="19"/>
  <c r="M54" i="19" s="1"/>
  <c r="N71" i="13"/>
  <c r="O71" i="13" s="1"/>
  <c r="O54" i="13"/>
  <c r="O56" i="13" s="1"/>
  <c r="O70" i="13" s="1"/>
  <c r="O75" i="13" s="1"/>
  <c r="O76" i="13" s="1"/>
  <c r="O22" i="21"/>
  <c r="O23" i="21" s="1"/>
  <c r="O25" i="21" s="1"/>
  <c r="O35" i="21" s="1"/>
  <c r="O40" i="21" s="1"/>
  <c r="O41" i="21" s="1"/>
  <c r="O40" i="19"/>
  <c r="N41" i="19"/>
  <c r="N78" i="16"/>
  <c r="N29" i="20"/>
  <c r="P11" i="20"/>
  <c r="P12" i="20" s="1"/>
  <c r="N54" i="14"/>
  <c r="O42" i="14"/>
  <c r="O44" i="14" s="1"/>
  <c r="O53" i="14" s="1"/>
  <c r="O58" i="14" s="1"/>
  <c r="O59" i="14" s="1"/>
  <c r="O16" i="20"/>
  <c r="O18" i="20" s="1"/>
  <c r="O23" i="20" s="1"/>
  <c r="O28" i="20" s="1"/>
  <c r="O29" i="20" s="1"/>
  <c r="N24" i="20"/>
  <c r="P54" i="16"/>
  <c r="O55" i="16"/>
  <c r="O56" i="16" s="1"/>
  <c r="O58" i="16" s="1"/>
  <c r="O72" i="16" s="1"/>
  <c r="O77" i="16" s="1"/>
  <c r="O78" i="16" s="1"/>
  <c r="N73" i="16"/>
  <c r="R23" i="14"/>
  <c r="Q32" i="14"/>
  <c r="Q11" i="20" s="1"/>
  <c r="S36" i="16"/>
  <c r="S45" i="16" s="1"/>
  <c r="S47" i="16" s="1"/>
  <c r="R45" i="16"/>
  <c r="R47" i="16" s="1"/>
  <c r="S18" i="14"/>
  <c r="S20" i="14" s="1"/>
  <c r="S10" i="20" s="1"/>
  <c r="R20" i="14"/>
  <c r="R10" i="20" s="1"/>
  <c r="S31" i="13"/>
  <c r="S33" i="13" s="1"/>
  <c r="S47" i="13" s="1"/>
  <c r="R33" i="13"/>
  <c r="R47" i="13" s="1"/>
  <c r="P53" i="13"/>
  <c r="Q50" i="13"/>
  <c r="Q36" i="14"/>
  <c r="P41" i="14"/>
  <c r="P15" i="20" s="1"/>
  <c r="P54" i="13" l="1"/>
  <c r="P56" i="13" s="1"/>
  <c r="P70" i="13" s="1"/>
  <c r="P75" i="13" s="1"/>
  <c r="P22" i="21"/>
  <c r="P23" i="21" s="1"/>
  <c r="P25" i="21" s="1"/>
  <c r="P35" i="21" s="1"/>
  <c r="P40" i="21" s="1"/>
  <c r="P41" i="21" s="1"/>
  <c r="P40" i="19"/>
  <c r="O41" i="19"/>
  <c r="O36" i="21"/>
  <c r="M59" i="19"/>
  <c r="M61" i="20"/>
  <c r="N52" i="20"/>
  <c r="N53" i="20" s="1"/>
  <c r="N55" i="20" s="1"/>
  <c r="N60" i="20" s="1"/>
  <c r="N65" i="20" s="1"/>
  <c r="N66" i="20" s="1"/>
  <c r="N42" i="19"/>
  <c r="N44" i="19" s="1"/>
  <c r="N53" i="19" s="1"/>
  <c r="N58" i="19" s="1"/>
  <c r="O54" i="14"/>
  <c r="O24" i="20"/>
  <c r="P42" i="14"/>
  <c r="P44" i="14" s="1"/>
  <c r="P53" i="14" s="1"/>
  <c r="P58" i="14" s="1"/>
  <c r="P59" i="14" s="1"/>
  <c r="P16" i="20"/>
  <c r="P18" i="20" s="1"/>
  <c r="P23" i="20" s="1"/>
  <c r="P28" i="20" s="1"/>
  <c r="P29" i="20" s="1"/>
  <c r="Q33" i="14"/>
  <c r="Q12" i="20"/>
  <c r="O73" i="16"/>
  <c r="Q54" i="16"/>
  <c r="P55" i="16"/>
  <c r="P56" i="16" s="1"/>
  <c r="P58" i="16" s="1"/>
  <c r="P72" i="16" s="1"/>
  <c r="P77" i="16" s="1"/>
  <c r="P78" i="16" s="1"/>
  <c r="R32" i="14"/>
  <c r="R11" i="20" s="1"/>
  <c r="S23" i="14"/>
  <c r="S32" i="14" s="1"/>
  <c r="S11" i="20" s="1"/>
  <c r="P76" i="13"/>
  <c r="P71" i="13"/>
  <c r="Q41" i="14"/>
  <c r="Q15" i="20" s="1"/>
  <c r="R36" i="14"/>
  <c r="Q53" i="13"/>
  <c r="R50" i="13"/>
  <c r="Q54" i="13" l="1"/>
  <c r="Q56" i="13" s="1"/>
  <c r="Q70" i="13" s="1"/>
  <c r="Q75" i="13" s="1"/>
  <c r="Q22" i="21"/>
  <c r="Q23" i="21" s="1"/>
  <c r="Q25" i="21" s="1"/>
  <c r="Q35" i="21" s="1"/>
  <c r="Q40" i="21" s="1"/>
  <c r="Q41" i="21" s="1"/>
  <c r="N59" i="19"/>
  <c r="O59" i="19" s="1"/>
  <c r="P36" i="21"/>
  <c r="O52" i="20"/>
  <c r="O53" i="20" s="1"/>
  <c r="O55" i="20" s="1"/>
  <c r="O60" i="20" s="1"/>
  <c r="O65" i="20" s="1"/>
  <c r="O66" i="20" s="1"/>
  <c r="O42" i="19"/>
  <c r="O44" i="19" s="1"/>
  <c r="O53" i="19" s="1"/>
  <c r="O58" i="19" s="1"/>
  <c r="N54" i="19"/>
  <c r="O54" i="19" s="1"/>
  <c r="N61" i="20"/>
  <c r="Q40" i="19"/>
  <c r="P41" i="19"/>
  <c r="P54" i="14"/>
  <c r="P24" i="20"/>
  <c r="R33" i="14"/>
  <c r="R12" i="20"/>
  <c r="Q42" i="14"/>
  <c r="Q44" i="14" s="1"/>
  <c r="Q53" i="14" s="1"/>
  <c r="Q58" i="14" s="1"/>
  <c r="Q59" i="14" s="1"/>
  <c r="Q16" i="20"/>
  <c r="Q18" i="20" s="1"/>
  <c r="Q23" i="20" s="1"/>
  <c r="S33" i="14"/>
  <c r="S12" i="20"/>
  <c r="Q76" i="13"/>
  <c r="R54" i="16"/>
  <c r="Q55" i="16"/>
  <c r="Q56" i="16" s="1"/>
  <c r="Q58" i="16" s="1"/>
  <c r="Q72" i="16" s="1"/>
  <c r="Q77" i="16" s="1"/>
  <c r="Q78" i="16" s="1"/>
  <c r="P73" i="16"/>
  <c r="Q71" i="13"/>
  <c r="R53" i="13"/>
  <c r="S50" i="13"/>
  <c r="S53" i="13" s="1"/>
  <c r="R41" i="14"/>
  <c r="R15" i="20" s="1"/>
  <c r="S36" i="14"/>
  <c r="S41" i="14" s="1"/>
  <c r="S15" i="20" s="1"/>
  <c r="P52" i="20" l="1"/>
  <c r="P53" i="20" s="1"/>
  <c r="P55" i="20" s="1"/>
  <c r="P60" i="20" s="1"/>
  <c r="P65" i="20" s="1"/>
  <c r="P66" i="20" s="1"/>
  <c r="P42" i="19"/>
  <c r="P44" i="19" s="1"/>
  <c r="P53" i="19" s="1"/>
  <c r="P58" i="19" s="1"/>
  <c r="P59" i="19" s="1"/>
  <c r="S54" i="13"/>
  <c r="S56" i="13" s="1"/>
  <c r="S70" i="13" s="1"/>
  <c r="S75" i="13" s="1"/>
  <c r="S22" i="21"/>
  <c r="S23" i="21" s="1"/>
  <c r="S25" i="21" s="1"/>
  <c r="S35" i="21" s="1"/>
  <c r="S40" i="21" s="1"/>
  <c r="R40" i="19"/>
  <c r="Q41" i="19"/>
  <c r="R54" i="13"/>
  <c r="R56" i="13" s="1"/>
  <c r="R70" i="13" s="1"/>
  <c r="R75" i="13" s="1"/>
  <c r="R22" i="21"/>
  <c r="R23" i="21" s="1"/>
  <c r="R25" i="21" s="1"/>
  <c r="R35" i="21" s="1"/>
  <c r="R40" i="21" s="1"/>
  <c r="R41" i="21" s="1"/>
  <c r="S41" i="21" s="1"/>
  <c r="T41" i="21" s="1"/>
  <c r="O61" i="20"/>
  <c r="P61" i="20" s="1"/>
  <c r="Q36" i="21"/>
  <c r="R36" i="21" s="1"/>
  <c r="S36" i="21" s="1"/>
  <c r="T36" i="21" s="1"/>
  <c r="Q28" i="20"/>
  <c r="Q29" i="20" s="1"/>
  <c r="Q24" i="20"/>
  <c r="S42" i="14"/>
  <c r="S44" i="14" s="1"/>
  <c r="S53" i="14" s="1"/>
  <c r="S58" i="14" s="1"/>
  <c r="S16" i="20"/>
  <c r="S18" i="20" s="1"/>
  <c r="S23" i="20" s="1"/>
  <c r="S28" i="20" s="1"/>
  <c r="R42" i="14"/>
  <c r="R44" i="14" s="1"/>
  <c r="R53" i="14" s="1"/>
  <c r="R58" i="14" s="1"/>
  <c r="R59" i="14" s="1"/>
  <c r="R16" i="20"/>
  <c r="R18" i="20" s="1"/>
  <c r="R23" i="20" s="1"/>
  <c r="R28" i="20" s="1"/>
  <c r="Q54" i="14"/>
  <c r="R76" i="13"/>
  <c r="S76" i="13" s="1"/>
  <c r="T76" i="13" s="1"/>
  <c r="Q73" i="16"/>
  <c r="S54" i="16"/>
  <c r="S55" i="16" s="1"/>
  <c r="S56" i="16" s="1"/>
  <c r="S58" i="16" s="1"/>
  <c r="S72" i="16" s="1"/>
  <c r="S77" i="16" s="1"/>
  <c r="R55" i="16"/>
  <c r="R56" i="16" s="1"/>
  <c r="R58" i="16" s="1"/>
  <c r="R72" i="16" s="1"/>
  <c r="R77" i="16" s="1"/>
  <c r="R78" i="16" s="1"/>
  <c r="R71" i="13"/>
  <c r="S71" i="13" s="1"/>
  <c r="T71" i="13" s="1"/>
  <c r="P54" i="19" l="1"/>
  <c r="Q52" i="20"/>
  <c r="Q53" i="20" s="1"/>
  <c r="Q55" i="20" s="1"/>
  <c r="Q60" i="20" s="1"/>
  <c r="Q65" i="20" s="1"/>
  <c r="Q66" i="20" s="1"/>
  <c r="Q42" i="19"/>
  <c r="Q44" i="19" s="1"/>
  <c r="Q53" i="19" s="1"/>
  <c r="Q58" i="19" s="1"/>
  <c r="Q59" i="19" s="1"/>
  <c r="S40" i="19"/>
  <c r="S41" i="19" s="1"/>
  <c r="R41" i="19"/>
  <c r="R54" i="14"/>
  <c r="S54" i="14" s="1"/>
  <c r="T54" i="14" s="1"/>
  <c r="S59" i="14"/>
  <c r="T59" i="14" s="1"/>
  <c r="R24" i="20"/>
  <c r="S24" i="20" s="1"/>
  <c r="T24" i="20" s="1"/>
  <c r="R29" i="20"/>
  <c r="S29" i="20" s="1"/>
  <c r="T29" i="20" s="1"/>
  <c r="S78" i="16"/>
  <c r="T78" i="16" s="1"/>
  <c r="R73" i="16"/>
  <c r="S73" i="16" s="1"/>
  <c r="T73" i="16" s="1"/>
  <c r="R52" i="20" l="1"/>
  <c r="R53" i="20" s="1"/>
  <c r="R55" i="20" s="1"/>
  <c r="R60" i="20" s="1"/>
  <c r="R65" i="20" s="1"/>
  <c r="R66" i="20" s="1"/>
  <c r="R42" i="19"/>
  <c r="R44" i="19" s="1"/>
  <c r="R53" i="19" s="1"/>
  <c r="R58" i="19" s="1"/>
  <c r="R59" i="19" s="1"/>
  <c r="S59" i="19" s="1"/>
  <c r="T59" i="19" s="1"/>
  <c r="Q54" i="19"/>
  <c r="R54" i="19" s="1"/>
  <c r="S54" i="19" s="1"/>
  <c r="T54" i="19" s="1"/>
  <c r="S52" i="20"/>
  <c r="S53" i="20" s="1"/>
  <c r="S55" i="20" s="1"/>
  <c r="S60" i="20" s="1"/>
  <c r="S65" i="20" s="1"/>
  <c r="S42" i="19"/>
  <c r="S44" i="19" s="1"/>
  <c r="S53" i="19" s="1"/>
  <c r="S58" i="19" s="1"/>
  <c r="Q61" i="20"/>
  <c r="R61" i="20" s="1"/>
  <c r="S61" i="20" l="1"/>
  <c r="T61" i="20" s="1"/>
  <c r="S66" i="20"/>
  <c r="T66" i="20" s="1"/>
</calcChain>
</file>

<file path=xl/sharedStrings.xml><?xml version="1.0" encoding="utf-8"?>
<sst xmlns="http://schemas.openxmlformats.org/spreadsheetml/2006/main" count="1472" uniqueCount="372">
  <si>
    <t xml:space="preserve">Material </t>
  </si>
  <si>
    <t>Wheat</t>
  </si>
  <si>
    <t>98%Sulfuric acid</t>
  </si>
  <si>
    <t>Caustic soda</t>
  </si>
  <si>
    <t>Ammonia</t>
  </si>
  <si>
    <t>Ethanol</t>
  </si>
  <si>
    <t>Butanol</t>
  </si>
  <si>
    <t>Acetone</t>
  </si>
  <si>
    <t>Hydrogen</t>
  </si>
  <si>
    <t>a-amylase</t>
  </si>
  <si>
    <t>amyloglucosidase</t>
  </si>
  <si>
    <t>c. acetobutylicum</t>
  </si>
  <si>
    <t>CARBON TAX (GASEOUS)</t>
  </si>
  <si>
    <t>Utilities</t>
  </si>
  <si>
    <t>costs</t>
  </si>
  <si>
    <t>Electricity</t>
  </si>
  <si>
    <t>Towns water</t>
  </si>
  <si>
    <t>Cooling water</t>
  </si>
  <si>
    <t>LP steam</t>
  </si>
  <si>
    <t>IP steam</t>
  </si>
  <si>
    <t>Aqueous effluent disposal</t>
  </si>
  <si>
    <t>Compressed air</t>
  </si>
  <si>
    <t>Nitrogen</t>
  </si>
  <si>
    <t xml:space="preserve">costs/price </t>
  </si>
  <si>
    <t>Units</t>
  </si>
  <si>
    <t>£/t</t>
  </si>
  <si>
    <t>£/nm^3</t>
  </si>
  <si>
    <t>£/KWh</t>
  </si>
  <si>
    <t>Industrial land</t>
  </si>
  <si>
    <t>Brownfield site</t>
  </si>
  <si>
    <t>Land area m^2</t>
  </si>
  <si>
    <t>hectare</t>
  </si>
  <si>
    <t>Cost £</t>
  </si>
  <si>
    <t>COSTS</t>
  </si>
  <si>
    <t>EQUIPMENT</t>
  </si>
  <si>
    <t>AREA 3</t>
  </si>
  <si>
    <t>PUMPS*4</t>
  </si>
  <si>
    <t>HXs*2</t>
  </si>
  <si>
    <t>vessels*4liq</t>
  </si>
  <si>
    <t>vessels*16sacch</t>
  </si>
  <si>
    <t>AREA 4</t>
  </si>
  <si>
    <t>HX401*20</t>
  </si>
  <si>
    <t>HX402*10</t>
  </si>
  <si>
    <t>HX403*1</t>
  </si>
  <si>
    <t>PUMPS*21</t>
  </si>
  <si>
    <t>FERMENTERS*50</t>
  </si>
  <si>
    <t>VESSELS*6</t>
  </si>
  <si>
    <t>SEPARATORSDEC</t>
  </si>
  <si>
    <t>CENTRIFUGES*5</t>
  </si>
  <si>
    <t>NOTE AREA 3 REDUCE 222 MILLION REQUIREMENT TO 2.2 MILLION ELIMINATE USE OF THAT HX</t>
  </si>
  <si>
    <t>UTILITIES PER YEAR</t>
  </si>
  <si>
    <t>LPS 131 DEGREES</t>
  </si>
  <si>
    <t>COOLING WATER 18 DEGREES</t>
  </si>
  <si>
    <t>TOWNS WATER 20 DEGREES</t>
  </si>
  <si>
    <t>ELECTRICITY</t>
  </si>
  <si>
    <t>EXTRAS fixed</t>
  </si>
  <si>
    <t>glucoamylase</t>
  </si>
  <si>
    <t>EXTRAS PER ANNUM</t>
  </si>
  <si>
    <t>H2SO4</t>
  </si>
  <si>
    <t>N2</t>
  </si>
  <si>
    <t>caustic soda</t>
  </si>
  <si>
    <t>CAUSTIC SODA</t>
  </si>
  <si>
    <t>AQUEOUS EFFLUENT DISPOSAL</t>
  </si>
  <si>
    <t>AREA 1</t>
  </si>
  <si>
    <t>T-101STORAGE SILO*2</t>
  </si>
  <si>
    <t>T-102 WHEAT TEMPERING*20</t>
  </si>
  <si>
    <t>P-101 PUMPWATER</t>
  </si>
  <si>
    <t>P-102AIR BLOWER*50</t>
  </si>
  <si>
    <t>SC-101SCREWCONVEYOR*2</t>
  </si>
  <si>
    <t>EV-101BUCKET ELEVATOR*8</t>
  </si>
  <si>
    <t>S-101 MAGNETIC SEPARATOR*4</t>
  </si>
  <si>
    <t>S-102 ASPIRATION CHANNEL*5</t>
  </si>
  <si>
    <t>S-103 COMBI CLEANER*5</t>
  </si>
  <si>
    <t>S-104 SCOURER*5</t>
  </si>
  <si>
    <t>RM-101 BREAKER ROLLER*145</t>
  </si>
  <si>
    <t>RM-102 REDUCTION ROLLER*145</t>
  </si>
  <si>
    <t>C-101CYCLONE SEPARATOR*50</t>
  </si>
  <si>
    <t>SF-101ROTARYSIFTER*290</t>
  </si>
  <si>
    <t>AIR</t>
  </si>
  <si>
    <t>GASEOUS EMISSIONS</t>
  </si>
  <si>
    <t>AREA 5</t>
  </si>
  <si>
    <t>SALES</t>
  </si>
  <si>
    <t>LAND</t>
  </si>
  <si>
    <t>PRODUCTS</t>
  </si>
  <si>
    <t>BUTANOL</t>
  </si>
  <si>
    <t>ETHANOL</t>
  </si>
  <si>
    <t>HYDROGEN</t>
  </si>
  <si>
    <t>ACETONE</t>
  </si>
  <si>
    <t>CO2</t>
  </si>
  <si>
    <t>centrifugal pumps*2</t>
  </si>
  <si>
    <t>stirred tank mixer vessel</t>
  </si>
  <si>
    <t>continuous gravity decanter</t>
  </si>
  <si>
    <t>distillation columns*2</t>
  </si>
  <si>
    <t>reboiled absorber column</t>
  </si>
  <si>
    <t>kettle reboiler*3</t>
  </si>
  <si>
    <t>condensers*2</t>
  </si>
  <si>
    <t>IP STEAM</t>
  </si>
  <si>
    <t>LP STEAM 131 DEGREES</t>
  </si>
  <si>
    <t>GASEOUS EMISSIONS per annum</t>
  </si>
  <si>
    <t>AREA 6</t>
  </si>
  <si>
    <t>HX*2</t>
  </si>
  <si>
    <t>CONDENSER*2</t>
  </si>
  <si>
    <t>REBOILER*2</t>
  </si>
  <si>
    <t>SIEVE PLATE COLUMN*2</t>
  </si>
  <si>
    <t>REFLUX DRUM*2</t>
  </si>
  <si>
    <t>ACETONE STORAGE</t>
  </si>
  <si>
    <t>ETHANOL STORAGE</t>
  </si>
  <si>
    <t>SLOP CUT STORAGE</t>
  </si>
  <si>
    <t>WHEAT</t>
  </si>
  <si>
    <t>COOLING WATERAT 18 DEGREES</t>
  </si>
  <si>
    <t>LP STEAM AT 131 DEGREES</t>
  </si>
  <si>
    <t>COMPRESSED AIR</t>
  </si>
  <si>
    <t>α-amylase</t>
  </si>
  <si>
    <t>equipment erection</t>
  </si>
  <si>
    <t>piping</t>
  </si>
  <si>
    <t>instrumentation</t>
  </si>
  <si>
    <t>electrical</t>
  </si>
  <si>
    <t>buildings and process</t>
  </si>
  <si>
    <t>TOTAL</t>
  </si>
  <si>
    <t>ADDITIONAL</t>
  </si>
  <si>
    <t>DESIGN AND ENGINEERING</t>
  </si>
  <si>
    <t>CONTRACTOR'S FEE</t>
  </si>
  <si>
    <t>AREA 2</t>
  </si>
  <si>
    <t>PUMP UNIT 2</t>
  </si>
  <si>
    <t>PUMP UNIT 5</t>
  </si>
  <si>
    <t>MIXING VESSEL UNIT1</t>
  </si>
  <si>
    <t>MIXING VESSEL UNIT 4</t>
  </si>
  <si>
    <t>land</t>
  </si>
  <si>
    <t>Total</t>
  </si>
  <si>
    <t>OPEX</t>
  </si>
  <si>
    <t>CAPEX</t>
  </si>
  <si>
    <t>EQUIPMENT COST</t>
  </si>
  <si>
    <t>DIRECT £</t>
  </si>
  <si>
    <t>EQUIPMENT ERECTION, FOUNDATIONS AND STRUCTURAL WORK</t>
  </si>
  <si>
    <t>PIPING INSULATION AND PAINTING</t>
  </si>
  <si>
    <t>INSTRUMENTATION AND CONTROL EQUIPMENT</t>
  </si>
  <si>
    <t>ELECTRICAL POWER AND LIGHTING</t>
  </si>
  <si>
    <t>PROCESS BUILDINGS AND STRUCTURES</t>
  </si>
  <si>
    <t>DESIGN AND ENGINEERING COSTS</t>
  </si>
  <si>
    <t>CONTRACTOR'S FEES</t>
  </si>
  <si>
    <t>SUB-TOTAL 1</t>
  </si>
  <si>
    <t>SUB-TOTAL 2</t>
  </si>
  <si>
    <t>EQUIVALENT TO FIXED CAPITAL INVESTMENT</t>
  </si>
  <si>
    <t>INDIRECT £</t>
  </si>
  <si>
    <t>FIXED £</t>
  </si>
  <si>
    <t>VARIABLE £</t>
  </si>
  <si>
    <t>RAW MATERIALS</t>
  </si>
  <si>
    <t xml:space="preserve">WHEAT </t>
  </si>
  <si>
    <t>SULFURIC ACID</t>
  </si>
  <si>
    <t>A-AMYLASE</t>
  </si>
  <si>
    <t>GLUCOAMYLASE</t>
  </si>
  <si>
    <t>SUBTOTAL</t>
  </si>
  <si>
    <t>MISCELLANEOUS MATERIALS</t>
  </si>
  <si>
    <t>UTILITIES</t>
  </si>
  <si>
    <t>LPS</t>
  </si>
  <si>
    <t>CW</t>
  </si>
  <si>
    <t>TW</t>
  </si>
  <si>
    <t>NITROGEN</t>
  </si>
  <si>
    <t>AQ EFFLUENT DISPOSAL</t>
  </si>
  <si>
    <t>SUB TOTAL</t>
  </si>
  <si>
    <t>MAINTENANCE</t>
  </si>
  <si>
    <t>OPERATING LABOUR</t>
  </si>
  <si>
    <t>LABORATORY COSTS</t>
  </si>
  <si>
    <t>SUPERVISION</t>
  </si>
  <si>
    <t>PLANT OVERHEADS (65% OF LABOUR COSTS)</t>
  </si>
  <si>
    <t>CAPITAL CHARGES</t>
  </si>
  <si>
    <t>INSURANCE</t>
  </si>
  <si>
    <t>LOCAL TAXES</t>
  </si>
  <si>
    <t>ROYALTIES AND LICENCE FEES 0,01 OF SALES</t>
  </si>
  <si>
    <t>SALES EXPENSE 0,25 OF DIRECT PRODUCTION COST</t>
  </si>
  <si>
    <t>GENERAL OVERHEADS</t>
  </si>
  <si>
    <t>R&amp;D</t>
  </si>
  <si>
    <t>WORKING CAPITAL</t>
  </si>
  <si>
    <t>TOTAL CAPITAL INVESTMENT</t>
  </si>
  <si>
    <t>RAW MATERIALS FOR PLANT START-UP</t>
  </si>
  <si>
    <t>INVENTORIES OF RAW MATERIALS</t>
  </si>
  <si>
    <t>CONTIGENCY ALLOWANCE</t>
  </si>
  <si>
    <t>FIXED CAPITAL</t>
  </si>
  <si>
    <t>INITIAL CATALYST CHARGES</t>
  </si>
  <si>
    <t>CORPORATION TAX</t>
  </si>
  <si>
    <t>FOR COST SUMMARY</t>
  </si>
  <si>
    <t>HEAT EXCHANGERS (47 UNITS)</t>
  </si>
  <si>
    <t>COST</t>
  </si>
  <si>
    <t>HYDROLYSIS REACTORS*20</t>
  </si>
  <si>
    <t>DECANTERS*2</t>
  </si>
  <si>
    <t>DISTILLATION COLUMNS*2</t>
  </si>
  <si>
    <t>STORAGE SILOS*2</t>
  </si>
  <si>
    <t>WHEAT TEMPERING UNITS*20</t>
  </si>
  <si>
    <t>SCREW CONVEYORS*2</t>
  </si>
  <si>
    <t>BUCKET ELEVATORS*8</t>
  </si>
  <si>
    <t>MAGNETIC SEPARATORS*4</t>
  </si>
  <si>
    <t>ASPIRATION CHANNELS*5</t>
  </si>
  <si>
    <t>COMBI CLEANERS*5</t>
  </si>
  <si>
    <t>SCOURER*5</t>
  </si>
  <si>
    <t>BREAKER AND REDUCTION  ROLLER*290</t>
  </si>
  <si>
    <t>CYCLONE SEPARATORS*50</t>
  </si>
  <si>
    <t>ROTARY SIFTERS*290</t>
  </si>
  <si>
    <t>SIEVE PLATE COLUMNS*2</t>
  </si>
  <si>
    <t>PUMPS*71</t>
  </si>
  <si>
    <t>VESSELS*12</t>
  </si>
  <si>
    <t>Sun totals</t>
  </si>
  <si>
    <t>% total</t>
  </si>
  <si>
    <t>COST OF RAW MATERIALS</t>
  </si>
  <si>
    <t>UTILITY COSTS</t>
  </si>
  <si>
    <t>LAND COST</t>
  </si>
  <si>
    <t>SELLING PRICES PER PRODUCT</t>
  </si>
  <si>
    <t>% PER TOTAL AREA</t>
  </si>
  <si>
    <t>% PER TOTAL UTILITY</t>
  </si>
  <si>
    <t>UTILITIES - COST/AREA ANALYSIS</t>
  </si>
  <si>
    <t>RAW MATERIAL COSTS</t>
  </si>
  <si>
    <t>costs/price</t>
  </si>
  <si>
    <t>£</t>
  </si>
  <si>
    <t>SALES - ANNUAL</t>
  </si>
  <si>
    <t>No of units</t>
  </si>
  <si>
    <r>
      <t xml:space="preserve">Av. Cost per unit </t>
    </r>
    <r>
      <rPr>
        <sz val="11"/>
        <color theme="1"/>
        <rFont val="Calibri"/>
        <family val="2"/>
        <charset val="161"/>
      </rPr>
      <t>£</t>
    </r>
  </si>
  <si>
    <t>PROCESS EQUIPMENT</t>
  </si>
  <si>
    <t>TOTAL - EQUIPMENT</t>
  </si>
  <si>
    <t>% TO TOTAL</t>
  </si>
  <si>
    <t>AREA TOTAL</t>
  </si>
  <si>
    <t>omitted utilities storages and site development including ancillary buildings since it will be locacted in a brownfield site (existing)</t>
  </si>
  <si>
    <t>Start -up</t>
  </si>
  <si>
    <t>RAW MATERIALS FOR intermediates in the process</t>
  </si>
  <si>
    <t>FINISHED PRODUCT INVENTORIES</t>
  </si>
  <si>
    <t>FUNDS TO COVER OUTSTANDING ACCOUNTS FROM CUSTOMERS</t>
  </si>
  <si>
    <t>VARIABLE COSTS</t>
  </si>
  <si>
    <t>FIXED COSTS</t>
  </si>
  <si>
    <t>CAPITAL CHARGES - BUILDINGS</t>
  </si>
  <si>
    <t>CAPITAL CHARGES - EQUIPMENT</t>
  </si>
  <si>
    <t>TOTAL VARIABLE COSTS</t>
  </si>
  <si>
    <t>TOTAL FIXED COSTS</t>
  </si>
  <si>
    <t>TAX - GASEOUS EMISSIONS</t>
  </si>
  <si>
    <t>TAX - CORPORATION TAX</t>
  </si>
  <si>
    <t>TOTAL VARIABLE &amp; FIXED COSTS</t>
  </si>
  <si>
    <t>TOTAL INDIRECT COSTS</t>
  </si>
  <si>
    <t xml:space="preserve">INDIRECT </t>
  </si>
  <si>
    <t>TOTAL OPEX</t>
  </si>
  <si>
    <t>tonnes</t>
  </si>
  <si>
    <t>assume max operating life time of biorefineries - 15 years</t>
  </si>
  <si>
    <t>ok</t>
  </si>
  <si>
    <t>YR1</t>
  </si>
  <si>
    <t>YR2</t>
  </si>
  <si>
    <t>YR3</t>
  </si>
  <si>
    <t>YR4</t>
  </si>
  <si>
    <t>YR5</t>
  </si>
  <si>
    <t>YR6</t>
  </si>
  <si>
    <t>YR7</t>
  </si>
  <si>
    <t>YR8</t>
  </si>
  <si>
    <t>YR9</t>
  </si>
  <si>
    <t>YR10</t>
  </si>
  <si>
    <t>YR11</t>
  </si>
  <si>
    <t>YR12</t>
  </si>
  <si>
    <t>YR13</t>
  </si>
  <si>
    <t>YR14</t>
  </si>
  <si>
    <t>YR15</t>
  </si>
  <si>
    <t>YR0</t>
  </si>
  <si>
    <t>CASH OUTFLOW</t>
  </si>
  <si>
    <t>YR16</t>
  </si>
  <si>
    <t>assume ..% increase on operating expenses every year to cover for inflation etc</t>
  </si>
  <si>
    <t>TOTAL CASH OUTFLOW FROM OPEX</t>
  </si>
  <si>
    <t>TOTAL CASH OUTFLOW VARIABLE COSTS</t>
  </si>
  <si>
    <t>TOTAL CASH OUTFLOW FROM FIXED CAPITAL</t>
  </si>
  <si>
    <t>TOTAL CASH OUTFLOW FROM WORKING CAPITAL</t>
  </si>
  <si>
    <t>TOTAL CASH OUTFLOW</t>
  </si>
  <si>
    <t>CASH INFLOW</t>
  </si>
  <si>
    <t>assume no credit period from suppliers and no credit period for sales</t>
  </si>
  <si>
    <t>TOTAL CASH INFLOW FROM SALES</t>
  </si>
  <si>
    <t>NET CASH INFLOW / -OUTFLOW</t>
  </si>
  <si>
    <t>NET CASH INFLOW / -OUTFLOW CUMULATIVE</t>
  </si>
  <si>
    <t>NET PROFIT / (LOSS)</t>
  </si>
  <si>
    <t>NET PROFIT / (LOSS) - CUMULATIVE</t>
  </si>
  <si>
    <t>WORKING CAPITAL RELEASE</t>
  </si>
  <si>
    <t>RAW MATERIALS FOR INTERMEDIATES IN THE PROCESS</t>
  </si>
  <si>
    <t>TOTAL CASH INFLOW</t>
  </si>
  <si>
    <t>ANNUALY INCREASE - estimate FOR SALES</t>
  </si>
  <si>
    <t>ANNUALY INCREASE - estimate FOR VARIABLE COSTS</t>
  </si>
  <si>
    <t>ANNUALY INCREASE - estimate FOR FIXED COSTS</t>
  </si>
  <si>
    <t>TOTAL COSTS -  WORKING CAPITAL</t>
  </si>
  <si>
    <t xml:space="preserve">DISCOUNT RATE </t>
  </si>
  <si>
    <t>INTEREST RATE</t>
  </si>
  <si>
    <t>INFLATION</t>
  </si>
  <si>
    <t xml:space="preserve">NPV </t>
  </si>
  <si>
    <t>CUMULATIVE NPV</t>
  </si>
  <si>
    <t>LAND REALEASE</t>
  </si>
  <si>
    <t>ECONOMIC RISKS TO PLANT</t>
  </si>
  <si>
    <t>1. Capital cost escalation of one particular item. i.e despite inlfation, market imbalances may lead to increased prices for particular items</t>
  </si>
  <si>
    <t>Market access and trade exposure. MAY REQUIRE INCREASED CAPACITY STORAGE FACILITIES INCLUDING EXCESS TRANSPORTATION COSTS.  MAY NOT BE ABLE TO SELL FOR A GIVEN PERIOD OF TIME</t>
  </si>
  <si>
    <t>2. Supply and demand imbalances (oversupply increase cost per ton of procution and forced to operate at reduced capacity)</t>
  </si>
  <si>
    <t>3. Increase in carbon tax (stringent regulatory legislation) i.e UK's decarbonisation plan by 2050 (END TRANSPORTATION RELATED EMISSIONS)</t>
  </si>
  <si>
    <t>4.Changes in production costs brought about by shifts in the underlying energy market. For example, increases in prices of certain utilities.</t>
  </si>
  <si>
    <t>5.Increase in cost of wheat. Food source. If it's supply is reduced due to the plant's requirement then it's price will escalate. Huge amounts are required by the plant per year.</t>
  </si>
  <si>
    <t>FUTURE OPERATING SCENARIOS</t>
  </si>
  <si>
    <t>1.Reduction in output due to seriously worn out damaged equipment.</t>
  </si>
  <si>
    <t>STRATEGY TO REDUCE EXPENDITURE WHILST NOT COMPROMISING SAFETY</t>
  </si>
  <si>
    <t>2. Double the output. Additional incurred costs (capex per area)</t>
  </si>
  <si>
    <t>reduction achieved</t>
  </si>
  <si>
    <t>Sum totals</t>
  </si>
  <si>
    <t>CAPEX S2 - revised reduced by</t>
  </si>
  <si>
    <t>CAPEX S1</t>
  </si>
  <si>
    <t>S1</t>
  </si>
  <si>
    <t>S2</t>
  </si>
  <si>
    <t>A. DIRECT COSTS - OF TOTAL EQUIPMENT</t>
  </si>
  <si>
    <t>B. INDIRECT COSTS</t>
  </si>
  <si>
    <t>TOTAL FIXED CAPITAL INVESTMENT (A+B)</t>
  </si>
  <si>
    <t>Notes:</t>
  </si>
  <si>
    <t>1. ESTIMATES Made from total equipment cost</t>
  </si>
  <si>
    <t>2. S1: SENARIO 1 - ORIGINAL ESTIMATES</t>
  </si>
  <si>
    <t>3. S2: SENARIO2 - REVISED ESTIMATES</t>
  </si>
  <si>
    <t>FIXED CAPITAL INVESTMENT - estimate</t>
  </si>
  <si>
    <r>
      <t xml:space="preserve">lang factor                       </t>
    </r>
    <r>
      <rPr>
        <b/>
        <sz val="9"/>
        <color theme="1"/>
        <rFont val="Calibri"/>
        <family val="2"/>
        <charset val="161"/>
        <scheme val="minor"/>
      </rPr>
      <t>(Sinnott et a. p252)</t>
    </r>
  </si>
  <si>
    <t>Relevant Cost</t>
  </si>
  <si>
    <t>CONTINGENCY (Incl. in working capital)</t>
  </si>
  <si>
    <t>factor used</t>
  </si>
  <si>
    <t>factor range</t>
  </si>
  <si>
    <t>TOTAL FIXED CAPITAL</t>
  </si>
  <si>
    <t>TOTAL WORKING CAPITAL</t>
  </si>
  <si>
    <t>20%-30% (1)</t>
  </si>
  <si>
    <t>(1) - OF TOTAL FIXED CAPITAL</t>
  </si>
  <si>
    <t>10% (2)</t>
  </si>
  <si>
    <t>(2) - OF MAINTENANCE COSTS</t>
  </si>
  <si>
    <r>
      <t xml:space="preserve">ELECTRICITY </t>
    </r>
    <r>
      <rPr>
        <b/>
        <i/>
        <sz val="11"/>
        <color rgb="FFFF0000"/>
        <rFont val="Calibri"/>
        <family val="2"/>
        <charset val="161"/>
        <scheme val="minor"/>
      </rPr>
      <t>(Reduced by 30% of S1)</t>
    </r>
  </si>
  <si>
    <r>
      <t xml:space="preserve">ELECTRICITY </t>
    </r>
    <r>
      <rPr>
        <b/>
        <i/>
        <sz val="11"/>
        <color rgb="FFFF0000"/>
        <rFont val="Calibri"/>
        <family val="2"/>
        <charset val="161"/>
        <scheme val="minor"/>
      </rPr>
      <t>(Reduced by 35% of S1)</t>
    </r>
  </si>
  <si>
    <t>S2/S1</t>
  </si>
  <si>
    <t>%</t>
  </si>
  <si>
    <r>
      <t xml:space="preserve">LPS 131 DEGREES </t>
    </r>
    <r>
      <rPr>
        <b/>
        <i/>
        <sz val="11"/>
        <color rgb="FFFF0000"/>
        <rFont val="Calibri"/>
        <family val="2"/>
        <charset val="161"/>
        <scheme val="minor"/>
      </rPr>
      <t>(Reduced by 27,6% of S1)</t>
    </r>
  </si>
  <si>
    <t>5%-10% (1)</t>
  </si>
  <si>
    <t>max15% (3)</t>
  </si>
  <si>
    <t>(3) - OF TOTAL OPERATING COSTS</t>
  </si>
  <si>
    <t>20%-30% (4)</t>
  </si>
  <si>
    <t>(4) - OF TOTAL OPERATING LABOUR</t>
  </si>
  <si>
    <t>FOREMAN</t>
  </si>
  <si>
    <t>GN FOREMAN</t>
  </si>
  <si>
    <t>MGR</t>
  </si>
  <si>
    <t>ASSISTANT</t>
  </si>
  <si>
    <t>CONTRIBUTIONS</t>
  </si>
  <si>
    <t>AREAS</t>
  </si>
  <si>
    <t>no</t>
  </si>
  <si>
    <t>shifts</t>
  </si>
  <si>
    <t xml:space="preserve">PLANT OVERHEADS </t>
  </si>
  <si>
    <t>50%-100% (3)</t>
  </si>
  <si>
    <t>20%-30% (5)</t>
  </si>
  <si>
    <t xml:space="preserve">SALES EXPENSE </t>
  </si>
  <si>
    <t>(5) - OF TOTAL DIRECT PRODUCTION COST</t>
  </si>
  <si>
    <t>1%-2% (1)</t>
  </si>
  <si>
    <t>ROYALTIES &amp; LICENSE FEES</t>
  </si>
  <si>
    <t>1%-5% (6)</t>
  </si>
  <si>
    <t>(6) - OF TOTAL SALES</t>
  </si>
  <si>
    <t>X% (5)</t>
  </si>
  <si>
    <t>R&amp;D *</t>
  </si>
  <si>
    <t>* ASSUMED NO R&amp;D AS ROYIALTIES FEES &amp; LICENSES ARE PAID</t>
  </si>
  <si>
    <t>NOTES:</t>
  </si>
  <si>
    <t>VAT ARE IGNORED FOR SIMPLICITY</t>
  </si>
  <si>
    <t>DISCOUNT RATE:</t>
  </si>
  <si>
    <t>1, INTEREST RATE</t>
  </si>
  <si>
    <t>START-UP</t>
  </si>
  <si>
    <t>CASH-FLOW STATEMENT - PERIOD: 15 YEARS (SCENARIO 2)</t>
  </si>
  <si>
    <t>CASH-FLOW STATEMENT - PERIOD: 15 YEARS (SCENARIO 1)</t>
  </si>
  <si>
    <t>PROFIT &amp; LOSS STATEMENT - PERIOD: 15 YEARS (SCENARIO 1)</t>
  </si>
  <si>
    <t>PROFIT &amp; LOSS STATEMENT - PERIOD: 15 YEARS (SCENARIO 2)</t>
  </si>
  <si>
    <r>
      <rPr>
        <b/>
        <sz val="11"/>
        <rFont val="Calibri"/>
        <family val="2"/>
        <charset val="161"/>
        <scheme val="minor"/>
      </rPr>
      <t>HXs*1</t>
    </r>
    <r>
      <rPr>
        <b/>
        <sz val="11"/>
        <color rgb="FFFF0000"/>
        <rFont val="Calibri"/>
        <family val="2"/>
        <charset val="161"/>
        <scheme val="minor"/>
      </rPr>
      <t xml:space="preserve"> - (reduced by 1 unit)</t>
    </r>
  </si>
  <si>
    <r>
      <rPr>
        <b/>
        <sz val="11"/>
        <rFont val="Calibri"/>
        <family val="2"/>
        <charset val="161"/>
        <scheme val="minor"/>
      </rPr>
      <t xml:space="preserve">vessels*4liq </t>
    </r>
    <r>
      <rPr>
        <b/>
        <sz val="11"/>
        <color rgb="FFFF0000"/>
        <rFont val="Calibri"/>
        <family val="2"/>
        <charset val="161"/>
        <scheme val="minor"/>
      </rPr>
      <t>- @80% of S1</t>
    </r>
  </si>
  <si>
    <r>
      <rPr>
        <b/>
        <sz val="11"/>
        <rFont val="Calibri"/>
        <family val="2"/>
        <charset val="161"/>
        <scheme val="minor"/>
      </rPr>
      <t xml:space="preserve">vessels*16sacch </t>
    </r>
    <r>
      <rPr>
        <b/>
        <sz val="11"/>
        <color rgb="FFFF0000"/>
        <rFont val="Calibri"/>
        <family val="2"/>
        <charset val="161"/>
        <scheme val="minor"/>
      </rPr>
      <t>- at 75% of S1</t>
    </r>
  </si>
  <si>
    <r>
      <rPr>
        <b/>
        <sz val="11"/>
        <rFont val="Calibri"/>
        <family val="2"/>
        <charset val="161"/>
        <scheme val="minor"/>
      </rPr>
      <t>FERMENTERS*50</t>
    </r>
    <r>
      <rPr>
        <b/>
        <sz val="11"/>
        <color rgb="FFFF0000"/>
        <rFont val="Calibri"/>
        <family val="2"/>
        <charset val="161"/>
        <scheme val="minor"/>
      </rPr>
      <t xml:space="preserve"> - at 80% of S1</t>
    </r>
  </si>
  <si>
    <t>TOTAL  OPEX</t>
  </si>
  <si>
    <t>TOTAL SALES</t>
  </si>
  <si>
    <t>TOTAL  VARIABLE COSTS</t>
  </si>
  <si>
    <t>TOTAL VARIABLE &amp; FIXED COSTS &amp; OPEX</t>
  </si>
  <si>
    <t>TOTAL  SALES</t>
  </si>
  <si>
    <t>IT IS ASSUMED THAT WORKING CAPITAL WILL BE EMPLOYED AT THE END OF YEAR 0 (2020) AND AFTER COMPLETION OF THE PLANT, SAY IN DECEMBER 2020; HENCE THIS IS INCLUDED AND DISCOUNTED IN YEAR 1</t>
  </si>
  <si>
    <t>2. INFLATION</t>
  </si>
  <si>
    <t>DISCOUNT FACTOR</t>
  </si>
  <si>
    <t>divide all by</t>
  </si>
  <si>
    <r>
      <t>CURRENCY:</t>
    </r>
    <r>
      <rPr>
        <b/>
        <u/>
        <sz val="14"/>
        <color theme="1"/>
        <rFont val="Calibri"/>
        <family val="2"/>
        <charset val="161"/>
        <scheme val="minor"/>
      </rPr>
      <t xml:space="preserve"> </t>
    </r>
    <r>
      <rPr>
        <b/>
        <u/>
        <sz val="14"/>
        <color theme="1"/>
        <rFont val="Calibri"/>
        <family val="2"/>
        <charset val="161"/>
      </rPr>
      <t>£</t>
    </r>
    <r>
      <rPr>
        <b/>
        <u/>
        <sz val="14"/>
        <color theme="1"/>
        <rFont val="Calibri"/>
        <family val="2"/>
        <charset val="161"/>
        <scheme val="minor"/>
      </rPr>
      <t xml:space="preserve"> Millions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</si>
</sst>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_ ;[Red]\-#,##0.00\ "/>
    <numFmt numFmtId="165" formatCode="#,##0_ ;[Red]\-#,##0\ "/>
    <numFmt numFmtId="166" formatCode="0.0%"/>
    <numFmt numFmtId="167" formatCode="0.000"/>
  </numFmts>
  <fonts count="35" x14ac:knownFonts="1">
    <font>
      <sz val="11"/>
      <color theme="1"/>
      <name val="Calibri"/>
      <family val="2"/>
      <scheme val="minor"/>
    </font>
    <font>
      <b/>
      <sz val="11"/>
      <color theme="1"/>
      <name val="Calibri"/>
      <family val="2"/>
      <charset val="161"/>
      <scheme val="minor"/>
    </font>
    <font>
      <b/>
      <sz val="11"/>
      <name val="Calibri"/>
      <family val="2"/>
      <charset val="161"/>
      <scheme val="minor"/>
    </font>
    <font>
      <sz val="26"/>
      <color theme="1"/>
      <name val="Calibri"/>
      <family val="2"/>
      <scheme val="minor"/>
    </font>
    <font>
      <sz val="28"/>
      <color theme="1"/>
      <name val="Calibri"/>
      <family val="2"/>
      <scheme val="minor"/>
    </font>
    <font>
      <sz val="11"/>
      <color rgb="FFFF0000"/>
      <name val="Calibri"/>
      <family val="2"/>
      <scheme val="minor"/>
    </font>
    <font>
      <b/>
      <sz val="28"/>
      <color theme="1"/>
      <name val="Calibri"/>
      <family val="2"/>
      <charset val="161"/>
      <scheme val="minor"/>
    </font>
    <font>
      <b/>
      <sz val="22"/>
      <color theme="1"/>
      <name val="Calibri"/>
      <family val="2"/>
      <charset val="161"/>
      <scheme val="minor"/>
    </font>
    <font>
      <b/>
      <sz val="14"/>
      <color theme="1"/>
      <name val="Calibri"/>
      <family val="2"/>
      <charset val="161"/>
      <scheme val="minor"/>
    </font>
    <font>
      <sz val="11"/>
      <color theme="1"/>
      <name val="Calibri"/>
      <family val="2"/>
      <charset val="161"/>
      <scheme val="minor"/>
    </font>
    <font>
      <b/>
      <sz val="11"/>
      <color rgb="FFFF0000"/>
      <name val="Calibri"/>
      <family val="2"/>
      <charset val="161"/>
      <scheme val="minor"/>
    </font>
    <font>
      <i/>
      <sz val="11"/>
      <color theme="1"/>
      <name val="Calibri"/>
      <family val="2"/>
      <charset val="161"/>
      <scheme val="minor"/>
    </font>
    <font>
      <b/>
      <i/>
      <sz val="11"/>
      <color theme="1"/>
      <name val="Calibri"/>
      <family val="2"/>
      <charset val="161"/>
      <scheme val="minor"/>
    </font>
    <font>
      <sz val="8"/>
      <name val="Calibri"/>
      <family val="2"/>
      <scheme val="minor"/>
    </font>
    <font>
      <sz val="10"/>
      <color theme="1"/>
      <name val="Calibri"/>
      <family val="2"/>
      <scheme val="minor"/>
    </font>
    <font>
      <b/>
      <sz val="10"/>
      <color theme="1"/>
      <name val="Calibri"/>
      <family val="2"/>
      <charset val="161"/>
      <scheme val="minor"/>
    </font>
    <font>
      <b/>
      <sz val="11"/>
      <color theme="1"/>
      <name val="Calibri"/>
      <family val="2"/>
      <charset val="161"/>
    </font>
    <font>
      <sz val="11"/>
      <color theme="1"/>
      <name val="Calibri"/>
      <family val="2"/>
      <charset val="161"/>
    </font>
    <font>
      <b/>
      <sz val="10"/>
      <color theme="1"/>
      <name val="Calibri"/>
      <family val="2"/>
      <scheme val="minor"/>
    </font>
    <font>
      <b/>
      <sz val="20"/>
      <color theme="1"/>
      <name val="Calibri"/>
      <family val="2"/>
      <charset val="161"/>
      <scheme val="minor"/>
    </font>
    <font>
      <i/>
      <sz val="10"/>
      <color theme="1"/>
      <name val="Calibri"/>
      <family val="2"/>
      <charset val="161"/>
      <scheme val="minor"/>
    </font>
    <font>
      <i/>
      <sz val="11"/>
      <color rgb="FFFF0000"/>
      <name val="Calibri"/>
      <family val="2"/>
      <charset val="161"/>
      <scheme val="minor"/>
    </font>
    <font>
      <b/>
      <sz val="12"/>
      <color rgb="FFFF0000"/>
      <name val="Calibri"/>
      <family val="2"/>
      <charset val="161"/>
      <scheme val="minor"/>
    </font>
    <font>
      <sz val="26"/>
      <color theme="1"/>
      <name val="Calibri"/>
      <family val="2"/>
      <charset val="161"/>
      <scheme val="minor"/>
    </font>
    <font>
      <b/>
      <sz val="12"/>
      <color theme="1"/>
      <name val="Calibri"/>
      <family val="2"/>
      <charset val="161"/>
      <scheme val="minor"/>
    </font>
    <font>
      <b/>
      <sz val="16"/>
      <color theme="1"/>
      <name val="Calibri"/>
      <family val="2"/>
      <charset val="161"/>
      <scheme val="minor"/>
    </font>
    <font>
      <b/>
      <u/>
      <sz val="11"/>
      <color theme="1"/>
      <name val="Calibri"/>
      <family val="2"/>
      <charset val="161"/>
      <scheme val="minor"/>
    </font>
    <font>
      <b/>
      <sz val="9"/>
      <color theme="1"/>
      <name val="Calibri"/>
      <family val="2"/>
      <charset val="161"/>
      <scheme val="minor"/>
    </font>
    <font>
      <sz val="12"/>
      <color theme="1"/>
      <name val="Calibri"/>
      <family val="2"/>
    </font>
    <font>
      <sz val="12"/>
      <color theme="1"/>
      <name val="Calibri"/>
      <family val="2"/>
      <scheme val="minor"/>
    </font>
    <font>
      <b/>
      <i/>
      <sz val="11"/>
      <color rgb="FFFF0000"/>
      <name val="Calibri"/>
      <family val="2"/>
      <charset val="161"/>
      <scheme val="minor"/>
    </font>
    <font>
      <sz val="9"/>
      <color theme="1"/>
      <name val="Calibri"/>
      <family val="2"/>
      <charset val="161"/>
      <scheme val="minor"/>
    </font>
    <font>
      <b/>
      <u/>
      <sz val="12"/>
      <color theme="1"/>
      <name val="Calibri"/>
      <family val="2"/>
      <charset val="161"/>
      <scheme val="minor"/>
    </font>
    <font>
      <b/>
      <u/>
      <sz val="14"/>
      <color theme="1"/>
      <name val="Calibri"/>
      <family val="2"/>
      <charset val="161"/>
      <scheme val="minor"/>
    </font>
    <font>
      <b/>
      <u/>
      <sz val="14"/>
      <color theme="1"/>
      <name val="Calibri"/>
      <family val="2"/>
      <charset val="161"/>
    </font>
  </fonts>
  <fills count="11">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s>
  <borders count="1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double">
        <color indexed="64"/>
      </bottom>
      <diagonal/>
    </border>
  </borders>
  <cellStyleXfs count="1">
    <xf numFmtId="0" fontId="0" fillId="0" borderId="0"/>
  </cellStyleXfs>
  <cellXfs count="251">
    <xf numFmtId="0" fontId="0" fillId="0" borderId="0" xfId="0"/>
    <xf numFmtId="0" fontId="1" fillId="2" borderId="0" xfId="0" applyFont="1" applyFill="1"/>
    <xf numFmtId="0" fontId="1" fillId="3" borderId="0" xfId="0" applyFont="1" applyFill="1"/>
    <xf numFmtId="0" fontId="1" fillId="0" borderId="0" xfId="0" applyFont="1"/>
    <xf numFmtId="0" fontId="0" fillId="4" borderId="0" xfId="0" applyFill="1"/>
    <xf numFmtId="0" fontId="1" fillId="4" borderId="0" xfId="0" applyFont="1" applyFill="1"/>
    <xf numFmtId="0" fontId="2" fillId="4" borderId="0" xfId="0" applyFont="1" applyFill="1"/>
    <xf numFmtId="0" fontId="3" fillId="0" borderId="0" xfId="0" applyFont="1"/>
    <xf numFmtId="0" fontId="4" fillId="0" borderId="0" xfId="0" applyFont="1"/>
    <xf numFmtId="0" fontId="6" fillId="0" borderId="0" xfId="0" applyFont="1"/>
    <xf numFmtId="0" fontId="7" fillId="0" borderId="0" xfId="0" applyFont="1"/>
    <xf numFmtId="0" fontId="8" fillId="0" borderId="0" xfId="0" applyFont="1"/>
    <xf numFmtId="0" fontId="8" fillId="3" borderId="0" xfId="0" applyFont="1" applyFill="1"/>
    <xf numFmtId="0" fontId="9" fillId="0" borderId="0" xfId="0" applyFont="1"/>
    <xf numFmtId="0" fontId="0" fillId="5" borderId="0" xfId="0" applyFill="1"/>
    <xf numFmtId="164" fontId="0" fillId="0" borderId="0" xfId="0" applyNumberFormat="1"/>
    <xf numFmtId="164" fontId="8" fillId="3" borderId="0" xfId="0" applyNumberFormat="1" applyFont="1" applyFill="1"/>
    <xf numFmtId="4" fontId="0" fillId="0" borderId="0" xfId="0" applyNumberFormat="1"/>
    <xf numFmtId="0" fontId="0" fillId="0" borderId="0" xfId="0" applyAlignment="1">
      <alignment horizontal="center"/>
    </xf>
    <xf numFmtId="0" fontId="5" fillId="0" borderId="0" xfId="0" applyFont="1"/>
    <xf numFmtId="0" fontId="10" fillId="0" borderId="0" xfId="0" applyFont="1"/>
    <xf numFmtId="4" fontId="0" fillId="0" borderId="1" xfId="0" applyNumberFormat="1" applyBorder="1"/>
    <xf numFmtId="4" fontId="1" fillId="0" borderId="0" xfId="0" applyNumberFormat="1" applyFont="1"/>
    <xf numFmtId="4" fontId="1" fillId="0" borderId="1" xfId="0" applyNumberFormat="1" applyFont="1" applyBorder="1"/>
    <xf numFmtId="10" fontId="1" fillId="0" borderId="0" xfId="0" applyNumberFormat="1" applyFont="1" applyAlignment="1">
      <alignment horizontal="center"/>
    </xf>
    <xf numFmtId="10" fontId="1" fillId="0" borderId="1" xfId="0" applyNumberFormat="1" applyFont="1" applyBorder="1" applyAlignment="1">
      <alignment horizontal="center"/>
    </xf>
    <xf numFmtId="10" fontId="12" fillId="0" borderId="0" xfId="0" applyNumberFormat="1" applyFont="1" applyAlignment="1">
      <alignment horizontal="center"/>
    </xf>
    <xf numFmtId="10" fontId="12" fillId="0" borderId="1" xfId="0" applyNumberFormat="1" applyFont="1" applyBorder="1" applyAlignment="1">
      <alignment horizontal="center"/>
    </xf>
    <xf numFmtId="0" fontId="0" fillId="0" borderId="0" xfId="0" applyAlignment="1">
      <alignment vertical="center" wrapText="1"/>
    </xf>
    <xf numFmtId="0" fontId="0" fillId="4" borderId="0" xfId="0" applyFill="1" applyAlignment="1">
      <alignment vertical="center" wrapText="1"/>
    </xf>
    <xf numFmtId="0" fontId="1" fillId="4" borderId="0" xfId="0" applyFont="1" applyFill="1" applyAlignment="1">
      <alignment vertical="center" wrapText="1"/>
    </xf>
    <xf numFmtId="0" fontId="1" fillId="4" borderId="0" xfId="0" applyFont="1" applyFill="1" applyAlignment="1">
      <alignment horizontal="center" vertical="center" wrapText="1"/>
    </xf>
    <xf numFmtId="10" fontId="12" fillId="4" borderId="0" xfId="0" applyNumberFormat="1" applyFont="1" applyFill="1" applyAlignment="1">
      <alignment horizontal="center" vertical="center" wrapText="1"/>
    </xf>
    <xf numFmtId="0" fontId="2" fillId="4" borderId="0" xfId="0" applyFont="1" applyFill="1" applyAlignment="1">
      <alignment vertical="center" wrapText="1"/>
    </xf>
    <xf numFmtId="0" fontId="0" fillId="0" borderId="0" xfId="0" applyAlignment="1">
      <alignment horizontal="right"/>
    </xf>
    <xf numFmtId="0" fontId="1" fillId="4" borderId="0" xfId="0" applyFont="1" applyFill="1" applyAlignment="1">
      <alignment horizontal="right" vertical="center" wrapText="1"/>
    </xf>
    <xf numFmtId="4" fontId="0" fillId="0" borderId="0" xfId="0" applyNumberFormat="1" applyAlignment="1">
      <alignment horizontal="right"/>
    </xf>
    <xf numFmtId="4" fontId="0" fillId="0" borderId="1" xfId="0" applyNumberFormat="1" applyBorder="1" applyAlignment="1">
      <alignment horizontal="right"/>
    </xf>
    <xf numFmtId="4" fontId="1" fillId="0" borderId="0" xfId="0" applyNumberFormat="1" applyFont="1" applyAlignment="1">
      <alignment horizontal="right"/>
    </xf>
    <xf numFmtId="4" fontId="11" fillId="0" borderId="0" xfId="0" applyNumberFormat="1" applyFont="1" applyAlignment="1">
      <alignment horizontal="right"/>
    </xf>
    <xf numFmtId="0" fontId="0" fillId="0" borderId="0" xfId="0" applyFill="1"/>
    <xf numFmtId="0" fontId="0" fillId="0" borderId="0" xfId="0" applyFill="1" applyAlignment="1">
      <alignment vertical="center" wrapText="1"/>
    </xf>
    <xf numFmtId="4" fontId="0" fillId="0" borderId="0" xfId="0" applyNumberFormat="1" applyFill="1" applyAlignment="1">
      <alignment horizontal="right"/>
    </xf>
    <xf numFmtId="0" fontId="1" fillId="0" borderId="0" xfId="0" applyFont="1" applyFill="1"/>
    <xf numFmtId="10" fontId="12" fillId="0" borderId="0" xfId="0" applyNumberFormat="1" applyFont="1" applyFill="1" applyAlignment="1">
      <alignment horizontal="center" vertical="center" wrapText="1"/>
    </xf>
    <xf numFmtId="10" fontId="12" fillId="0" borderId="0" xfId="0" applyNumberFormat="1" applyFont="1" applyFill="1"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1" fillId="2" borderId="2" xfId="0" applyFont="1" applyFill="1" applyBorder="1"/>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xf numFmtId="0" fontId="0" fillId="0" borderId="0" xfId="0" applyBorder="1" applyAlignment="1">
      <alignment horizontal="center"/>
    </xf>
    <xf numFmtId="0" fontId="1" fillId="2" borderId="6" xfId="0" applyFont="1" applyFill="1" applyBorder="1" applyAlignment="1">
      <alignment horizontal="center"/>
    </xf>
    <xf numFmtId="0" fontId="1" fillId="2" borderId="7" xfId="0" applyFont="1" applyFill="1" applyBorder="1"/>
    <xf numFmtId="0" fontId="0" fillId="0" borderId="8" xfId="0" applyBorder="1" applyAlignment="1">
      <alignment horizontal="center"/>
    </xf>
    <xf numFmtId="0" fontId="1" fillId="2" borderId="9" xfId="0" applyFont="1" applyFill="1" applyBorder="1" applyAlignment="1">
      <alignment horizontal="center"/>
    </xf>
    <xf numFmtId="0" fontId="1" fillId="3" borderId="2" xfId="0" applyFont="1" applyFill="1" applyBorder="1"/>
    <xf numFmtId="0" fontId="1" fillId="3" borderId="3" xfId="0" applyFont="1" applyFill="1" applyBorder="1" applyAlignment="1">
      <alignment horizontal="center"/>
    </xf>
    <xf numFmtId="0" fontId="0" fillId="0" borderId="4" xfId="0" applyBorder="1" applyAlignment="1">
      <alignment horizontal="center"/>
    </xf>
    <xf numFmtId="0" fontId="0" fillId="0" borderId="5" xfId="0" applyBorder="1"/>
    <xf numFmtId="0" fontId="0" fillId="0" borderId="6" xfId="0" applyBorder="1" applyAlignment="1">
      <alignment horizontal="center"/>
    </xf>
    <xf numFmtId="0" fontId="1" fillId="2" borderId="0" xfId="0" applyFont="1" applyFill="1" applyBorder="1" applyAlignment="1">
      <alignment horizontal="center"/>
    </xf>
    <xf numFmtId="0" fontId="0" fillId="0" borderId="9" xfId="0" applyBorder="1" applyAlignment="1">
      <alignment horizontal="center"/>
    </xf>
    <xf numFmtId="0" fontId="1" fillId="0" borderId="0" xfId="0" applyFont="1" applyAlignment="1">
      <alignment horizontal="left"/>
    </xf>
    <xf numFmtId="0" fontId="1" fillId="6" borderId="5" xfId="0" applyFont="1" applyFill="1" applyBorder="1"/>
    <xf numFmtId="0" fontId="1" fillId="6" borderId="2" xfId="0" applyFont="1" applyFill="1" applyBorder="1"/>
    <xf numFmtId="0" fontId="1" fillId="6" borderId="7" xfId="0" applyFont="1" applyFill="1" applyBorder="1"/>
    <xf numFmtId="10" fontId="1" fillId="0" borderId="1" xfId="0" applyNumberFormat="1" applyFont="1" applyFill="1" applyBorder="1"/>
    <xf numFmtId="10" fontId="1" fillId="0" borderId="0" xfId="0" applyNumberFormat="1" applyFont="1" applyFill="1" applyBorder="1"/>
    <xf numFmtId="4" fontId="1" fillId="0" borderId="0" xfId="0" applyNumberFormat="1" applyFont="1" applyFill="1" applyBorder="1" applyAlignment="1">
      <alignment horizontal="right"/>
    </xf>
    <xf numFmtId="10" fontId="9" fillId="0" borderId="0" xfId="0" applyNumberFormat="1" applyFont="1" applyFill="1" applyBorder="1"/>
    <xf numFmtId="0" fontId="0" fillId="0" borderId="2" xfId="0" applyFill="1" applyBorder="1" applyAlignment="1">
      <alignment horizontal="center" vertical="center" wrapText="1"/>
    </xf>
    <xf numFmtId="0" fontId="1" fillId="3" borderId="3" xfId="0" applyFont="1" applyFill="1" applyBorder="1"/>
    <xf numFmtId="0" fontId="1" fillId="0" borderId="4" xfId="0" applyFont="1" applyFill="1" applyBorder="1" applyAlignment="1">
      <alignment horizontal="right" vertical="center" wrapText="1"/>
    </xf>
    <xf numFmtId="0" fontId="1" fillId="0" borderId="5" xfId="0" applyFont="1" applyFill="1" applyBorder="1" applyAlignment="1">
      <alignment horizontal="center"/>
    </xf>
    <xf numFmtId="0" fontId="1" fillId="0" borderId="0" xfId="0" applyFont="1" applyBorder="1"/>
    <xf numFmtId="0" fontId="1" fillId="0" borderId="0" xfId="0" applyFont="1" applyFill="1" applyBorder="1"/>
    <xf numFmtId="0" fontId="1" fillId="0" borderId="7" xfId="0" applyFont="1" applyFill="1" applyBorder="1" applyAlignment="1">
      <alignment horizontal="center"/>
    </xf>
    <xf numFmtId="0" fontId="1" fillId="0" borderId="8" xfId="0" applyFont="1" applyFill="1" applyBorder="1"/>
    <xf numFmtId="10" fontId="1" fillId="0" borderId="6" xfId="0" applyNumberFormat="1" applyFont="1" applyFill="1" applyBorder="1"/>
    <xf numFmtId="10" fontId="1" fillId="0" borderId="6" xfId="0" applyNumberFormat="1" applyFont="1" applyFill="1" applyBorder="1" applyAlignment="1">
      <alignment horizontal="right"/>
    </xf>
    <xf numFmtId="10" fontId="9" fillId="0" borderId="8" xfId="0" applyNumberFormat="1" applyFont="1" applyFill="1" applyBorder="1"/>
    <xf numFmtId="10" fontId="1" fillId="0" borderId="8" xfId="0" applyNumberFormat="1" applyFont="1" applyFill="1" applyBorder="1"/>
    <xf numFmtId="10" fontId="1" fillId="0" borderId="9" xfId="0" applyNumberFormat="1" applyFont="1" applyFill="1" applyBorder="1" applyAlignment="1">
      <alignment horizontal="right"/>
    </xf>
    <xf numFmtId="0" fontId="1" fillId="3" borderId="4" xfId="0" applyFont="1" applyFill="1" applyBorder="1"/>
    <xf numFmtId="10" fontId="9" fillId="0" borderId="6" xfId="0" applyNumberFormat="1" applyFont="1" applyFill="1" applyBorder="1"/>
    <xf numFmtId="0" fontId="12" fillId="0" borderId="0" xfId="0" applyFont="1" applyFill="1" applyAlignment="1">
      <alignment horizontal="right"/>
    </xf>
    <xf numFmtId="0" fontId="12" fillId="0" borderId="4" xfId="0" applyFont="1" applyFill="1" applyBorder="1" applyAlignment="1">
      <alignment horizontal="right" vertical="center" wrapText="1"/>
    </xf>
    <xf numFmtId="4" fontId="12" fillId="0" borderId="0" xfId="0" applyNumberFormat="1" applyFont="1" applyFill="1" applyBorder="1" applyAlignment="1">
      <alignment horizontal="right"/>
    </xf>
    <xf numFmtId="0" fontId="12" fillId="0" borderId="0" xfId="0" applyFont="1" applyFill="1" applyAlignment="1">
      <alignment horizontal="right" vertical="center" wrapText="1"/>
    </xf>
    <xf numFmtId="10" fontId="12" fillId="0" borderId="0" xfId="0" applyNumberFormat="1" applyFont="1" applyFill="1"/>
    <xf numFmtId="10" fontId="12" fillId="0" borderId="0" xfId="0" applyNumberFormat="1" applyFont="1" applyFill="1" applyAlignment="1">
      <alignment horizontal="right"/>
    </xf>
    <xf numFmtId="10" fontId="9" fillId="0" borderId="1" xfId="0" applyNumberFormat="1" applyFont="1" applyFill="1" applyBorder="1"/>
    <xf numFmtId="10" fontId="9" fillId="0" borderId="11" xfId="0" applyNumberFormat="1" applyFont="1" applyFill="1" applyBorder="1"/>
    <xf numFmtId="10" fontId="12" fillId="0" borderId="8" xfId="0" applyNumberFormat="1" applyFont="1" applyFill="1" applyBorder="1"/>
    <xf numFmtId="10" fontId="12" fillId="0" borderId="9" xfId="0" applyNumberFormat="1" applyFont="1" applyFill="1" applyBorder="1"/>
    <xf numFmtId="0" fontId="15" fillId="7" borderId="3" xfId="0" applyFont="1" applyFill="1" applyBorder="1" applyAlignment="1">
      <alignment vertical="center" wrapText="1"/>
    </xf>
    <xf numFmtId="0" fontId="1" fillId="7" borderId="3" xfId="0" applyFont="1" applyFill="1" applyBorder="1" applyAlignment="1">
      <alignment vertical="center" wrapText="1"/>
    </xf>
    <xf numFmtId="0" fontId="0" fillId="0" borderId="7" xfId="0" applyFill="1" applyBorder="1" applyAlignment="1">
      <alignment horizontal="center"/>
    </xf>
    <xf numFmtId="0" fontId="0" fillId="0" borderId="8" xfId="0" applyFill="1" applyBorder="1"/>
    <xf numFmtId="0" fontId="1" fillId="8" borderId="3" xfId="0" applyFont="1" applyFill="1" applyBorder="1" applyAlignment="1">
      <alignment vertical="center" wrapText="1"/>
    </xf>
    <xf numFmtId="10" fontId="11" fillId="0" borderId="0" xfId="0" applyNumberFormat="1" applyFont="1" applyAlignment="1">
      <alignment horizontal="center"/>
    </xf>
    <xf numFmtId="0" fontId="4" fillId="0" borderId="2" xfId="0" applyFont="1" applyBorder="1"/>
    <xf numFmtId="0" fontId="0" fillId="0" borderId="3" xfId="0" applyBorder="1"/>
    <xf numFmtId="10" fontId="11" fillId="0" borderId="4" xfId="0" applyNumberFormat="1" applyFont="1" applyBorder="1" applyAlignment="1">
      <alignment horizontal="center"/>
    </xf>
    <xf numFmtId="0" fontId="1" fillId="4" borderId="5" xfId="0" applyFont="1" applyFill="1" applyBorder="1"/>
    <xf numFmtId="0" fontId="17" fillId="0" borderId="0" xfId="0" applyFont="1" applyBorder="1" applyAlignment="1">
      <alignment horizontal="right"/>
    </xf>
    <xf numFmtId="10" fontId="11" fillId="0" borderId="6" xfId="0" applyNumberFormat="1" applyFont="1" applyBorder="1" applyAlignment="1">
      <alignment horizontal="center"/>
    </xf>
    <xf numFmtId="0" fontId="1" fillId="0" borderId="5" xfId="0" applyFont="1" applyBorder="1"/>
    <xf numFmtId="4" fontId="0" fillId="0" borderId="0" xfId="0" applyNumberFormat="1" applyBorder="1"/>
    <xf numFmtId="0" fontId="0" fillId="0" borderId="7" xfId="0" applyBorder="1"/>
    <xf numFmtId="4" fontId="0" fillId="0" borderId="8" xfId="0" applyNumberFormat="1" applyBorder="1"/>
    <xf numFmtId="10" fontId="11" fillId="0" borderId="9" xfId="0" applyNumberFormat="1" applyFont="1" applyBorder="1" applyAlignment="1">
      <alignment horizontal="center"/>
    </xf>
    <xf numFmtId="1" fontId="0" fillId="0" borderId="0" xfId="0" applyNumberFormat="1" applyAlignment="1">
      <alignment horizontal="center"/>
    </xf>
    <xf numFmtId="1" fontId="14" fillId="4" borderId="0" xfId="0" applyNumberFormat="1" applyFont="1" applyFill="1" applyAlignment="1">
      <alignment horizontal="center"/>
    </xf>
    <xf numFmtId="1" fontId="1" fillId="0" borderId="0" xfId="0" applyNumberFormat="1" applyFont="1" applyAlignment="1">
      <alignment horizontal="center"/>
    </xf>
    <xf numFmtId="0" fontId="0" fillId="0" borderId="1" xfId="0" applyBorder="1"/>
    <xf numFmtId="10" fontId="0" fillId="4" borderId="0" xfId="0" applyNumberFormat="1" applyFill="1" applyAlignment="1">
      <alignment horizontal="center"/>
    </xf>
    <xf numFmtId="0" fontId="1" fillId="0" borderId="0" xfId="0" applyFont="1" applyAlignment="1">
      <alignment horizontal="right"/>
    </xf>
    <xf numFmtId="165" fontId="0" fillId="0" borderId="0" xfId="0" applyNumberFormat="1" applyAlignment="1">
      <alignment horizontal="right"/>
    </xf>
    <xf numFmtId="165" fontId="0" fillId="0" borderId="0" xfId="0" applyNumberFormat="1" applyAlignment="1">
      <alignment horizontal="center"/>
    </xf>
    <xf numFmtId="165" fontId="0" fillId="4" borderId="0" xfId="0" applyNumberFormat="1" applyFill="1" applyAlignment="1">
      <alignment horizontal="center"/>
    </xf>
    <xf numFmtId="165" fontId="1" fillId="0" borderId="0" xfId="0" applyNumberFormat="1" applyFont="1" applyAlignment="1">
      <alignment horizontal="center"/>
    </xf>
    <xf numFmtId="165" fontId="1" fillId="0" borderId="0" xfId="0" applyNumberFormat="1" applyFont="1"/>
    <xf numFmtId="165" fontId="0" fillId="0" borderId="1" xfId="0" applyNumberFormat="1" applyBorder="1" applyAlignment="1">
      <alignment horizontal="center"/>
    </xf>
    <xf numFmtId="165" fontId="1" fillId="0" borderId="10" xfId="0" applyNumberFormat="1" applyFont="1" applyBorder="1"/>
    <xf numFmtId="165" fontId="1" fillId="0" borderId="1" xfId="0" applyNumberFormat="1" applyFont="1" applyBorder="1" applyAlignment="1">
      <alignment horizontal="center"/>
    </xf>
    <xf numFmtId="0" fontId="16" fillId="0" borderId="0" xfId="0" applyFont="1" applyAlignment="1">
      <alignment horizontal="right"/>
    </xf>
    <xf numFmtId="165" fontId="1" fillId="0" borderId="0" xfId="0" applyNumberFormat="1" applyFont="1" applyAlignment="1">
      <alignment horizontal="right"/>
    </xf>
    <xf numFmtId="0" fontId="19" fillId="0" borderId="0" xfId="0" applyFont="1"/>
    <xf numFmtId="3" fontId="1" fillId="0" borderId="0" xfId="0" applyNumberFormat="1" applyFont="1" applyFill="1" applyBorder="1"/>
    <xf numFmtId="3" fontId="12" fillId="0" borderId="6" xfId="0" applyNumberFormat="1" applyFont="1" applyFill="1" applyBorder="1" applyAlignment="1">
      <alignment horizontal="right"/>
    </xf>
    <xf numFmtId="3" fontId="1" fillId="0" borderId="1" xfId="0" applyNumberFormat="1" applyFont="1" applyFill="1" applyBorder="1"/>
    <xf numFmtId="3" fontId="12" fillId="0" borderId="11" xfId="0" applyNumberFormat="1" applyFont="1" applyFill="1" applyBorder="1" applyAlignment="1">
      <alignment horizontal="right"/>
    </xf>
    <xf numFmtId="3" fontId="12" fillId="0" borderId="12" xfId="0" applyNumberFormat="1" applyFont="1" applyFill="1" applyBorder="1" applyAlignment="1">
      <alignment horizontal="right"/>
    </xf>
    <xf numFmtId="3" fontId="12" fillId="0" borderId="13" xfId="0" applyNumberFormat="1" applyFont="1" applyFill="1" applyBorder="1" applyAlignment="1">
      <alignment horizontal="right"/>
    </xf>
    <xf numFmtId="3" fontId="1" fillId="0" borderId="0" xfId="0" applyNumberFormat="1" applyFont="1" applyFill="1"/>
    <xf numFmtId="3" fontId="12" fillId="0" borderId="0" xfId="0" applyNumberFormat="1" applyFont="1" applyFill="1" applyAlignment="1">
      <alignment horizontal="right"/>
    </xf>
    <xf numFmtId="3" fontId="1" fillId="0" borderId="8" xfId="0" applyNumberFormat="1" applyFont="1" applyFill="1" applyBorder="1"/>
    <xf numFmtId="3" fontId="12" fillId="0" borderId="9" xfId="0" applyNumberFormat="1" applyFont="1" applyFill="1" applyBorder="1" applyAlignment="1">
      <alignment horizontal="right"/>
    </xf>
    <xf numFmtId="3" fontId="0" fillId="0" borderId="0" xfId="0" applyNumberFormat="1" applyAlignment="1">
      <alignment horizontal="right"/>
    </xf>
    <xf numFmtId="3" fontId="1" fillId="0" borderId="0" xfId="0" applyNumberFormat="1" applyFont="1"/>
    <xf numFmtId="3" fontId="1" fillId="4" borderId="0" xfId="0" applyNumberFormat="1" applyFont="1" applyFill="1" applyAlignment="1">
      <alignment horizontal="right" vertical="center" wrapText="1"/>
    </xf>
    <xf numFmtId="3" fontId="1" fillId="4" borderId="0" xfId="0" applyNumberFormat="1" applyFont="1" applyFill="1" applyAlignment="1">
      <alignment horizontal="center" vertical="center" wrapText="1"/>
    </xf>
    <xf numFmtId="3" fontId="0" fillId="0" borderId="0" xfId="0" applyNumberFormat="1" applyFill="1" applyAlignment="1">
      <alignment horizontal="right"/>
    </xf>
    <xf numFmtId="3" fontId="0" fillId="0" borderId="0" xfId="0" applyNumberFormat="1"/>
    <xf numFmtId="3" fontId="0" fillId="0" borderId="1" xfId="0" applyNumberFormat="1" applyBorder="1" applyAlignment="1">
      <alignment horizontal="right"/>
    </xf>
    <xf numFmtId="3" fontId="1" fillId="0" borderId="1" xfId="0" applyNumberFormat="1" applyFont="1" applyBorder="1"/>
    <xf numFmtId="3" fontId="1" fillId="0" borderId="0" xfId="0" applyNumberFormat="1" applyFont="1" applyAlignment="1">
      <alignment horizontal="right"/>
    </xf>
    <xf numFmtId="3" fontId="11" fillId="0" borderId="0" xfId="0" applyNumberFormat="1" applyFont="1" applyAlignment="1">
      <alignment horizontal="right"/>
    </xf>
    <xf numFmtId="9" fontId="14" fillId="0" borderId="0" xfId="0" applyNumberFormat="1" applyFont="1" applyAlignment="1">
      <alignment horizontal="center"/>
    </xf>
    <xf numFmtId="9" fontId="15" fillId="0" borderId="0" xfId="0" applyNumberFormat="1" applyFont="1" applyAlignment="1">
      <alignment horizontal="center"/>
    </xf>
    <xf numFmtId="9" fontId="18" fillId="0" borderId="0" xfId="0" applyNumberFormat="1" applyFont="1" applyAlignment="1">
      <alignment horizontal="center"/>
    </xf>
    <xf numFmtId="3" fontId="0" fillId="0" borderId="1" xfId="0" applyNumberFormat="1" applyBorder="1"/>
    <xf numFmtId="3" fontId="0" fillId="0" borderId="0" xfId="0" applyNumberFormat="1" applyBorder="1"/>
    <xf numFmtId="3" fontId="1" fillId="0" borderId="10" xfId="0" applyNumberFormat="1" applyFont="1" applyBorder="1"/>
    <xf numFmtId="3" fontId="1" fillId="0" borderId="14" xfId="0" applyNumberFormat="1" applyFont="1" applyBorder="1"/>
    <xf numFmtId="165" fontId="0" fillId="0" borderId="8" xfId="0" applyNumberFormat="1" applyBorder="1" applyAlignment="1">
      <alignment horizontal="center"/>
    </xf>
    <xf numFmtId="3" fontId="0" fillId="0" borderId="3" xfId="0" applyNumberFormat="1" applyBorder="1" applyAlignment="1">
      <alignment horizontal="center"/>
    </xf>
    <xf numFmtId="3" fontId="0" fillId="0" borderId="0" xfId="0" applyNumberFormat="1" applyBorder="1" applyAlignment="1">
      <alignment horizontal="center"/>
    </xf>
    <xf numFmtId="3" fontId="1" fillId="0" borderId="0" xfId="0" applyNumberFormat="1" applyFont="1" applyAlignment="1">
      <alignment horizontal="left"/>
    </xf>
    <xf numFmtId="0" fontId="9" fillId="0" borderId="0" xfId="0" applyFont="1" applyFill="1"/>
    <xf numFmtId="0" fontId="8" fillId="0" borderId="0" xfId="0" applyFont="1" applyFill="1"/>
    <xf numFmtId="9" fontId="14" fillId="0" borderId="0" xfId="0" applyNumberFormat="1" applyFont="1" applyFill="1" applyAlignment="1">
      <alignment horizontal="center"/>
    </xf>
    <xf numFmtId="9" fontId="18" fillId="0" borderId="0" xfId="0" applyNumberFormat="1" applyFont="1" applyFill="1" applyAlignment="1">
      <alignment horizontal="center"/>
    </xf>
    <xf numFmtId="9" fontId="15" fillId="0" borderId="0" xfId="0" applyNumberFormat="1" applyFont="1" applyFill="1" applyAlignment="1">
      <alignment horizontal="center"/>
    </xf>
    <xf numFmtId="3" fontId="1" fillId="0" borderId="0" xfId="0" applyNumberFormat="1" applyFont="1" applyBorder="1"/>
    <xf numFmtId="9" fontId="20" fillId="0" borderId="0" xfId="0" applyNumberFormat="1" applyFont="1" applyFill="1" applyAlignment="1">
      <alignment horizontal="center"/>
    </xf>
    <xf numFmtId="9" fontId="11" fillId="0" borderId="0" xfId="0" applyNumberFormat="1" applyFont="1"/>
    <xf numFmtId="9" fontId="15" fillId="0" borderId="0" xfId="0" applyNumberFormat="1" applyFont="1" applyFill="1" applyBorder="1" applyAlignment="1">
      <alignment horizontal="center"/>
    </xf>
    <xf numFmtId="0" fontId="0" fillId="0" borderId="0" xfId="0" applyBorder="1"/>
    <xf numFmtId="9" fontId="11" fillId="0" borderId="0" xfId="0" applyNumberFormat="1" applyFont="1" applyFill="1"/>
    <xf numFmtId="1" fontId="1" fillId="0" borderId="0" xfId="0" applyNumberFormat="1" applyFont="1"/>
    <xf numFmtId="1" fontId="1" fillId="0" borderId="0" xfId="0" applyNumberFormat="1" applyFont="1" applyFill="1"/>
    <xf numFmtId="1" fontId="1" fillId="0" borderId="0" xfId="0" applyNumberFormat="1" applyFont="1" applyFill="1" applyAlignment="1">
      <alignment horizontal="right"/>
    </xf>
    <xf numFmtId="1" fontId="1" fillId="0" borderId="0" xfId="0" applyNumberFormat="1" applyFont="1" applyAlignment="1">
      <alignment horizontal="right"/>
    </xf>
    <xf numFmtId="9" fontId="21" fillId="0" borderId="0" xfId="0" applyNumberFormat="1" applyFont="1"/>
    <xf numFmtId="9" fontId="14" fillId="0" borderId="0" xfId="0" applyNumberFormat="1" applyFont="1" applyFill="1" applyBorder="1" applyAlignment="1">
      <alignment horizontal="center"/>
    </xf>
    <xf numFmtId="165" fontId="1" fillId="0" borderId="0" xfId="0" applyNumberFormat="1" applyFont="1" applyFill="1"/>
    <xf numFmtId="9" fontId="1" fillId="0" borderId="0" xfId="0" applyNumberFormat="1" applyFont="1" applyFill="1"/>
    <xf numFmtId="9" fontId="0" fillId="0" borderId="0" xfId="0" applyNumberFormat="1" applyFill="1" applyAlignment="1">
      <alignment horizontal="center"/>
    </xf>
    <xf numFmtId="9" fontId="1" fillId="0" borderId="0" xfId="0" applyNumberFormat="1" applyFont="1" applyFill="1" applyAlignment="1">
      <alignment horizontal="center"/>
    </xf>
    <xf numFmtId="9" fontId="11" fillId="0" borderId="0" xfId="0" applyNumberFormat="1" applyFont="1" applyFill="1" applyAlignment="1">
      <alignment horizontal="center"/>
    </xf>
    <xf numFmtId="9" fontId="9" fillId="0" borderId="0" xfId="0" applyNumberFormat="1" applyFont="1" applyFill="1" applyAlignment="1">
      <alignment horizontal="center"/>
    </xf>
    <xf numFmtId="9" fontId="8" fillId="0" borderId="0" xfId="0" applyNumberFormat="1" applyFont="1" applyFill="1" applyAlignment="1">
      <alignment horizontal="center"/>
    </xf>
    <xf numFmtId="9" fontId="1" fillId="0" borderId="0" xfId="0" applyNumberFormat="1" applyFont="1"/>
    <xf numFmtId="165" fontId="1" fillId="0" borderId="0" xfId="0" applyNumberFormat="1" applyFont="1" applyFill="1" applyAlignment="1">
      <alignment horizontal="center"/>
    </xf>
    <xf numFmtId="165" fontId="15" fillId="0" borderId="0" xfId="0" applyNumberFormat="1" applyFont="1" applyFill="1" applyAlignment="1">
      <alignment horizontal="center"/>
    </xf>
    <xf numFmtId="2" fontId="1" fillId="0" borderId="0" xfId="0" applyNumberFormat="1" applyFont="1" applyFill="1"/>
    <xf numFmtId="165" fontId="9" fillId="0" borderId="1" xfId="0" applyNumberFormat="1" applyFont="1" applyBorder="1"/>
    <xf numFmtId="9" fontId="0" fillId="0" borderId="0" xfId="0" applyNumberFormat="1" applyAlignment="1">
      <alignment horizontal="center"/>
    </xf>
    <xf numFmtId="9" fontId="22" fillId="0" borderId="0" xfId="0" applyNumberFormat="1" applyFont="1" applyAlignment="1">
      <alignment horizontal="center"/>
    </xf>
    <xf numFmtId="165" fontId="9" fillId="0" borderId="0" xfId="0" applyNumberFormat="1" applyFont="1"/>
    <xf numFmtId="165" fontId="17" fillId="4" borderId="0" xfId="0" applyNumberFormat="1" applyFont="1" applyFill="1" applyAlignment="1">
      <alignment horizontal="right"/>
    </xf>
    <xf numFmtId="165" fontId="23" fillId="0" borderId="0" xfId="0" applyNumberFormat="1" applyFont="1"/>
    <xf numFmtId="165" fontId="21" fillId="0" borderId="0" xfId="0" applyNumberFormat="1" applyFont="1" applyAlignment="1">
      <alignment horizontal="right"/>
    </xf>
    <xf numFmtId="165" fontId="21" fillId="0" borderId="0" xfId="0" applyNumberFormat="1" applyFont="1" applyAlignment="1">
      <alignment horizontal="center"/>
    </xf>
    <xf numFmtId="165" fontId="9" fillId="0" borderId="0" xfId="0" applyNumberFormat="1" applyFont="1" applyBorder="1"/>
    <xf numFmtId="165" fontId="1" fillId="0" borderId="15" xfId="0" applyNumberFormat="1" applyFont="1" applyBorder="1"/>
    <xf numFmtId="165" fontId="0" fillId="0" borderId="1" xfId="0" applyNumberFormat="1" applyBorder="1" applyAlignment="1">
      <alignment horizontal="right"/>
    </xf>
    <xf numFmtId="165" fontId="1" fillId="0" borderId="1" xfId="0" applyNumberFormat="1" applyFont="1" applyBorder="1" applyAlignment="1">
      <alignment horizontal="right"/>
    </xf>
    <xf numFmtId="165" fontId="1" fillId="0" borderId="10" xfId="0" applyNumberFormat="1" applyFont="1" applyBorder="1" applyAlignment="1">
      <alignment horizontal="right"/>
    </xf>
    <xf numFmtId="0" fontId="0" fillId="3" borderId="0" xfId="0" applyFill="1"/>
    <xf numFmtId="165" fontId="1" fillId="0" borderId="0" xfId="0" applyNumberFormat="1" applyFont="1" applyBorder="1" applyAlignment="1">
      <alignment horizontal="right"/>
    </xf>
    <xf numFmtId="165" fontId="1" fillId="0" borderId="15" xfId="0" applyNumberFormat="1" applyFont="1" applyBorder="1" applyAlignment="1">
      <alignment horizontal="right"/>
    </xf>
    <xf numFmtId="0" fontId="0" fillId="9" borderId="0" xfId="0" applyFill="1"/>
    <xf numFmtId="0" fontId="1" fillId="9" borderId="0" xfId="0" applyFont="1" applyFill="1"/>
    <xf numFmtId="0" fontId="26" fillId="0" borderId="0" xfId="0" applyFont="1"/>
    <xf numFmtId="165" fontId="24" fillId="3" borderId="0" xfId="0" applyNumberFormat="1" applyFont="1" applyFill="1"/>
    <xf numFmtId="4" fontId="1" fillId="0" borderId="0" xfId="0" applyNumberFormat="1" applyFont="1" applyAlignment="1">
      <alignment horizontal="right" vertical="center" wrapText="1"/>
    </xf>
    <xf numFmtId="0" fontId="1" fillId="0" borderId="0" xfId="0" applyFont="1" applyAlignment="1">
      <alignment horizontal="right" vertical="center" wrapText="1"/>
    </xf>
    <xf numFmtId="0" fontId="0" fillId="3" borderId="0" xfId="0" applyFill="1" applyAlignment="1">
      <alignment vertical="center" wrapText="1"/>
    </xf>
    <xf numFmtId="0" fontId="24" fillId="0" borderId="0" xfId="0" applyFont="1" applyAlignment="1">
      <alignment horizontal="right"/>
    </xf>
    <xf numFmtId="0" fontId="8" fillId="0" borderId="0" xfId="0" applyFont="1" applyAlignment="1">
      <alignment horizontal="right"/>
    </xf>
    <xf numFmtId="3" fontId="28" fillId="0" borderId="0" xfId="0" applyNumberFormat="1" applyFont="1" applyAlignment="1">
      <alignment horizontal="right"/>
    </xf>
    <xf numFmtId="0" fontId="29" fillId="9" borderId="0" xfId="0" applyFont="1" applyFill="1"/>
    <xf numFmtId="165" fontId="8" fillId="3" borderId="0" xfId="0" applyNumberFormat="1" applyFont="1" applyFill="1" applyAlignment="1">
      <alignment vertical="center" wrapText="1"/>
    </xf>
    <xf numFmtId="3" fontId="28" fillId="0" borderId="0" xfId="0" applyNumberFormat="1" applyFont="1" applyAlignment="1">
      <alignment horizontal="right" vertical="center" wrapText="1"/>
    </xf>
    <xf numFmtId="0" fontId="29" fillId="9" borderId="0" xfId="0" applyFont="1" applyFill="1" applyAlignment="1">
      <alignment vertical="center" wrapText="1"/>
    </xf>
    <xf numFmtId="9" fontId="18" fillId="0" borderId="1" xfId="0" applyNumberFormat="1" applyFont="1" applyBorder="1" applyAlignment="1">
      <alignment horizontal="center"/>
    </xf>
    <xf numFmtId="3" fontId="25" fillId="0" borderId="1" xfId="0" applyNumberFormat="1" applyFont="1" applyBorder="1" applyAlignment="1">
      <alignment horizontal="right"/>
    </xf>
    <xf numFmtId="9" fontId="18" fillId="0" borderId="0" xfId="0" applyNumberFormat="1" applyFont="1" applyFill="1" applyAlignment="1">
      <alignment horizontal="center" vertical="center" wrapText="1"/>
    </xf>
    <xf numFmtId="0" fontId="19" fillId="0" borderId="0" xfId="0" applyFont="1" applyAlignment="1">
      <alignment horizontal="center"/>
    </xf>
    <xf numFmtId="165" fontId="27" fillId="0" borderId="0" xfId="0" applyNumberFormat="1" applyFont="1" applyFill="1" applyAlignment="1">
      <alignment horizontal="center" vertical="center" wrapText="1"/>
    </xf>
    <xf numFmtId="0" fontId="1" fillId="0" borderId="0" xfId="0" applyFont="1" applyAlignment="1">
      <alignment horizontal="center"/>
    </xf>
    <xf numFmtId="0" fontId="9" fillId="0" borderId="0" xfId="0" applyFont="1" applyAlignment="1">
      <alignment horizontal="center"/>
    </xf>
    <xf numFmtId="3" fontId="1" fillId="0" borderId="16" xfId="0" applyNumberFormat="1" applyFont="1" applyBorder="1"/>
    <xf numFmtId="0" fontId="27" fillId="0" borderId="0" xfId="0" applyFont="1" applyAlignment="1">
      <alignment horizontal="center" vertical="center" wrapText="1"/>
    </xf>
    <xf numFmtId="9" fontId="15" fillId="0" borderId="0" xfId="0" applyNumberFormat="1" applyFont="1" applyAlignment="1">
      <alignment horizontal="center" vertical="center" wrapText="1"/>
    </xf>
    <xf numFmtId="3" fontId="1" fillId="0" borderId="10" xfId="0" applyNumberFormat="1" applyFont="1" applyBorder="1" applyAlignment="1">
      <alignment vertical="center" wrapText="1"/>
    </xf>
    <xf numFmtId="0" fontId="0" fillId="9" borderId="0" xfId="0" applyFill="1" applyAlignment="1">
      <alignment vertical="center" wrapText="1"/>
    </xf>
    <xf numFmtId="166" fontId="14" fillId="0" borderId="0" xfId="0" applyNumberFormat="1" applyFont="1" applyAlignment="1">
      <alignment horizontal="right"/>
    </xf>
    <xf numFmtId="166" fontId="14" fillId="0" borderId="0" xfId="0" applyNumberFormat="1" applyFont="1" applyAlignment="1">
      <alignment horizontal="right" vertical="center" wrapText="1"/>
    </xf>
    <xf numFmtId="166" fontId="15" fillId="0" borderId="0" xfId="0" applyNumberFormat="1" applyFont="1" applyAlignment="1">
      <alignment horizontal="right"/>
    </xf>
    <xf numFmtId="166" fontId="15" fillId="0" borderId="0" xfId="0" applyNumberFormat="1" applyFont="1" applyAlignment="1">
      <alignment horizontal="center" vertical="center" wrapText="1"/>
    </xf>
    <xf numFmtId="0" fontId="31" fillId="0" borderId="0" xfId="0" applyFont="1" applyAlignment="1">
      <alignment horizontal="center"/>
    </xf>
    <xf numFmtId="9" fontId="31" fillId="0" borderId="0" xfId="0" applyNumberFormat="1" applyFont="1" applyAlignment="1">
      <alignment horizontal="center"/>
    </xf>
    <xf numFmtId="3" fontId="0" fillId="0" borderId="0" xfId="0" applyNumberFormat="1" applyFill="1" applyBorder="1"/>
    <xf numFmtId="0" fontId="0" fillId="0" borderId="1" xfId="0" applyBorder="1" applyAlignment="1">
      <alignment horizontal="center"/>
    </xf>
    <xf numFmtId="9" fontId="14" fillId="0" borderId="1" xfId="0" applyNumberFormat="1" applyFont="1" applyFill="1" applyBorder="1" applyAlignment="1">
      <alignment horizontal="center"/>
    </xf>
    <xf numFmtId="0" fontId="11" fillId="0" borderId="0" xfId="0" applyFont="1"/>
    <xf numFmtId="167" fontId="11" fillId="0" borderId="0" xfId="0" applyNumberFormat="1" applyFont="1"/>
    <xf numFmtId="0" fontId="12" fillId="0" borderId="0" xfId="0" applyFont="1" applyFill="1" applyAlignment="1">
      <alignment horizontal="left"/>
    </xf>
    <xf numFmtId="3" fontId="32" fillId="0" borderId="0" xfId="0" applyNumberFormat="1" applyFont="1" applyBorder="1" applyAlignment="1">
      <alignment horizontal="left"/>
    </xf>
    <xf numFmtId="3" fontId="32" fillId="0" borderId="0" xfId="0" applyNumberFormat="1" applyFont="1" applyAlignment="1">
      <alignment horizontal="left"/>
    </xf>
    <xf numFmtId="1" fontId="8" fillId="0" borderId="0" xfId="0" applyNumberFormat="1" applyFont="1"/>
    <xf numFmtId="3" fontId="33" fillId="0" borderId="0" xfId="0" applyNumberFormat="1" applyFont="1" applyAlignment="1">
      <alignment horizontal="left"/>
    </xf>
    <xf numFmtId="165" fontId="24" fillId="0" borderId="0" xfId="0" applyNumberFormat="1" applyFont="1" applyFill="1"/>
    <xf numFmtId="3" fontId="10" fillId="10" borderId="0" xfId="0" applyNumberFormat="1" applyFont="1" applyFill="1"/>
    <xf numFmtId="9" fontId="10" fillId="10" borderId="0" xfId="0" applyNumberFormat="1"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B2DD3-82EB-4008-B907-F7CC492B162A}">
  <sheetPr>
    <tabColor rgb="FFFF0000"/>
  </sheetPr>
  <dimension ref="A3:C17"/>
  <sheetViews>
    <sheetView workbookViewId="0">
      <selection activeCell="B10" sqref="B10"/>
    </sheetView>
  </sheetViews>
  <sheetFormatPr defaultRowHeight="15" x14ac:dyDescent="0.25"/>
  <cols>
    <col min="1" max="1" width="4.85546875" style="18" customWidth="1"/>
    <col min="2" max="2" width="119.28515625" bestFit="1" customWidth="1"/>
  </cols>
  <sheetData>
    <row r="3" spans="1:3" x14ac:dyDescent="0.25">
      <c r="A3" s="18">
        <v>1</v>
      </c>
      <c r="B3" s="20" t="s">
        <v>49</v>
      </c>
      <c r="C3" t="s">
        <v>238</v>
      </c>
    </row>
    <row r="4" spans="1:3" x14ac:dyDescent="0.25">
      <c r="A4" s="18">
        <f>A3+1</f>
        <v>2</v>
      </c>
      <c r="B4" s="19" t="s">
        <v>219</v>
      </c>
    </row>
    <row r="5" spans="1:3" x14ac:dyDescent="0.25">
      <c r="A5" s="18">
        <f t="shared" ref="A5:A17" si="0">A4+1</f>
        <v>3</v>
      </c>
      <c r="B5" t="s">
        <v>237</v>
      </c>
    </row>
    <row r="6" spans="1:3" x14ac:dyDescent="0.25">
      <c r="A6" s="18">
        <f t="shared" si="0"/>
        <v>4</v>
      </c>
      <c r="B6" t="s">
        <v>257</v>
      </c>
    </row>
    <row r="7" spans="1:3" x14ac:dyDescent="0.25">
      <c r="A7" s="18">
        <f t="shared" si="0"/>
        <v>5</v>
      </c>
      <c r="B7" t="s">
        <v>264</v>
      </c>
    </row>
    <row r="8" spans="1:3" x14ac:dyDescent="0.25">
      <c r="A8" s="18">
        <f t="shared" si="0"/>
        <v>6</v>
      </c>
    </row>
    <row r="9" spans="1:3" x14ac:dyDescent="0.25">
      <c r="A9" s="18">
        <f t="shared" si="0"/>
        <v>7</v>
      </c>
    </row>
    <row r="10" spans="1:3" x14ac:dyDescent="0.25">
      <c r="A10" s="18">
        <f t="shared" si="0"/>
        <v>8</v>
      </c>
    </row>
    <row r="11" spans="1:3" x14ac:dyDescent="0.25">
      <c r="A11" s="18">
        <f t="shared" si="0"/>
        <v>9</v>
      </c>
    </row>
    <row r="12" spans="1:3" x14ac:dyDescent="0.25">
      <c r="A12" s="18">
        <f t="shared" si="0"/>
        <v>10</v>
      </c>
    </row>
    <row r="13" spans="1:3" x14ac:dyDescent="0.25">
      <c r="A13" s="18">
        <f t="shared" si="0"/>
        <v>11</v>
      </c>
    </row>
    <row r="14" spans="1:3" x14ac:dyDescent="0.25">
      <c r="A14" s="18">
        <f t="shared" si="0"/>
        <v>12</v>
      </c>
    </row>
    <row r="15" spans="1:3" x14ac:dyDescent="0.25">
      <c r="A15" s="18">
        <f t="shared" si="0"/>
        <v>13</v>
      </c>
    </row>
    <row r="16" spans="1:3" x14ac:dyDescent="0.25">
      <c r="A16" s="18">
        <f t="shared" si="0"/>
        <v>14</v>
      </c>
    </row>
    <row r="17" spans="1:1" x14ac:dyDescent="0.25">
      <c r="A17" s="18">
        <f t="shared" si="0"/>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BDED4-0C34-4C13-BC2A-4536373455D3}">
  <sheetPr>
    <tabColor theme="1"/>
  </sheetPr>
  <dimension ref="B1:N75"/>
  <sheetViews>
    <sheetView topLeftCell="B27" zoomScale="82" zoomScaleNormal="82" workbookViewId="0">
      <selection activeCell="E45" sqref="E45"/>
    </sheetView>
  </sheetViews>
  <sheetFormatPr defaultRowHeight="15" x14ac:dyDescent="0.25"/>
  <cols>
    <col min="2" max="2" width="59" bestFit="1" customWidth="1"/>
    <col min="3" max="3" width="9.85546875" style="18" customWidth="1"/>
    <col min="4" max="4" width="6.42578125" style="151" customWidth="1"/>
    <col min="5" max="5" width="11.5703125" style="146" bestFit="1" customWidth="1"/>
    <col min="6" max="6" width="2.7109375" customWidth="1"/>
    <col min="7" max="7" width="6.42578125" style="151" customWidth="1"/>
    <col min="8" max="8" width="14.42578125" customWidth="1"/>
    <col min="9" max="9" width="8.140625" style="232" customWidth="1"/>
    <col min="10" max="10" width="12.85546875" bestFit="1" customWidth="1"/>
    <col min="13" max="13" width="9.5703125" bestFit="1" customWidth="1"/>
  </cols>
  <sheetData>
    <row r="1" spans="2:14" ht="21" customHeight="1" x14ac:dyDescent="0.25"/>
    <row r="2" spans="2:14" ht="26.25" x14ac:dyDescent="0.4">
      <c r="B2" s="130" t="s">
        <v>130</v>
      </c>
      <c r="C2" s="223"/>
      <c r="D2" s="220"/>
      <c r="E2" s="221" t="s">
        <v>298</v>
      </c>
      <c r="F2" s="206"/>
      <c r="G2" s="220"/>
      <c r="H2" s="221" t="s">
        <v>299</v>
      </c>
      <c r="I2" s="233" t="s">
        <v>321</v>
      </c>
    </row>
    <row r="3" spans="2:14" s="28" customFormat="1" ht="25.5" x14ac:dyDescent="0.25">
      <c r="B3" s="217" t="s">
        <v>177</v>
      </c>
      <c r="C3" s="224" t="s">
        <v>312</v>
      </c>
      <c r="D3" s="222" t="s">
        <v>311</v>
      </c>
      <c r="E3" s="218" t="s">
        <v>211</v>
      </c>
      <c r="F3" s="219"/>
      <c r="G3" s="222" t="s">
        <v>311</v>
      </c>
      <c r="H3" s="218" t="s">
        <v>211</v>
      </c>
      <c r="I3" s="233" t="s">
        <v>322</v>
      </c>
    </row>
    <row r="4" spans="2:14" x14ac:dyDescent="0.25">
      <c r="B4" s="14" t="s">
        <v>131</v>
      </c>
      <c r="C4" s="225"/>
      <c r="D4" s="153"/>
      <c r="E4" s="146">
        <f>'capex-lang factors'!D12</f>
        <v>72228041.519999996</v>
      </c>
      <c r="F4" s="206"/>
      <c r="G4" s="153"/>
      <c r="H4" s="146">
        <f>'capex-lang factors'!F12</f>
        <v>60230696.519999996</v>
      </c>
      <c r="I4" s="232">
        <f>H4/E4</f>
        <v>0.83389629917242147</v>
      </c>
    </row>
    <row r="5" spans="2:14" x14ac:dyDescent="0.25">
      <c r="B5" t="s">
        <v>133</v>
      </c>
      <c r="C5" s="225"/>
      <c r="D5" s="153"/>
      <c r="E5" s="146">
        <f>'capex-lang factors'!D5</f>
        <v>32502618.684</v>
      </c>
      <c r="F5" s="206"/>
      <c r="H5" s="146">
        <f>'capex-lang factors'!F5</f>
        <v>27103813.434</v>
      </c>
      <c r="I5" s="232">
        <f t="shared" ref="I5:I59" si="0">H5/E5</f>
        <v>0.83389629917242147</v>
      </c>
    </row>
    <row r="6" spans="2:14" x14ac:dyDescent="0.25">
      <c r="B6" t="s">
        <v>134</v>
      </c>
      <c r="C6" s="225"/>
      <c r="D6" s="153"/>
      <c r="E6" s="146">
        <f>'capex-lang factors'!D6</f>
        <v>32502618.684</v>
      </c>
      <c r="F6" s="206"/>
      <c r="H6" s="146">
        <f>'capex-lang factors'!F6</f>
        <v>27103813.434</v>
      </c>
      <c r="I6" s="232">
        <f t="shared" si="0"/>
        <v>0.83389629917242147</v>
      </c>
    </row>
    <row r="7" spans="2:14" x14ac:dyDescent="0.25">
      <c r="B7" t="s">
        <v>135</v>
      </c>
      <c r="C7" s="225"/>
      <c r="D7" s="153"/>
      <c r="E7" s="146">
        <f>'capex-lang factors'!D7</f>
        <v>10834206.227999998</v>
      </c>
      <c r="F7" s="206"/>
      <c r="H7" s="146">
        <f>'capex-lang factors'!F7</f>
        <v>9034604.4779999983</v>
      </c>
      <c r="I7" s="232">
        <f t="shared" si="0"/>
        <v>0.83389629917242147</v>
      </c>
    </row>
    <row r="8" spans="2:14" x14ac:dyDescent="0.25">
      <c r="B8" t="s">
        <v>136</v>
      </c>
      <c r="C8" s="225"/>
      <c r="D8" s="153"/>
      <c r="E8" s="146">
        <f>'capex-lang factors'!D8</f>
        <v>7222804.1519999998</v>
      </c>
      <c r="F8" s="206"/>
      <c r="H8" s="146">
        <f>'capex-lang factors'!F8</f>
        <v>6023069.6519999998</v>
      </c>
      <c r="I8" s="232">
        <f t="shared" si="0"/>
        <v>0.83389629917242147</v>
      </c>
    </row>
    <row r="9" spans="2:14" x14ac:dyDescent="0.25">
      <c r="B9" s="14" t="s">
        <v>137</v>
      </c>
      <c r="C9" s="225"/>
      <c r="D9" s="153"/>
      <c r="E9" s="146">
        <f>'capex-lang factors'!D9</f>
        <v>7222804.1519999998</v>
      </c>
      <c r="F9" s="206"/>
      <c r="G9" s="153"/>
      <c r="H9" s="146">
        <f>'capex-lang factors'!F9</f>
        <v>6023069.6519999998</v>
      </c>
      <c r="I9" s="232">
        <f t="shared" si="0"/>
        <v>0.83389629917242147</v>
      </c>
    </row>
    <row r="10" spans="2:14" x14ac:dyDescent="0.25">
      <c r="B10" t="s">
        <v>82</v>
      </c>
      <c r="E10" s="154">
        <f>capex!F4</f>
        <v>2876500</v>
      </c>
      <c r="F10" s="206"/>
      <c r="G10" s="164"/>
      <c r="H10" s="154">
        <f>'capex-lang factors'!F10</f>
        <v>2876500</v>
      </c>
      <c r="I10" s="232">
        <f t="shared" si="0"/>
        <v>1</v>
      </c>
    </row>
    <row r="11" spans="2:14" s="3" customFormat="1" x14ac:dyDescent="0.25">
      <c r="B11" s="119" t="s">
        <v>140</v>
      </c>
      <c r="C11" s="225"/>
      <c r="D11" s="153"/>
      <c r="E11" s="142">
        <f>SUM(E4:E10)</f>
        <v>165389593.42000002</v>
      </c>
      <c r="F11" s="207"/>
      <c r="G11" s="153"/>
      <c r="H11" s="142">
        <f>SUM(H4:H10)</f>
        <v>138395567.16999999</v>
      </c>
      <c r="I11" s="234">
        <f t="shared" si="0"/>
        <v>0.83678521911925974</v>
      </c>
      <c r="L11"/>
      <c r="M11"/>
      <c r="N11"/>
    </row>
    <row r="12" spans="2:14" x14ac:dyDescent="0.25">
      <c r="B12" s="3"/>
      <c r="C12" s="225"/>
      <c r="D12" s="153"/>
      <c r="E12" s="142"/>
      <c r="F12" s="206"/>
      <c r="G12" s="153"/>
      <c r="H12" s="142"/>
    </row>
    <row r="13" spans="2:14" x14ac:dyDescent="0.25">
      <c r="B13" t="s">
        <v>138</v>
      </c>
      <c r="E13" s="146">
        <f>'capex-lang factors'!D17</f>
        <v>41347398.354999997</v>
      </c>
      <c r="F13" s="206"/>
      <c r="H13" s="146">
        <f>'capex-lang factors'!F17</f>
        <v>34598891.792499997</v>
      </c>
      <c r="I13" s="232">
        <f t="shared" si="0"/>
        <v>0.83678521911925985</v>
      </c>
    </row>
    <row r="14" spans="2:14" x14ac:dyDescent="0.25">
      <c r="B14" t="s">
        <v>139</v>
      </c>
      <c r="E14" s="154">
        <f>'capex-lang factors'!D18</f>
        <v>8269479.6710000001</v>
      </c>
      <c r="F14" s="206"/>
      <c r="H14" s="154">
        <f>'capex-lang factors'!F18</f>
        <v>6919778.3585000001</v>
      </c>
      <c r="I14" s="232">
        <f t="shared" si="0"/>
        <v>0.83678521911925985</v>
      </c>
    </row>
    <row r="15" spans="2:14" x14ac:dyDescent="0.25">
      <c r="B15" s="119" t="s">
        <v>141</v>
      </c>
      <c r="C15" s="225"/>
      <c r="D15" s="153"/>
      <c r="E15" s="142">
        <f>SUM(E13:E14)</f>
        <v>49616878.025999993</v>
      </c>
      <c r="F15" s="206"/>
      <c r="G15" s="153"/>
      <c r="H15" s="142">
        <f>SUM(H13:H14)</f>
        <v>41518670.150999993</v>
      </c>
      <c r="I15" s="234">
        <f t="shared" si="0"/>
        <v>0.83678521911925985</v>
      </c>
    </row>
    <row r="16" spans="2:14" x14ac:dyDescent="0.25">
      <c r="B16" s="3"/>
      <c r="C16" s="225"/>
      <c r="D16" s="153"/>
      <c r="E16" s="142"/>
      <c r="F16" s="206"/>
      <c r="G16" s="153"/>
      <c r="H16" s="142"/>
    </row>
    <row r="17" spans="2:9" x14ac:dyDescent="0.25">
      <c r="B17" s="119" t="s">
        <v>313</v>
      </c>
      <c r="C17" s="225"/>
      <c r="D17" s="153"/>
      <c r="E17" s="156">
        <f>E15+E11</f>
        <v>215006471.44600001</v>
      </c>
      <c r="F17" s="206"/>
      <c r="G17" s="153"/>
      <c r="H17" s="156">
        <f>H15+H11</f>
        <v>179914237.32099998</v>
      </c>
      <c r="I17" s="234">
        <f t="shared" si="0"/>
        <v>0.83678521911925974</v>
      </c>
    </row>
    <row r="18" spans="2:9" x14ac:dyDescent="0.25">
      <c r="F18" s="206"/>
    </row>
    <row r="19" spans="2:9" ht="26.25" x14ac:dyDescent="0.4">
      <c r="B19" s="130" t="s">
        <v>172</v>
      </c>
      <c r="C19" s="223"/>
      <c r="D19" s="165"/>
      <c r="E19" s="215" t="s">
        <v>211</v>
      </c>
      <c r="F19" s="216"/>
      <c r="G19" s="165"/>
      <c r="H19" s="215" t="s">
        <v>211</v>
      </c>
    </row>
    <row r="20" spans="2:9" x14ac:dyDescent="0.25">
      <c r="B20" t="s">
        <v>220</v>
      </c>
      <c r="E20" s="146">
        <v>3000000</v>
      </c>
      <c r="F20" s="206"/>
      <c r="H20" s="146">
        <v>2300000</v>
      </c>
      <c r="I20" s="232">
        <f t="shared" si="0"/>
        <v>0.76666666666666672</v>
      </c>
    </row>
    <row r="21" spans="2:9" x14ac:dyDescent="0.25">
      <c r="B21" t="s">
        <v>178</v>
      </c>
      <c r="E21" s="146">
        <f>('opex S1'!X4+'opex S1'!X5)/2</f>
        <v>1485880</v>
      </c>
      <c r="F21" s="206"/>
      <c r="H21" s="146">
        <v>1485880</v>
      </c>
      <c r="I21" s="232">
        <f t="shared" si="0"/>
        <v>1</v>
      </c>
    </row>
    <row r="22" spans="2:9" x14ac:dyDescent="0.25">
      <c r="B22" t="s">
        <v>221</v>
      </c>
      <c r="D22" s="152">
        <v>0.1</v>
      </c>
      <c r="E22" s="146">
        <f>D22*E17</f>
        <v>21500647.144600004</v>
      </c>
      <c r="F22" s="206"/>
      <c r="G22" s="152">
        <v>0.05</v>
      </c>
      <c r="H22" s="146">
        <f>G22*H17</f>
        <v>8995711.8660499994</v>
      </c>
      <c r="I22" s="232">
        <f t="shared" si="0"/>
        <v>0.41839260955962981</v>
      </c>
    </row>
    <row r="23" spans="2:9" x14ac:dyDescent="0.25">
      <c r="B23" t="s">
        <v>222</v>
      </c>
      <c r="D23" s="152">
        <v>0.05</v>
      </c>
      <c r="E23" s="146">
        <f>D23*E17</f>
        <v>10750323.572300002</v>
      </c>
      <c r="F23" s="206"/>
      <c r="G23" s="152">
        <v>0.05</v>
      </c>
      <c r="H23" s="146">
        <f>G23*H17</f>
        <v>8995711.8660499994</v>
      </c>
      <c r="I23" s="232">
        <f t="shared" si="0"/>
        <v>0.83678521911925963</v>
      </c>
    </row>
    <row r="24" spans="2:9" x14ac:dyDescent="0.25">
      <c r="B24" t="s">
        <v>176</v>
      </c>
      <c r="D24" s="152"/>
      <c r="E24" s="146">
        <f>'capex-lang factors'!D19</f>
        <v>16538959.342</v>
      </c>
      <c r="F24" s="206"/>
      <c r="G24" s="152"/>
      <c r="H24" s="146">
        <f>'capex-lang factors'!F19</f>
        <v>13839556.717</v>
      </c>
      <c r="I24" s="232">
        <f t="shared" si="0"/>
        <v>0.83678521911925985</v>
      </c>
    </row>
    <row r="25" spans="2:9" x14ac:dyDescent="0.25">
      <c r="B25" t="s">
        <v>223</v>
      </c>
      <c r="D25" s="152">
        <v>0</v>
      </c>
      <c r="E25" s="154">
        <f>sales!C8*D25</f>
        <v>0</v>
      </c>
      <c r="F25" s="206"/>
      <c r="G25" s="152">
        <v>0</v>
      </c>
      <c r="H25" s="154">
        <v>0</v>
      </c>
    </row>
    <row r="26" spans="2:9" s="28" customFormat="1" ht="24" x14ac:dyDescent="0.25">
      <c r="B26" s="211" t="s">
        <v>314</v>
      </c>
      <c r="C26" s="228" t="s">
        <v>315</v>
      </c>
      <c r="D26" s="229">
        <f>E26/E17</f>
        <v>0.24778700706355483</v>
      </c>
      <c r="E26" s="230">
        <f>SUM(E20:E25)</f>
        <v>53275810.058900006</v>
      </c>
      <c r="F26" s="231"/>
      <c r="G26" s="229">
        <f>H26/H17</f>
        <v>0.19796576957694012</v>
      </c>
      <c r="H26" s="230">
        <f>SUM(H20:H25)</f>
        <v>35616860.449100003</v>
      </c>
      <c r="I26" s="235">
        <f t="shared" si="0"/>
        <v>0.66853719182726945</v>
      </c>
    </row>
    <row r="27" spans="2:9" s="3" customFormat="1" x14ac:dyDescent="0.25">
      <c r="B27"/>
      <c r="C27" s="18"/>
      <c r="D27" s="151"/>
      <c r="E27" s="146"/>
      <c r="F27" s="207"/>
      <c r="G27" s="151"/>
      <c r="I27" s="232"/>
    </row>
    <row r="28" spans="2:9" ht="27" thickBot="1" x14ac:dyDescent="0.45">
      <c r="B28" s="213" t="s">
        <v>173</v>
      </c>
      <c r="C28" s="223"/>
      <c r="E28" s="227">
        <f>E26+E17</f>
        <v>268282281.50490001</v>
      </c>
      <c r="F28" s="206"/>
      <c r="H28" s="227">
        <f>H26+H17</f>
        <v>215531097.7701</v>
      </c>
      <c r="I28" s="232">
        <f t="shared" si="0"/>
        <v>0.80337432856580004</v>
      </c>
    </row>
    <row r="29" spans="2:9" ht="15.75" thickTop="1" x14ac:dyDescent="0.25">
      <c r="F29" s="206"/>
    </row>
    <row r="30" spans="2:9" ht="26.25" x14ac:dyDescent="0.4">
      <c r="B30" s="130" t="s">
        <v>129</v>
      </c>
      <c r="C30" s="224" t="s">
        <v>312</v>
      </c>
      <c r="D30" s="222" t="s">
        <v>311</v>
      </c>
      <c r="E30" s="218" t="s">
        <v>211</v>
      </c>
      <c r="F30" s="219"/>
      <c r="G30" s="222" t="s">
        <v>311</v>
      </c>
      <c r="H30" s="218" t="s">
        <v>211</v>
      </c>
    </row>
    <row r="31" spans="2:9" x14ac:dyDescent="0.25">
      <c r="B31" s="3" t="s">
        <v>224</v>
      </c>
      <c r="C31" s="226"/>
      <c r="E31" s="149" t="s">
        <v>211</v>
      </c>
      <c r="F31" s="206"/>
      <c r="H31" s="149" t="s">
        <v>211</v>
      </c>
    </row>
    <row r="32" spans="2:9" x14ac:dyDescent="0.25">
      <c r="B32" s="13" t="s">
        <v>146</v>
      </c>
      <c r="C32" s="226"/>
      <c r="E32" s="141">
        <f>'opex S1'!M43</f>
        <v>164434458.19999999</v>
      </c>
      <c r="F32" s="206"/>
      <c r="H32" s="141">
        <f>'opex S1'!M43</f>
        <v>164434458.19999999</v>
      </c>
      <c r="I32" s="232">
        <f t="shared" si="0"/>
        <v>1</v>
      </c>
    </row>
    <row r="33" spans="2:9" x14ac:dyDescent="0.25">
      <c r="B33" s="13" t="s">
        <v>152</v>
      </c>
      <c r="C33" s="236" t="s">
        <v>317</v>
      </c>
      <c r="D33" s="151">
        <v>0.1</v>
      </c>
      <c r="E33" s="141">
        <f>D33*E38</f>
        <v>1505045.3001220003</v>
      </c>
      <c r="F33" s="206"/>
      <c r="G33" s="151">
        <v>0.1</v>
      </c>
      <c r="H33" s="141">
        <f>G33*H38</f>
        <v>899571.18660499994</v>
      </c>
      <c r="I33" s="232">
        <f t="shared" si="0"/>
        <v>0.59770372794232829</v>
      </c>
    </row>
    <row r="34" spans="2:9" x14ac:dyDescent="0.25">
      <c r="B34" s="13" t="s">
        <v>153</v>
      </c>
      <c r="C34" s="236"/>
      <c r="E34" s="147">
        <f>'opex S1'!M12</f>
        <v>138987728.82579201</v>
      </c>
      <c r="F34" s="206"/>
      <c r="H34" s="147">
        <f>'opex S2'!M12</f>
        <v>118097113.82579201</v>
      </c>
      <c r="I34" s="232">
        <f t="shared" si="0"/>
        <v>0.84969453651419535</v>
      </c>
    </row>
    <row r="35" spans="2:9" s="3" customFormat="1" x14ac:dyDescent="0.25">
      <c r="B35" s="119" t="s">
        <v>228</v>
      </c>
      <c r="C35" s="236"/>
      <c r="D35" s="152"/>
      <c r="E35" s="149">
        <f>SUM(E32:E34)</f>
        <v>304927232.32591403</v>
      </c>
      <c r="F35" s="207"/>
      <c r="G35" s="152"/>
      <c r="H35" s="149">
        <f>SUM(H32:H34)</f>
        <v>283431143.21239698</v>
      </c>
      <c r="I35" s="234">
        <f t="shared" si="0"/>
        <v>0.92950420023311831</v>
      </c>
    </row>
    <row r="36" spans="2:9" x14ac:dyDescent="0.25">
      <c r="C36" s="236"/>
      <c r="E36" s="141"/>
      <c r="F36" s="206"/>
      <c r="H36" s="141"/>
    </row>
    <row r="37" spans="2:9" x14ac:dyDescent="0.25">
      <c r="B37" s="3" t="s">
        <v>225</v>
      </c>
      <c r="C37" s="236"/>
      <c r="E37" s="149" t="s">
        <v>211</v>
      </c>
      <c r="F37" s="206"/>
      <c r="H37" s="149" t="s">
        <v>211</v>
      </c>
    </row>
    <row r="38" spans="2:9" x14ac:dyDescent="0.25">
      <c r="B38" s="13" t="s">
        <v>160</v>
      </c>
      <c r="C38" s="237" t="s">
        <v>324</v>
      </c>
      <c r="D38" s="151">
        <v>7.0000000000000007E-2</v>
      </c>
      <c r="E38" s="146">
        <f>D38*E17</f>
        <v>15050453.001220003</v>
      </c>
      <c r="F38" s="206"/>
      <c r="G38" s="151">
        <v>0.05</v>
      </c>
      <c r="H38" s="146">
        <f>G38*H17</f>
        <v>8995711.8660499994</v>
      </c>
      <c r="I38" s="232">
        <f t="shared" si="0"/>
        <v>0.59770372794232829</v>
      </c>
    </row>
    <row r="39" spans="2:9" x14ac:dyDescent="0.25">
      <c r="B39" s="13" t="s">
        <v>161</v>
      </c>
      <c r="C39" s="236" t="s">
        <v>325</v>
      </c>
      <c r="D39" s="151">
        <v>0.05</v>
      </c>
      <c r="E39" s="146">
        <f>('opex S1'!M12+'opex S1'!M43)*D39</f>
        <v>15171109.3512896</v>
      </c>
      <c r="F39" s="206"/>
      <c r="G39" s="151">
        <v>0.05</v>
      </c>
      <c r="H39" s="146">
        <f>('opex S2'!M12+'opex S2'!M43)*G39</f>
        <v>14126578.6012896</v>
      </c>
      <c r="I39" s="232">
        <f t="shared" si="0"/>
        <v>0.93115000849221274</v>
      </c>
    </row>
    <row r="40" spans="2:9" x14ac:dyDescent="0.25">
      <c r="B40" s="13" t="s">
        <v>162</v>
      </c>
      <c r="C40" s="236" t="s">
        <v>327</v>
      </c>
      <c r="D40" s="151">
        <v>0.2</v>
      </c>
      <c r="E40" s="146">
        <f>D40*E39</f>
        <v>3034221.8702579201</v>
      </c>
      <c r="F40" s="206"/>
      <c r="G40" s="151">
        <v>0.2</v>
      </c>
      <c r="H40" s="146">
        <f>G40*H39</f>
        <v>2825315.7202579202</v>
      </c>
      <c r="I40" s="232">
        <f t="shared" si="0"/>
        <v>0.93115000849221286</v>
      </c>
    </row>
    <row r="41" spans="2:9" x14ac:dyDescent="0.25">
      <c r="B41" s="13" t="s">
        <v>163</v>
      </c>
      <c r="C41" s="236"/>
      <c r="E41" s="146">
        <f>Supervision!F10</f>
        <v>2063100</v>
      </c>
      <c r="F41" s="206"/>
      <c r="H41" s="146">
        <f>Supervision!F10</f>
        <v>2063100</v>
      </c>
      <c r="I41" s="232">
        <f t="shared" si="0"/>
        <v>1</v>
      </c>
    </row>
    <row r="42" spans="2:9" x14ac:dyDescent="0.25">
      <c r="B42" s="13" t="s">
        <v>337</v>
      </c>
      <c r="C42" s="236" t="s">
        <v>338</v>
      </c>
      <c r="D42" s="151">
        <v>0.5</v>
      </c>
      <c r="E42" s="146">
        <f>D42*E39</f>
        <v>7585554.6756448001</v>
      </c>
      <c r="F42" s="206"/>
      <c r="G42" s="151">
        <v>0.5</v>
      </c>
      <c r="H42" s="146">
        <f>G42*H39</f>
        <v>7063289.3006448001</v>
      </c>
      <c r="I42" s="232">
        <f t="shared" si="0"/>
        <v>0.93115000849221274</v>
      </c>
    </row>
    <row r="43" spans="2:9" x14ac:dyDescent="0.25">
      <c r="B43" s="13" t="s">
        <v>226</v>
      </c>
      <c r="C43" s="236"/>
      <c r="D43" s="151">
        <v>0.1</v>
      </c>
      <c r="E43" s="146">
        <f>D43*E9</f>
        <v>722280.41520000005</v>
      </c>
      <c r="F43" s="206"/>
      <c r="G43" s="151">
        <v>0.1</v>
      </c>
      <c r="H43" s="146">
        <f>G43*H9</f>
        <v>602306.96519999998</v>
      </c>
      <c r="I43" s="232">
        <f t="shared" si="0"/>
        <v>0.83389629917242136</v>
      </c>
    </row>
    <row r="44" spans="2:9" x14ac:dyDescent="0.25">
      <c r="B44" s="13" t="s">
        <v>227</v>
      </c>
      <c r="C44" s="236"/>
      <c r="D44" s="151">
        <v>0.1</v>
      </c>
      <c r="E44" s="155">
        <f>D44*E4</f>
        <v>7222804.1519999998</v>
      </c>
      <c r="F44" s="206"/>
      <c r="G44" s="151">
        <v>0.1</v>
      </c>
      <c r="H44" s="155">
        <f>G44*H4</f>
        <v>6023069.6519999998</v>
      </c>
      <c r="I44" s="232">
        <f t="shared" si="0"/>
        <v>0.83389629917242147</v>
      </c>
    </row>
    <row r="45" spans="2:9" x14ac:dyDescent="0.25">
      <c r="B45" t="s">
        <v>230</v>
      </c>
      <c r="C45" s="236"/>
      <c r="D45" s="151">
        <v>0.1</v>
      </c>
      <c r="E45" s="155">
        <f>'opex S1'!AC8</f>
        <v>232480</v>
      </c>
      <c r="F45" s="206"/>
      <c r="G45" s="151">
        <v>0.1</v>
      </c>
      <c r="H45" s="155">
        <f>'opex S2'!AC8</f>
        <v>232480</v>
      </c>
      <c r="I45" s="232">
        <f t="shared" si="0"/>
        <v>1</v>
      </c>
    </row>
    <row r="46" spans="2:9" x14ac:dyDescent="0.25">
      <c r="B46" s="13" t="s">
        <v>231</v>
      </c>
      <c r="C46" s="236"/>
      <c r="E46" s="154">
        <v>0</v>
      </c>
      <c r="F46" s="206"/>
      <c r="H46" s="154">
        <v>0</v>
      </c>
    </row>
    <row r="47" spans="2:9" s="3" customFormat="1" x14ac:dyDescent="0.25">
      <c r="B47" s="119" t="s">
        <v>229</v>
      </c>
      <c r="C47" s="236"/>
      <c r="D47" s="152"/>
      <c r="E47" s="142">
        <f>SUM(E38:E46)</f>
        <v>51082003.46561233</v>
      </c>
      <c r="F47" s="207"/>
      <c r="G47" s="152"/>
      <c r="H47" s="142">
        <f>SUM(H38:H46)</f>
        <v>41931852.105442315</v>
      </c>
      <c r="I47" s="234">
        <f t="shared" si="0"/>
        <v>0.82087328727562991</v>
      </c>
    </row>
    <row r="48" spans="2:9" s="3" customFormat="1" x14ac:dyDescent="0.25">
      <c r="C48" s="236"/>
      <c r="D48" s="152"/>
      <c r="E48" s="142"/>
      <c r="F48" s="207"/>
      <c r="G48" s="152"/>
      <c r="H48" s="142"/>
      <c r="I48" s="234"/>
    </row>
    <row r="49" spans="2:9" s="3" customFormat="1" x14ac:dyDescent="0.25">
      <c r="B49" s="119" t="s">
        <v>232</v>
      </c>
      <c r="C49" s="236"/>
      <c r="D49" s="152"/>
      <c r="E49" s="156">
        <f>E35+E47</f>
        <v>356009235.79152638</v>
      </c>
      <c r="F49" s="207"/>
      <c r="G49" s="152"/>
      <c r="H49" s="156">
        <f>H35+H47</f>
        <v>325362995.31783926</v>
      </c>
      <c r="I49" s="234">
        <f t="shared" si="0"/>
        <v>0.91391728811318507</v>
      </c>
    </row>
    <row r="50" spans="2:9" x14ac:dyDescent="0.25">
      <c r="B50" s="3"/>
      <c r="C50" s="236"/>
      <c r="F50" s="206"/>
      <c r="H50" s="146"/>
    </row>
    <row r="51" spans="2:9" ht="18.75" x14ac:dyDescent="0.3">
      <c r="B51" s="11" t="s">
        <v>234</v>
      </c>
      <c r="C51" s="236"/>
      <c r="E51" s="149" t="s">
        <v>211</v>
      </c>
      <c r="F51" s="206"/>
      <c r="H51" s="149" t="s">
        <v>211</v>
      </c>
    </row>
    <row r="52" spans="2:9" x14ac:dyDescent="0.25">
      <c r="B52" t="s">
        <v>340</v>
      </c>
      <c r="C52" s="236" t="s">
        <v>339</v>
      </c>
      <c r="D52" s="151">
        <v>0.05</v>
      </c>
      <c r="E52" s="146">
        <f>D52*E35</f>
        <v>15246361.616295703</v>
      </c>
      <c r="F52" s="206"/>
      <c r="G52" s="151">
        <v>0.03</v>
      </c>
      <c r="H52" s="146">
        <f>G52*H35</f>
        <v>8502934.2963719089</v>
      </c>
      <c r="I52" s="232">
        <f t="shared" si="0"/>
        <v>0.55770252013987087</v>
      </c>
    </row>
    <row r="53" spans="2:9" x14ac:dyDescent="0.25">
      <c r="B53" t="s">
        <v>166</v>
      </c>
      <c r="C53" s="236" t="s">
        <v>342</v>
      </c>
      <c r="D53" s="151">
        <v>0.02</v>
      </c>
      <c r="E53" s="146">
        <f>D53*E17</f>
        <v>4300129.4289199999</v>
      </c>
      <c r="F53" s="206"/>
      <c r="G53" s="151">
        <v>0.02</v>
      </c>
      <c r="H53" s="146">
        <f>G53*H17</f>
        <v>3598284.7464199997</v>
      </c>
      <c r="I53" s="232">
        <f t="shared" si="0"/>
        <v>0.83678521911925985</v>
      </c>
    </row>
    <row r="54" spans="2:9" x14ac:dyDescent="0.25">
      <c r="B54" t="s">
        <v>343</v>
      </c>
      <c r="C54" s="236" t="s">
        <v>344</v>
      </c>
      <c r="D54" s="151">
        <v>0.02</v>
      </c>
      <c r="E54" s="146">
        <f>D54*sales!C8</f>
        <v>2499316</v>
      </c>
      <c r="F54" s="206"/>
      <c r="G54" s="151">
        <v>0.01</v>
      </c>
      <c r="H54" s="146">
        <f>G54*sales!C8</f>
        <v>1249658</v>
      </c>
      <c r="I54" s="232">
        <f t="shared" si="0"/>
        <v>0.5</v>
      </c>
    </row>
    <row r="55" spans="2:9" x14ac:dyDescent="0.25">
      <c r="B55" t="s">
        <v>170</v>
      </c>
      <c r="C55" s="236" t="s">
        <v>346</v>
      </c>
      <c r="D55" s="151">
        <v>0.03</v>
      </c>
      <c r="E55" s="146">
        <f>D55*E35</f>
        <v>9147816.9697774202</v>
      </c>
      <c r="F55" s="206"/>
      <c r="G55" s="151">
        <v>0.03</v>
      </c>
      <c r="H55" s="146">
        <f>G55*H35</f>
        <v>8502934.2963719089</v>
      </c>
      <c r="I55" s="232">
        <f t="shared" si="0"/>
        <v>0.92950420023311831</v>
      </c>
    </row>
    <row r="56" spans="2:9" x14ac:dyDescent="0.25">
      <c r="B56" t="s">
        <v>347</v>
      </c>
      <c r="C56" s="236" t="s">
        <v>346</v>
      </c>
      <c r="D56" s="151">
        <v>0</v>
      </c>
      <c r="E56" s="154">
        <f>D56*E49</f>
        <v>0</v>
      </c>
      <c r="F56" s="206"/>
      <c r="G56" s="151">
        <v>0</v>
      </c>
      <c r="H56" s="154">
        <f>G56*H49</f>
        <v>0</v>
      </c>
    </row>
    <row r="57" spans="2:9" s="3" customFormat="1" x14ac:dyDescent="0.25">
      <c r="B57" s="119" t="s">
        <v>233</v>
      </c>
      <c r="C57" s="236"/>
      <c r="D57" s="152"/>
      <c r="E57" s="142">
        <f>SUM(E52:E56)</f>
        <v>31193624.014993124</v>
      </c>
      <c r="F57" s="207"/>
      <c r="G57" s="152"/>
      <c r="H57" s="142">
        <f>SUM(H52:H56)</f>
        <v>21853811.339163817</v>
      </c>
      <c r="I57" s="234">
        <f t="shared" si="0"/>
        <v>0.70058584179445926</v>
      </c>
    </row>
    <row r="58" spans="2:9" x14ac:dyDescent="0.25">
      <c r="C58" s="236"/>
      <c r="F58" s="206"/>
      <c r="H58" s="146"/>
      <c r="I58" s="234"/>
    </row>
    <row r="59" spans="2:9" ht="15.75" thickBot="1" x14ac:dyDescent="0.3">
      <c r="B59" s="119" t="s">
        <v>235</v>
      </c>
      <c r="C59" s="236"/>
      <c r="E59" s="157">
        <f>E57+E49</f>
        <v>387202859.80651951</v>
      </c>
      <c r="F59" s="206"/>
      <c r="H59" s="157">
        <f>H57+H49</f>
        <v>347216806.6570031</v>
      </c>
      <c r="I59" s="234">
        <f t="shared" si="0"/>
        <v>0.89673099736531658</v>
      </c>
    </row>
    <row r="60" spans="2:9" ht="15.75" thickTop="1" x14ac:dyDescent="0.25">
      <c r="C60" s="236"/>
      <c r="H60" s="146"/>
    </row>
    <row r="61" spans="2:9" x14ac:dyDescent="0.25">
      <c r="B61" s="64" t="s">
        <v>303</v>
      </c>
      <c r="C61" s="226"/>
    </row>
    <row r="62" spans="2:9" x14ac:dyDescent="0.25">
      <c r="B62" t="s">
        <v>316</v>
      </c>
      <c r="C62" s="226"/>
    </row>
    <row r="63" spans="2:9" x14ac:dyDescent="0.25">
      <c r="B63" t="s">
        <v>318</v>
      </c>
      <c r="C63" s="226"/>
    </row>
    <row r="64" spans="2:9" x14ac:dyDescent="0.25">
      <c r="B64" t="s">
        <v>326</v>
      </c>
    </row>
    <row r="65" spans="2:13" x14ac:dyDescent="0.25">
      <c r="B65" t="s">
        <v>328</v>
      </c>
    </row>
    <row r="66" spans="2:13" x14ac:dyDescent="0.25">
      <c r="B66" t="s">
        <v>341</v>
      </c>
    </row>
    <row r="67" spans="2:13" x14ac:dyDescent="0.25">
      <c r="B67" t="s">
        <v>345</v>
      </c>
    </row>
    <row r="68" spans="2:13" x14ac:dyDescent="0.25">
      <c r="B68" t="s">
        <v>348</v>
      </c>
    </row>
    <row r="72" spans="2:13" x14ac:dyDescent="0.25">
      <c r="L72" s="146"/>
      <c r="M72" s="146"/>
    </row>
    <row r="73" spans="2:13" x14ac:dyDescent="0.25">
      <c r="L73" s="146"/>
      <c r="M73" s="146"/>
    </row>
    <row r="74" spans="2:13" x14ac:dyDescent="0.25">
      <c r="L74" s="146"/>
      <c r="M74" s="146"/>
    </row>
    <row r="75" spans="2:13" x14ac:dyDescent="0.25">
      <c r="L75" s="146"/>
      <c r="M75" s="146"/>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A3789-79E0-4170-BADF-2972EC44D7E2}">
  <sheetPr>
    <tabColor rgb="FFFF0000"/>
  </sheetPr>
  <dimension ref="B2:F10"/>
  <sheetViews>
    <sheetView workbookViewId="0">
      <selection activeCell="C11" sqref="C11"/>
    </sheetView>
  </sheetViews>
  <sheetFormatPr defaultRowHeight="15" x14ac:dyDescent="0.25"/>
  <cols>
    <col min="2" max="2" width="15.7109375" bestFit="1" customWidth="1"/>
    <col min="3" max="4" width="9.5703125" style="18" customWidth="1"/>
  </cols>
  <sheetData>
    <row r="2" spans="2:6" x14ac:dyDescent="0.25">
      <c r="C2" s="18" t="s">
        <v>335</v>
      </c>
      <c r="D2" s="18" t="s">
        <v>336</v>
      </c>
    </row>
    <row r="3" spans="2:6" x14ac:dyDescent="0.25">
      <c r="B3" t="s">
        <v>329</v>
      </c>
      <c r="C3" s="18">
        <v>4</v>
      </c>
      <c r="D3" s="18">
        <v>3</v>
      </c>
      <c r="E3" s="146">
        <v>28000</v>
      </c>
      <c r="F3" s="146">
        <f>C3*E3*D3</f>
        <v>336000</v>
      </c>
    </row>
    <row r="4" spans="2:6" x14ac:dyDescent="0.25">
      <c r="B4" t="s">
        <v>330</v>
      </c>
      <c r="C4" s="18">
        <v>1</v>
      </c>
      <c r="D4" s="18">
        <v>3</v>
      </c>
      <c r="E4" s="146">
        <v>32000</v>
      </c>
      <c r="F4" s="146">
        <f>C4*E4*D4</f>
        <v>96000</v>
      </c>
    </row>
    <row r="5" spans="2:6" x14ac:dyDescent="0.25">
      <c r="B5" t="s">
        <v>331</v>
      </c>
      <c r="C5" s="18">
        <v>1</v>
      </c>
      <c r="E5" s="146">
        <v>75000</v>
      </c>
      <c r="F5" s="146">
        <f>C5*E5</f>
        <v>75000</v>
      </c>
    </row>
    <row r="6" spans="2:6" x14ac:dyDescent="0.25">
      <c r="B6" t="s">
        <v>332</v>
      </c>
      <c r="C6" s="239">
        <v>1</v>
      </c>
      <c r="D6" s="52"/>
      <c r="E6" s="146">
        <v>22000</v>
      </c>
      <c r="F6" s="154">
        <f>C6*E6</f>
        <v>22000</v>
      </c>
    </row>
    <row r="7" spans="2:6" x14ac:dyDescent="0.25">
      <c r="C7" s="18">
        <f>SUM(C3:C6)</f>
        <v>7</v>
      </c>
      <c r="E7" s="146"/>
      <c r="F7" s="238">
        <f>SUM(F3:F6)</f>
        <v>529000</v>
      </c>
    </row>
    <row r="8" spans="2:6" x14ac:dyDescent="0.25">
      <c r="E8" s="146"/>
      <c r="F8" s="146"/>
    </row>
    <row r="9" spans="2:6" x14ac:dyDescent="0.25">
      <c r="B9" s="34" t="s">
        <v>333</v>
      </c>
      <c r="C9" s="191">
        <v>0.3</v>
      </c>
      <c r="D9" s="191"/>
      <c r="E9" s="146"/>
      <c r="F9" s="146">
        <f>F7*1.3</f>
        <v>687700</v>
      </c>
    </row>
    <row r="10" spans="2:6" x14ac:dyDescent="0.25">
      <c r="B10" t="s">
        <v>334</v>
      </c>
      <c r="C10" s="18">
        <v>3</v>
      </c>
      <c r="E10" s="146"/>
      <c r="F10" s="142">
        <f>C10*F9</f>
        <v>2063100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81210-0A99-4EF9-A526-0A07004F7E27}">
  <sheetPr>
    <tabColor theme="4" tint="0.39997558519241921"/>
  </sheetPr>
  <dimension ref="A1:AC43"/>
  <sheetViews>
    <sheetView topLeftCell="D1" zoomScale="82" zoomScaleNormal="82" workbookViewId="0">
      <selection activeCell="Q15" sqref="Q15"/>
    </sheetView>
  </sheetViews>
  <sheetFormatPr defaultRowHeight="15" x14ac:dyDescent="0.25"/>
  <cols>
    <col min="1" max="1" width="24.7109375" hidden="1" customWidth="1"/>
    <col min="2" max="2" width="11.140625" hidden="1" customWidth="1"/>
    <col min="3" max="3" width="8" hidden="1" customWidth="1"/>
    <col min="4" max="4" width="3.7109375" style="40" customWidth="1"/>
    <col min="5" max="5" width="6.7109375" style="47" customWidth="1"/>
    <col min="6" max="6" width="28.140625" style="40" bestFit="1" customWidth="1"/>
    <col min="7" max="7" width="14.42578125" style="40" bestFit="1" customWidth="1"/>
    <col min="8" max="8" width="13.28515625" style="40" customWidth="1"/>
    <col min="9" max="9" width="13.85546875" style="40" bestFit="1" customWidth="1"/>
    <col min="10" max="10" width="13.28515625" style="40" bestFit="1" customWidth="1"/>
    <col min="11" max="11" width="12.85546875" style="40" bestFit="1" customWidth="1"/>
    <col min="12" max="12" width="12" style="40" customWidth="1"/>
    <col min="13" max="13" width="14.42578125" style="87" bestFit="1" customWidth="1"/>
    <col min="14" max="14" width="4.85546875" style="40" bestFit="1" customWidth="1"/>
    <col min="15" max="15" width="2" style="40" customWidth="1"/>
    <col min="17" max="17" width="30.42578125" bestFit="1" customWidth="1"/>
    <col min="18" max="18" width="15.42578125" style="141" customWidth="1"/>
    <col min="19" max="19" width="14.42578125" style="142" bestFit="1" customWidth="1"/>
    <col min="20" max="20" width="9.140625" style="26" bestFit="1" customWidth="1"/>
    <col min="21" max="21" width="2.5703125" style="40" customWidth="1"/>
    <col min="23" max="23" width="13.140625" bestFit="1" customWidth="1"/>
    <col min="24" max="24" width="11.85546875" style="146" bestFit="1" customWidth="1"/>
    <col min="25" max="25" width="11.5703125" style="142" bestFit="1" customWidth="1"/>
    <col min="26" max="26" width="9.7109375" style="26" customWidth="1"/>
    <col min="27" max="27" width="3.140625" style="45" customWidth="1"/>
    <col min="28" max="28" width="8" customWidth="1"/>
    <col min="29" max="29" width="21.7109375" customWidth="1"/>
  </cols>
  <sheetData>
    <row r="1" spans="1:29" ht="15.75" thickBot="1" x14ac:dyDescent="0.3"/>
    <row r="2" spans="1:29" s="28" customFormat="1" ht="30" x14ac:dyDescent="0.25">
      <c r="D2" s="41"/>
      <c r="E2" s="72"/>
      <c r="F2" s="97" t="s">
        <v>208</v>
      </c>
      <c r="G2" s="73" t="s">
        <v>63</v>
      </c>
      <c r="H2" s="73" t="s">
        <v>122</v>
      </c>
      <c r="I2" s="73" t="s">
        <v>35</v>
      </c>
      <c r="J2" s="73" t="s">
        <v>40</v>
      </c>
      <c r="K2" s="73" t="s">
        <v>80</v>
      </c>
      <c r="L2" s="73" t="s">
        <v>99</v>
      </c>
      <c r="M2" s="88" t="s">
        <v>118</v>
      </c>
      <c r="N2" s="41"/>
      <c r="O2" s="41"/>
      <c r="P2" s="29"/>
      <c r="Q2" s="29"/>
      <c r="R2" s="143" t="s">
        <v>50</v>
      </c>
      <c r="S2" s="144" t="s">
        <v>295</v>
      </c>
      <c r="T2" s="32" t="s">
        <v>201</v>
      </c>
      <c r="U2" s="41"/>
      <c r="V2" s="29"/>
      <c r="W2" s="29"/>
      <c r="X2" s="143" t="s">
        <v>57</v>
      </c>
      <c r="Y2" s="144" t="s">
        <v>295</v>
      </c>
      <c r="Z2" s="32" t="s">
        <v>201</v>
      </c>
      <c r="AA2" s="44"/>
      <c r="AB2" s="33"/>
      <c r="AC2" s="33" t="s">
        <v>98</v>
      </c>
    </row>
    <row r="3" spans="1:29" x14ac:dyDescent="0.25">
      <c r="A3" s="1" t="s">
        <v>0</v>
      </c>
      <c r="B3" s="1" t="s">
        <v>23</v>
      </c>
      <c r="C3" s="1" t="s">
        <v>24</v>
      </c>
      <c r="D3" s="43"/>
      <c r="E3" s="75">
        <v>1</v>
      </c>
      <c r="F3" s="76" t="s">
        <v>53</v>
      </c>
      <c r="G3" s="131">
        <f>R3</f>
        <v>91678.5</v>
      </c>
      <c r="H3" s="131">
        <f>R8</f>
        <v>2550000</v>
      </c>
      <c r="I3" s="131">
        <f>R11</f>
        <v>10362816</v>
      </c>
      <c r="J3" s="131">
        <f>0</f>
        <v>0</v>
      </c>
      <c r="K3" s="131">
        <f>0</f>
        <v>0</v>
      </c>
      <c r="L3" s="131">
        <f>R27</f>
        <v>259.64999999999998</v>
      </c>
      <c r="M3" s="132">
        <f>SUM(G3:L3)</f>
        <v>13004754.15</v>
      </c>
      <c r="N3" s="189">
        <f>M3/$M$12</f>
        <v>9.3567642696717718E-2</v>
      </c>
      <c r="O3" s="43"/>
      <c r="P3" s="2" t="s">
        <v>63</v>
      </c>
      <c r="Q3" s="3" t="s">
        <v>53</v>
      </c>
      <c r="R3" s="145">
        <f>(67680+230)*'ass. costs &amp; sale prices'!C15</f>
        <v>91678.5</v>
      </c>
      <c r="V3" s="2" t="s">
        <v>63</v>
      </c>
      <c r="W3" s="3" t="s">
        <v>108</v>
      </c>
      <c r="X3" s="146">
        <f>987760*'ass. costs &amp; sale prices'!C4</f>
        <v>158041600</v>
      </c>
      <c r="Y3" s="142">
        <f>SUM(X3)</f>
        <v>158041600</v>
      </c>
      <c r="Z3" s="26">
        <f>Y3/$Y$8</f>
        <v>0.96112215000444479</v>
      </c>
      <c r="AB3" s="3"/>
      <c r="AC3" s="17"/>
    </row>
    <row r="4" spans="1:29" x14ac:dyDescent="0.25">
      <c r="A4" s="1" t="s">
        <v>1</v>
      </c>
      <c r="B4">
        <f>160</f>
        <v>160</v>
      </c>
      <c r="C4" s="1" t="s">
        <v>25</v>
      </c>
      <c r="D4" s="43"/>
      <c r="E4" s="75">
        <v>2</v>
      </c>
      <c r="F4" s="76" t="s">
        <v>78</v>
      </c>
      <c r="G4" s="131">
        <v>0</v>
      </c>
      <c r="H4" s="131">
        <v>0</v>
      </c>
      <c r="I4" s="131">
        <v>0</v>
      </c>
      <c r="J4" s="131">
        <v>0</v>
      </c>
      <c r="K4" s="131">
        <v>0</v>
      </c>
      <c r="L4" s="131">
        <v>0</v>
      </c>
      <c r="M4" s="132">
        <f t="shared" ref="M4:M11" si="0">SUM(G4:L4)</f>
        <v>0</v>
      </c>
      <c r="N4" s="189">
        <f t="shared" ref="N4:N11" si="1">M4/$M$12</f>
        <v>0</v>
      </c>
      <c r="O4" s="43"/>
      <c r="Q4" s="3" t="s">
        <v>78</v>
      </c>
      <c r="R4" s="145">
        <f>0</f>
        <v>0</v>
      </c>
      <c r="V4" s="2" t="s">
        <v>35</v>
      </c>
      <c r="W4" s="3" t="s">
        <v>112</v>
      </c>
      <c r="X4" s="146">
        <f>60960*'ass. costs &amp; sale prices'!C8/3</f>
        <v>60960</v>
      </c>
      <c r="AB4" s="3"/>
    </row>
    <row r="5" spans="1:29" x14ac:dyDescent="0.25">
      <c r="A5" s="1" t="s">
        <v>2</v>
      </c>
      <c r="B5">
        <f>78</f>
        <v>78</v>
      </c>
      <c r="C5" s="1" t="s">
        <v>25</v>
      </c>
      <c r="D5" s="43"/>
      <c r="E5" s="75">
        <v>3</v>
      </c>
      <c r="F5" s="76" t="s">
        <v>54</v>
      </c>
      <c r="G5" s="131">
        <f>R5</f>
        <v>13581228</v>
      </c>
      <c r="H5" s="131">
        <f>R6</f>
        <v>29100000</v>
      </c>
      <c r="I5" s="131">
        <f>R12</f>
        <v>28458900</v>
      </c>
      <c r="J5" s="131">
        <f>R14</f>
        <v>9450127.290000001</v>
      </c>
      <c r="K5" s="131">
        <f>R18</f>
        <v>11760</v>
      </c>
      <c r="L5" s="131">
        <f>R25</f>
        <v>3412.2</v>
      </c>
      <c r="M5" s="132">
        <f t="shared" si="0"/>
        <v>80605427.49000001</v>
      </c>
      <c r="N5" s="189">
        <f>M5/$M$12</f>
        <v>0.57994636052389414</v>
      </c>
      <c r="O5" s="43"/>
      <c r="Q5" s="3" t="s">
        <v>54</v>
      </c>
      <c r="R5" s="145">
        <f>(11352+5843200+2816+17600+72600+66000+3740+4159760+561440+2768920+70400+3400)*'ass. costs &amp; sale prices'!C22/0.11</f>
        <v>13581228</v>
      </c>
      <c r="S5" s="142">
        <f>SUM(R3:R5)</f>
        <v>13672906.5</v>
      </c>
      <c r="T5" s="26">
        <f>S5/$S$29</f>
        <v>9.8374918530668987E-2</v>
      </c>
      <c r="W5" s="3" t="s">
        <v>56</v>
      </c>
      <c r="X5" s="146">
        <f>2910800*'ass. costs &amp; sale prices'!C9/5</f>
        <v>2910800</v>
      </c>
      <c r="Y5" s="142">
        <f>SUM(X4:X5)</f>
        <v>2971760</v>
      </c>
      <c r="Z5" s="26">
        <f>Y5/$Y$8</f>
        <v>1.8072611011893128E-2</v>
      </c>
    </row>
    <row r="6" spans="1:29" x14ac:dyDescent="0.25">
      <c r="A6" s="1" t="s">
        <v>3</v>
      </c>
      <c r="B6">
        <f>80</f>
        <v>80</v>
      </c>
      <c r="C6" s="1" t="s">
        <v>25</v>
      </c>
      <c r="D6" s="43"/>
      <c r="E6" s="75">
        <v>4</v>
      </c>
      <c r="F6" s="76" t="s">
        <v>51</v>
      </c>
      <c r="G6" s="131">
        <f>0</f>
        <v>0</v>
      </c>
      <c r="H6" s="131">
        <f>R7</f>
        <v>1830000</v>
      </c>
      <c r="I6" s="131">
        <f>R9</f>
        <v>7970000</v>
      </c>
      <c r="J6" s="131">
        <f>R13</f>
        <v>1728000</v>
      </c>
      <c r="K6" s="131">
        <f>R20</f>
        <v>1673840</v>
      </c>
      <c r="L6" s="131">
        <f>R24</f>
        <v>322072.14</v>
      </c>
      <c r="M6" s="132">
        <f t="shared" si="0"/>
        <v>13523912.140000001</v>
      </c>
      <c r="N6" s="189">
        <f t="shared" si="1"/>
        <v>9.7302922022353119E-2</v>
      </c>
      <c r="O6" s="43"/>
      <c r="P6" s="2" t="s">
        <v>122</v>
      </c>
      <c r="Q6" s="3" t="s">
        <v>54</v>
      </c>
      <c r="R6" s="145">
        <f>29100000</f>
        <v>29100000</v>
      </c>
      <c r="V6" s="2" t="s">
        <v>35</v>
      </c>
      <c r="W6" s="3" t="s">
        <v>58</v>
      </c>
      <c r="X6" s="146">
        <f>5244.5*'ass. costs &amp; sale prices'!C5/78</f>
        <v>5244.5</v>
      </c>
      <c r="Y6" s="142">
        <f>SUM(X6)</f>
        <v>5244.5</v>
      </c>
      <c r="Z6" s="26">
        <f>Y6/$Y$8</f>
        <v>3.1894166571955173E-5</v>
      </c>
    </row>
    <row r="7" spans="1:29" x14ac:dyDescent="0.25">
      <c r="A7" s="1" t="s">
        <v>4</v>
      </c>
      <c r="B7">
        <f>200</f>
        <v>200</v>
      </c>
      <c r="C7" s="1" t="s">
        <v>25</v>
      </c>
      <c r="D7" s="43"/>
      <c r="E7" s="75">
        <v>5</v>
      </c>
      <c r="F7" s="76" t="s">
        <v>52</v>
      </c>
      <c r="G7" s="131">
        <f>0</f>
        <v>0</v>
      </c>
      <c r="H7" s="131">
        <f>0</f>
        <v>0</v>
      </c>
      <c r="I7" s="131">
        <f>R10</f>
        <v>886000</v>
      </c>
      <c r="J7" s="131">
        <f>0</f>
        <v>0</v>
      </c>
      <c r="K7" s="131">
        <f>R17</f>
        <v>30240</v>
      </c>
      <c r="L7" s="131">
        <f>R22+R23</f>
        <v>181427.99200000003</v>
      </c>
      <c r="M7" s="132">
        <f t="shared" si="0"/>
        <v>1097667.9920000001</v>
      </c>
      <c r="N7" s="189">
        <f t="shared" si="1"/>
        <v>7.897589242398681E-3</v>
      </c>
      <c r="O7" s="43"/>
      <c r="Q7" s="3" t="s">
        <v>51</v>
      </c>
      <c r="R7" s="145">
        <f>1830000*'ass. costs &amp; sale prices'!C17/10</f>
        <v>1830000</v>
      </c>
      <c r="V7" s="2" t="s">
        <v>40</v>
      </c>
      <c r="W7" s="3" t="s">
        <v>60</v>
      </c>
      <c r="X7" s="146">
        <f>(3413600+2253.7)*'ass. costs &amp; sale prices'!C6/80</f>
        <v>3415853.7</v>
      </c>
      <c r="Y7" s="148">
        <f>SUM(X7)</f>
        <v>3415853.7</v>
      </c>
      <c r="Z7" s="26">
        <f>Y7/$Y$8</f>
        <v>2.0773344817090172E-2</v>
      </c>
      <c r="AB7" s="2" t="s">
        <v>40</v>
      </c>
    </row>
    <row r="8" spans="1:29" x14ac:dyDescent="0.25">
      <c r="A8" s="1" t="s">
        <v>5</v>
      </c>
      <c r="B8">
        <f>750</f>
        <v>750</v>
      </c>
      <c r="C8" s="1" t="s">
        <v>25</v>
      </c>
      <c r="D8" s="43"/>
      <c r="E8" s="75">
        <v>6</v>
      </c>
      <c r="F8" s="76" t="s">
        <v>96</v>
      </c>
      <c r="G8" s="131">
        <f>0</f>
        <v>0</v>
      </c>
      <c r="H8" s="131">
        <f>0</f>
        <v>0</v>
      </c>
      <c r="I8" s="131">
        <f>0</f>
        <v>0</v>
      </c>
      <c r="J8" s="131">
        <f>0</f>
        <v>0</v>
      </c>
      <c r="K8" s="131">
        <f>R19</f>
        <v>1740720</v>
      </c>
      <c r="L8" s="131">
        <f>0</f>
        <v>0</v>
      </c>
      <c r="M8" s="132">
        <f t="shared" si="0"/>
        <v>1740720</v>
      </c>
      <c r="N8" s="189">
        <f t="shared" si="1"/>
        <v>1.2524271133186356E-2</v>
      </c>
      <c r="O8" s="43"/>
      <c r="Q8" s="3" t="s">
        <v>53</v>
      </c>
      <c r="R8" s="145">
        <f>2550000*'ass. costs &amp; sale prices'!C15/1.35</f>
        <v>2550000</v>
      </c>
      <c r="S8" s="142">
        <f>SUM(R6:R8)</f>
        <v>33480000</v>
      </c>
      <c r="T8" s="26">
        <f>S8/$S$29</f>
        <v>0.2408845750833444</v>
      </c>
      <c r="Y8" s="142">
        <f>SUM(Y3:Y7)</f>
        <v>164434458.19999999</v>
      </c>
      <c r="Z8" s="26">
        <f>Y8/$Y$8</f>
        <v>1</v>
      </c>
      <c r="AB8" s="3" t="s">
        <v>88</v>
      </c>
      <c r="AC8" s="142">
        <f>(29060*8000/(10^3))*'ass. costs &amp; sale prices'!C11/270</f>
        <v>232480</v>
      </c>
    </row>
    <row r="9" spans="1:29" x14ac:dyDescent="0.25">
      <c r="A9" s="1" t="s">
        <v>6</v>
      </c>
      <c r="B9">
        <f>1020</f>
        <v>1020</v>
      </c>
      <c r="C9" s="1" t="s">
        <v>25</v>
      </c>
      <c r="D9" s="43"/>
      <c r="E9" s="75">
        <v>7</v>
      </c>
      <c r="F9" s="76" t="s">
        <v>111</v>
      </c>
      <c r="G9" s="131">
        <f>0</f>
        <v>0</v>
      </c>
      <c r="H9" s="131">
        <f>0</f>
        <v>0</v>
      </c>
      <c r="I9" s="131">
        <f>0</f>
        <v>0</v>
      </c>
      <c r="J9" s="131">
        <f>0</f>
        <v>0</v>
      </c>
      <c r="K9" s="131">
        <f>0</f>
        <v>0</v>
      </c>
      <c r="L9" s="131">
        <f>R28</f>
        <v>4.79</v>
      </c>
      <c r="M9" s="132">
        <f t="shared" si="0"/>
        <v>4.79</v>
      </c>
      <c r="N9" s="189">
        <f t="shared" si="1"/>
        <v>3.4463474153202493E-8</v>
      </c>
      <c r="O9" s="43"/>
      <c r="P9" s="2" t="s">
        <v>35</v>
      </c>
      <c r="Q9" s="3" t="s">
        <v>51</v>
      </c>
      <c r="R9" s="145">
        <f>(2.2*10^6+5.77*10^6)*'ass. costs &amp; sale prices'!C17/10</f>
        <v>7970000</v>
      </c>
    </row>
    <row r="10" spans="1:29" x14ac:dyDescent="0.25">
      <c r="A10" s="1" t="s">
        <v>7</v>
      </c>
      <c r="B10">
        <f>300</f>
        <v>300</v>
      </c>
      <c r="C10" s="1" t="s">
        <v>25</v>
      </c>
      <c r="D10" s="43"/>
      <c r="E10" s="75">
        <v>8</v>
      </c>
      <c r="F10" s="76" t="s">
        <v>59</v>
      </c>
      <c r="G10" s="131">
        <f>0</f>
        <v>0</v>
      </c>
      <c r="H10" s="131">
        <f>0</f>
        <v>0</v>
      </c>
      <c r="I10" s="131">
        <f>0</f>
        <v>0</v>
      </c>
      <c r="J10" s="131">
        <f>R16</f>
        <v>10408000</v>
      </c>
      <c r="K10" s="131">
        <f>0</f>
        <v>0</v>
      </c>
      <c r="L10" s="131">
        <f>R26</f>
        <v>2793.43</v>
      </c>
      <c r="M10" s="132">
        <f t="shared" si="0"/>
        <v>10410793.43</v>
      </c>
      <c r="N10" s="189">
        <f t="shared" si="1"/>
        <v>7.4904407158483358E-2</v>
      </c>
      <c r="O10" s="43"/>
      <c r="Q10" s="3" t="s">
        <v>52</v>
      </c>
      <c r="R10" s="145">
        <f>(3.26*10^5+5.6*10^5)*'ass. costs &amp; sale prices'!C16/0.07</f>
        <v>886000</v>
      </c>
    </row>
    <row r="11" spans="1:29" x14ac:dyDescent="0.25">
      <c r="A11" s="1" t="s">
        <v>8</v>
      </c>
      <c r="B11">
        <f>0.2</f>
        <v>0.2</v>
      </c>
      <c r="C11" s="1" t="s">
        <v>26</v>
      </c>
      <c r="D11" s="43"/>
      <c r="E11" s="75">
        <v>9</v>
      </c>
      <c r="F11" s="77" t="s">
        <v>20</v>
      </c>
      <c r="G11" s="133">
        <f>0</f>
        <v>0</v>
      </c>
      <c r="H11" s="133">
        <f>0</f>
        <v>0</v>
      </c>
      <c r="I11" s="133">
        <f>0</f>
        <v>0</v>
      </c>
      <c r="J11" s="133">
        <f>R15</f>
        <v>17924961</v>
      </c>
      <c r="K11" s="133">
        <f>R21</f>
        <v>679487.83379199996</v>
      </c>
      <c r="L11" s="133">
        <f>0</f>
        <v>0</v>
      </c>
      <c r="M11" s="134">
        <f t="shared" si="0"/>
        <v>18604448.833792001</v>
      </c>
      <c r="N11" s="189">
        <f t="shared" si="1"/>
        <v>0.13385677275949245</v>
      </c>
      <c r="O11" s="43"/>
      <c r="Q11" s="3" t="s">
        <v>53</v>
      </c>
      <c r="R11" s="145">
        <f>9595.2*8000*'ass. costs &amp; sale prices'!C15/10</f>
        <v>10362816</v>
      </c>
    </row>
    <row r="12" spans="1:29" ht="15.75" thickBot="1" x14ac:dyDescent="0.3">
      <c r="A12" s="1" t="s">
        <v>9</v>
      </c>
      <c r="B12">
        <f>3</f>
        <v>3</v>
      </c>
      <c r="C12" s="1" t="s">
        <v>25</v>
      </c>
      <c r="D12" s="43"/>
      <c r="E12" s="78"/>
      <c r="F12" s="79"/>
      <c r="G12" s="135">
        <f t="shared" ref="G12:L12" si="2">SUM(G3:G11)</f>
        <v>13672906.5</v>
      </c>
      <c r="H12" s="135">
        <f t="shared" si="2"/>
        <v>33480000</v>
      </c>
      <c r="I12" s="135">
        <f t="shared" si="2"/>
        <v>47677716</v>
      </c>
      <c r="J12" s="135">
        <f t="shared" si="2"/>
        <v>39511088.289999999</v>
      </c>
      <c r="K12" s="135">
        <f t="shared" si="2"/>
        <v>4136047.8337920001</v>
      </c>
      <c r="L12" s="135">
        <f t="shared" si="2"/>
        <v>509970.20199999999</v>
      </c>
      <c r="M12" s="136">
        <f>SUM(M3:M11)</f>
        <v>138987728.82579201</v>
      </c>
      <c r="N12" s="43"/>
      <c r="O12" s="43"/>
      <c r="Q12" s="3" t="s">
        <v>54</v>
      </c>
      <c r="R12" s="145">
        <f>(28.02*10^6+36608*4+73117*4)*'ass. costs &amp; sale prices'!C22/0.11</f>
        <v>28458900</v>
      </c>
      <c r="S12" s="142">
        <f>SUM(R9:R12)</f>
        <v>47677716</v>
      </c>
      <c r="T12" s="26">
        <f>S12/$S$29</f>
        <v>0.34303543487468252</v>
      </c>
    </row>
    <row r="13" spans="1:29" ht="15.75" thickBot="1" x14ac:dyDescent="0.3">
      <c r="A13" s="1" t="s">
        <v>10</v>
      </c>
      <c r="B13">
        <f>5</f>
        <v>5</v>
      </c>
      <c r="C13" s="1" t="s">
        <v>25</v>
      </c>
      <c r="D13" s="43"/>
      <c r="E13" s="46"/>
      <c r="F13" s="43"/>
      <c r="G13" s="137"/>
      <c r="H13" s="137"/>
      <c r="I13" s="137"/>
      <c r="J13" s="137"/>
      <c r="K13" s="137"/>
      <c r="L13" s="137"/>
      <c r="M13" s="138"/>
      <c r="N13" s="189"/>
      <c r="O13" s="43"/>
      <c r="P13" s="2" t="s">
        <v>40</v>
      </c>
      <c r="Q13" s="3" t="s">
        <v>51</v>
      </c>
      <c r="R13" s="145">
        <f>(1.728*10^6)*'ass. costs &amp; sale prices'!C17/10</f>
        <v>1728000</v>
      </c>
    </row>
    <row r="14" spans="1:29" x14ac:dyDescent="0.25">
      <c r="A14" s="1" t="s">
        <v>11</v>
      </c>
      <c r="B14">
        <f>0</f>
        <v>0</v>
      </c>
      <c r="C14" s="1" t="s">
        <v>25</v>
      </c>
      <c r="D14" s="43"/>
      <c r="E14" s="72"/>
      <c r="F14" s="98" t="s">
        <v>207</v>
      </c>
      <c r="G14" s="73" t="s">
        <v>63</v>
      </c>
      <c r="H14" s="73" t="s">
        <v>122</v>
      </c>
      <c r="I14" s="73" t="s">
        <v>35</v>
      </c>
      <c r="J14" s="73" t="s">
        <v>40</v>
      </c>
      <c r="K14" s="73" t="s">
        <v>80</v>
      </c>
      <c r="L14" s="73" t="s">
        <v>99</v>
      </c>
      <c r="M14" s="74" t="s">
        <v>118</v>
      </c>
      <c r="N14" s="189"/>
      <c r="O14" s="43"/>
      <c r="Q14" s="3" t="s">
        <v>54</v>
      </c>
      <c r="R14" s="145">
        <f>(48889+37736+7+264+633.6+0.26+2.64+176+0.05+8563280+0.26+14.08+642.4+90640+176880+528000+2962)*'ass. costs &amp; sale prices'!C22/0.11</f>
        <v>9450127.290000001</v>
      </c>
    </row>
    <row r="15" spans="1:29" x14ac:dyDescent="0.25">
      <c r="A15" s="1" t="s">
        <v>12</v>
      </c>
      <c r="B15">
        <f>270</f>
        <v>270</v>
      </c>
      <c r="C15" s="1" t="s">
        <v>25</v>
      </c>
      <c r="D15" s="43"/>
      <c r="E15" s="75">
        <v>1</v>
      </c>
      <c r="F15" s="76" t="s">
        <v>53</v>
      </c>
      <c r="G15" s="69">
        <f>G3/$M$3</f>
        <v>7.0496142366520626E-3</v>
      </c>
      <c r="H15" s="69">
        <f t="shared" ref="H15:L15" si="3">H3/$M$3</f>
        <v>0.19608213816175832</v>
      </c>
      <c r="I15" s="69">
        <f t="shared" si="3"/>
        <v>0.79684828182622736</v>
      </c>
      <c r="J15" s="71">
        <f t="shared" si="3"/>
        <v>0</v>
      </c>
      <c r="K15" s="71">
        <f t="shared" si="3"/>
        <v>0</v>
      </c>
      <c r="L15" s="71">
        <f t="shared" si="3"/>
        <v>1.9965775362235506E-5</v>
      </c>
      <c r="M15" s="80">
        <f>M3/$M$3</f>
        <v>1</v>
      </c>
      <c r="N15" s="189"/>
      <c r="O15" s="43"/>
      <c r="Q15" s="3" t="s">
        <v>62</v>
      </c>
      <c r="R15" s="146">
        <f>(8671+17916290)*'ass. costs &amp; sale prices'!C19/1.9</f>
        <v>17924961</v>
      </c>
    </row>
    <row r="16" spans="1:29" x14ac:dyDescent="0.25">
      <c r="E16" s="75">
        <v>2</v>
      </c>
      <c r="F16" s="76" t="s">
        <v>78</v>
      </c>
      <c r="G16" s="71">
        <v>0</v>
      </c>
      <c r="H16" s="71">
        <v>0</v>
      </c>
      <c r="I16" s="71">
        <v>0</v>
      </c>
      <c r="J16" s="71">
        <v>0</v>
      </c>
      <c r="K16" s="71">
        <v>0</v>
      </c>
      <c r="L16" s="71">
        <v>0</v>
      </c>
      <c r="M16" s="81">
        <f t="shared" ref="M16:M23" si="4">SUM(G16:L16)</f>
        <v>0</v>
      </c>
      <c r="N16" s="189"/>
      <c r="Q16" s="3" t="s">
        <v>59</v>
      </c>
      <c r="R16" s="146">
        <f>10408000*'ass. costs &amp; sale prices'!C21/0.1</f>
        <v>10408000</v>
      </c>
      <c r="S16" s="142">
        <f>SUM(R13:R16)</f>
        <v>39511088.289999999</v>
      </c>
      <c r="T16" s="26">
        <f>S16/$S$29</f>
        <v>0.284277530281277</v>
      </c>
    </row>
    <row r="17" spans="1:20" x14ac:dyDescent="0.25">
      <c r="E17" s="75">
        <v>3</v>
      </c>
      <c r="F17" s="76" t="s">
        <v>54</v>
      </c>
      <c r="G17" s="69">
        <f>G5/$M$5</f>
        <v>0.16849024219473188</v>
      </c>
      <c r="H17" s="69">
        <f>H5/$M$5</f>
        <v>0.36101787318986894</v>
      </c>
      <c r="I17" s="69">
        <f>I5/$M$5</f>
        <v>0.35306431447845915</v>
      </c>
      <c r="J17" s="69">
        <f t="shared" ref="J17:L17" si="5">J5/$M$5</f>
        <v>0.11723934211715946</v>
      </c>
      <c r="K17" s="69">
        <f t="shared" si="5"/>
        <v>1.4589588277363777E-4</v>
      </c>
      <c r="L17" s="71">
        <f t="shared" si="5"/>
        <v>4.2332137006820298E-5</v>
      </c>
      <c r="M17" s="81">
        <f t="shared" si="4"/>
        <v>0.99999999999999978</v>
      </c>
      <c r="N17" s="189"/>
      <c r="P17" s="2" t="s">
        <v>80</v>
      </c>
      <c r="Q17" s="3" t="s">
        <v>52</v>
      </c>
      <c r="R17" s="145">
        <f>30240*'ass. costs &amp; sale prices'!C16/0.07</f>
        <v>30240</v>
      </c>
    </row>
    <row r="18" spans="1:20" x14ac:dyDescent="0.25">
      <c r="E18" s="75">
        <v>4</v>
      </c>
      <c r="F18" s="76" t="s">
        <v>51</v>
      </c>
      <c r="G18" s="71">
        <f>G6/$M$6</f>
        <v>0</v>
      </c>
      <c r="H18" s="69">
        <f t="shared" ref="H18:L18" si="6">H6/$M$6</f>
        <v>0.13531587465636996</v>
      </c>
      <c r="I18" s="69">
        <f t="shared" si="6"/>
        <v>0.58932651421380788</v>
      </c>
      <c r="J18" s="69">
        <f t="shared" si="6"/>
        <v>0.12777367836404768</v>
      </c>
      <c r="K18" s="69">
        <f t="shared" si="6"/>
        <v>0.12376892001902638</v>
      </c>
      <c r="L18" s="69">
        <f t="shared" si="6"/>
        <v>2.3815012746747997E-2</v>
      </c>
      <c r="M18" s="81">
        <f t="shared" si="4"/>
        <v>1</v>
      </c>
      <c r="N18" s="189"/>
      <c r="Q18" s="3" t="s">
        <v>54</v>
      </c>
      <c r="R18" s="145">
        <f>(0.77+0.7)*8000*'ass. costs &amp; sale prices'!C22/0.11</f>
        <v>11760</v>
      </c>
    </row>
    <row r="19" spans="1:20" x14ac:dyDescent="0.25">
      <c r="E19" s="75">
        <v>5</v>
      </c>
      <c r="F19" s="76" t="s">
        <v>52</v>
      </c>
      <c r="G19" s="71">
        <f>G7/$M$7</f>
        <v>0</v>
      </c>
      <c r="H19" s="71">
        <f t="shared" ref="H19:L19" si="7">H7/$M$7</f>
        <v>0</v>
      </c>
      <c r="I19" s="69">
        <f t="shared" si="7"/>
        <v>0.80716574269936436</v>
      </c>
      <c r="J19" s="71">
        <f t="shared" si="7"/>
        <v>0</v>
      </c>
      <c r="K19" s="69">
        <f t="shared" si="7"/>
        <v>2.7549313836601329E-2</v>
      </c>
      <c r="L19" s="69">
        <f t="shared" si="7"/>
        <v>0.16528494346403427</v>
      </c>
      <c r="M19" s="81">
        <f t="shared" si="4"/>
        <v>1</v>
      </c>
      <c r="N19" s="189"/>
      <c r="Q19" s="3" t="s">
        <v>96</v>
      </c>
      <c r="R19" s="145">
        <f>217.59*8000*'ass. costs &amp; sale prices'!C18/16.25</f>
        <v>1740720</v>
      </c>
    </row>
    <row r="20" spans="1:20" x14ac:dyDescent="0.25">
      <c r="E20" s="75">
        <v>6</v>
      </c>
      <c r="F20" s="76" t="s">
        <v>96</v>
      </c>
      <c r="G20" s="71">
        <f>G8/$M$8</f>
        <v>0</v>
      </c>
      <c r="H20" s="71">
        <f t="shared" ref="H20:L20" si="8">H8/$M$8</f>
        <v>0</v>
      </c>
      <c r="I20" s="71">
        <f t="shared" si="8"/>
        <v>0</v>
      </c>
      <c r="J20" s="71">
        <f t="shared" si="8"/>
        <v>0</v>
      </c>
      <c r="K20" s="69">
        <f t="shared" si="8"/>
        <v>1</v>
      </c>
      <c r="L20" s="71">
        <f t="shared" si="8"/>
        <v>0</v>
      </c>
      <c r="M20" s="81">
        <f t="shared" si="4"/>
        <v>1</v>
      </c>
      <c r="Q20" s="3" t="s">
        <v>51</v>
      </c>
      <c r="R20" s="145">
        <f>(167.2+42.03)*8000*'ass. costs &amp; sale prices'!C17/10</f>
        <v>1673840</v>
      </c>
    </row>
    <row r="21" spans="1:20" x14ac:dyDescent="0.25">
      <c r="E21" s="75">
        <v>7</v>
      </c>
      <c r="F21" s="76" t="s">
        <v>111</v>
      </c>
      <c r="G21" s="71">
        <f>G9/$M$9</f>
        <v>0</v>
      </c>
      <c r="H21" s="71">
        <f t="shared" ref="H21:L21" si="9">H9/$M$9</f>
        <v>0</v>
      </c>
      <c r="I21" s="71">
        <f t="shared" si="9"/>
        <v>0</v>
      </c>
      <c r="J21" s="69">
        <f t="shared" si="9"/>
        <v>0</v>
      </c>
      <c r="K21" s="71">
        <f t="shared" si="9"/>
        <v>0</v>
      </c>
      <c r="L21" s="69">
        <f t="shared" si="9"/>
        <v>1</v>
      </c>
      <c r="M21" s="81">
        <f t="shared" si="4"/>
        <v>1</v>
      </c>
      <c r="Q21" s="3" t="s">
        <v>62</v>
      </c>
      <c r="R21" s="146">
        <f>(0.93148*8.302*8000 + 36.97*8000)*'ass. costs &amp; sale prices'!C19</f>
        <v>679487.83379199996</v>
      </c>
      <c r="S21" s="142">
        <f>SUM(R17:R21)</f>
        <v>4136047.8337920001</v>
      </c>
      <c r="T21" s="26">
        <f>S21/$S$29</f>
        <v>2.975836693450935E-2</v>
      </c>
    </row>
    <row r="22" spans="1:20" x14ac:dyDescent="0.25">
      <c r="A22" s="1" t="s">
        <v>13</v>
      </c>
      <c r="B22" s="1" t="s">
        <v>14</v>
      </c>
      <c r="C22" s="1" t="s">
        <v>24</v>
      </c>
      <c r="D22" s="43"/>
      <c r="E22" s="75">
        <v>8</v>
      </c>
      <c r="F22" s="76" t="s">
        <v>59</v>
      </c>
      <c r="G22" s="71">
        <f>G10/$M$10</f>
        <v>0</v>
      </c>
      <c r="H22" s="71">
        <f t="shared" ref="H22:L22" si="10">H10/$M$10</f>
        <v>0</v>
      </c>
      <c r="I22" s="71">
        <f t="shared" si="10"/>
        <v>0</v>
      </c>
      <c r="J22" s="69">
        <f t="shared" si="10"/>
        <v>0.99973167943262131</v>
      </c>
      <c r="K22" s="71">
        <f t="shared" si="10"/>
        <v>0</v>
      </c>
      <c r="L22" s="69">
        <f t="shared" si="10"/>
        <v>2.6832056737869595E-4</v>
      </c>
      <c r="M22" s="81">
        <f t="shared" si="4"/>
        <v>1</v>
      </c>
      <c r="N22" s="43"/>
      <c r="O22" s="43"/>
      <c r="P22" s="2" t="s">
        <v>99</v>
      </c>
      <c r="Q22" s="3" t="s">
        <v>52</v>
      </c>
      <c r="R22" s="145">
        <f>(4.26+8.49)*8000*'ass. costs &amp; sale prices'!C16/0.07</f>
        <v>102000</v>
      </c>
    </row>
    <row r="23" spans="1:20" ht="15.75" thickBot="1" x14ac:dyDescent="0.3">
      <c r="A23" s="1" t="s">
        <v>16</v>
      </c>
      <c r="B23">
        <f>1.35</f>
        <v>1.35</v>
      </c>
      <c r="C23" s="1" t="s">
        <v>25</v>
      </c>
      <c r="D23" s="43"/>
      <c r="E23" s="78">
        <v>9</v>
      </c>
      <c r="F23" s="79" t="s">
        <v>20</v>
      </c>
      <c r="G23" s="82">
        <f>G11/$M$11</f>
        <v>0</v>
      </c>
      <c r="H23" s="82">
        <f t="shared" ref="H23:L23" si="11">H11/$M$11</f>
        <v>0</v>
      </c>
      <c r="I23" s="82">
        <f t="shared" si="11"/>
        <v>0</v>
      </c>
      <c r="J23" s="83">
        <f t="shared" si="11"/>
        <v>0.96347713174077909</v>
      </c>
      <c r="K23" s="83">
        <f t="shared" si="11"/>
        <v>3.6522868259220832E-2</v>
      </c>
      <c r="L23" s="82">
        <f t="shared" si="11"/>
        <v>0</v>
      </c>
      <c r="M23" s="84">
        <f t="shared" si="4"/>
        <v>0.99999999999999989</v>
      </c>
      <c r="N23" s="43"/>
      <c r="O23" s="43"/>
      <c r="Q23" s="3" t="s">
        <v>109</v>
      </c>
      <c r="R23" s="141">
        <f>1134685.6*'ass. costs &amp; sale prices'!C16</f>
        <v>79427.992000000013</v>
      </c>
    </row>
    <row r="24" spans="1:20" ht="15.75" thickBot="1" x14ac:dyDescent="0.3">
      <c r="A24" s="1" t="s">
        <v>17</v>
      </c>
      <c r="B24">
        <f>0.07</f>
        <v>7.0000000000000007E-2</v>
      </c>
      <c r="C24" s="1" t="s">
        <v>25</v>
      </c>
      <c r="D24" s="43"/>
      <c r="E24" s="46"/>
      <c r="F24" s="43"/>
      <c r="G24" s="70"/>
      <c r="H24" s="70"/>
      <c r="I24" s="70"/>
      <c r="J24" s="70"/>
      <c r="K24" s="70"/>
      <c r="L24" s="70"/>
      <c r="M24" s="89"/>
      <c r="N24" s="43"/>
      <c r="O24" s="43"/>
      <c r="Q24" s="3" t="s">
        <v>110</v>
      </c>
      <c r="R24" s="141">
        <f>(322068.8+3.34)*'ass. costs &amp; sale prices'!C17/10</f>
        <v>322072.14</v>
      </c>
    </row>
    <row r="25" spans="1:20" x14ac:dyDescent="0.25">
      <c r="A25" s="1" t="s">
        <v>18</v>
      </c>
      <c r="B25">
        <f>10</f>
        <v>10</v>
      </c>
      <c r="C25" s="1" t="s">
        <v>25</v>
      </c>
      <c r="D25" s="43"/>
      <c r="E25" s="72"/>
      <c r="F25" s="98" t="s">
        <v>206</v>
      </c>
      <c r="G25" s="73" t="s">
        <v>63</v>
      </c>
      <c r="H25" s="73" t="s">
        <v>122</v>
      </c>
      <c r="I25" s="73" t="s">
        <v>35</v>
      </c>
      <c r="J25" s="73" t="s">
        <v>40</v>
      </c>
      <c r="K25" s="73" t="s">
        <v>80</v>
      </c>
      <c r="L25" s="85" t="s">
        <v>99</v>
      </c>
      <c r="M25" s="90"/>
      <c r="N25" s="43"/>
      <c r="O25" s="43"/>
      <c r="Q25" s="3" t="s">
        <v>54</v>
      </c>
      <c r="R25" s="141">
        <f>3412.2*'ass. costs &amp; sale prices'!C22/0.11</f>
        <v>3412.2</v>
      </c>
    </row>
    <row r="26" spans="1:20" x14ac:dyDescent="0.25">
      <c r="A26" s="1" t="s">
        <v>19</v>
      </c>
      <c r="B26">
        <f>16.25</f>
        <v>16.25</v>
      </c>
      <c r="C26" s="1" t="s">
        <v>25</v>
      </c>
      <c r="D26" s="43"/>
      <c r="E26" s="75">
        <v>1</v>
      </c>
      <c r="F26" s="76" t="s">
        <v>53</v>
      </c>
      <c r="G26" s="69">
        <f>G3/$G$12</f>
        <v>6.705121548223854E-3</v>
      </c>
      <c r="H26" s="69">
        <f>H3/$H$12</f>
        <v>7.6164874551971323E-2</v>
      </c>
      <c r="I26" s="69">
        <f>I3/$I$12</f>
        <v>0.21735135131053676</v>
      </c>
      <c r="J26" s="69">
        <f>J3/$J$12</f>
        <v>0</v>
      </c>
      <c r="K26" s="69">
        <f>K3/$K$12</f>
        <v>0</v>
      </c>
      <c r="L26" s="80">
        <f>L3/$L$12</f>
        <v>5.0914739524330092E-4</v>
      </c>
      <c r="M26" s="91"/>
      <c r="N26" s="43"/>
      <c r="O26" s="43"/>
      <c r="Q26" s="3" t="s">
        <v>59</v>
      </c>
      <c r="R26" s="141">
        <f>(191.43+2602)*'ass. costs &amp; sale prices'!C21/0.1</f>
        <v>2793.43</v>
      </c>
    </row>
    <row r="27" spans="1:20" x14ac:dyDescent="0.25">
      <c r="A27" s="1" t="s">
        <v>20</v>
      </c>
      <c r="B27">
        <f>1.9</f>
        <v>1.9</v>
      </c>
      <c r="C27" s="1" t="s">
        <v>25</v>
      </c>
      <c r="D27" s="43"/>
      <c r="E27" s="75">
        <v>2</v>
      </c>
      <c r="F27" s="76" t="s">
        <v>78</v>
      </c>
      <c r="G27" s="71">
        <f t="shared" ref="G27:G35" si="12">G4/$G$12</f>
        <v>0</v>
      </c>
      <c r="H27" s="71">
        <f t="shared" ref="H27:H35" si="13">H4/$H$12</f>
        <v>0</v>
      </c>
      <c r="I27" s="71">
        <f t="shared" ref="I27:I35" si="14">I4/$I$12</f>
        <v>0</v>
      </c>
      <c r="J27" s="71">
        <f t="shared" ref="J27:J35" si="15">J4/$J$12</f>
        <v>0</v>
      </c>
      <c r="K27" s="71">
        <f t="shared" ref="K27:K35" si="16">K4/$K$12</f>
        <v>0</v>
      </c>
      <c r="L27" s="86">
        <f t="shared" ref="L27:L35" si="17">L4/$L$12</f>
        <v>0</v>
      </c>
      <c r="M27" s="92"/>
      <c r="N27" s="43"/>
      <c r="O27" s="43"/>
      <c r="Q27" s="3" t="s">
        <v>53</v>
      </c>
      <c r="R27" s="141">
        <f>259.65</f>
        <v>259.64999999999998</v>
      </c>
    </row>
    <row r="28" spans="1:20" x14ac:dyDescent="0.25">
      <c r="A28" s="1" t="s">
        <v>21</v>
      </c>
      <c r="B28">
        <f>0.5/100</f>
        <v>5.0000000000000001E-3</v>
      </c>
      <c r="C28" s="1" t="s">
        <v>26</v>
      </c>
      <c r="D28" s="43"/>
      <c r="E28" s="75">
        <v>3</v>
      </c>
      <c r="F28" s="76" t="s">
        <v>54</v>
      </c>
      <c r="G28" s="69">
        <f t="shared" si="12"/>
        <v>0.99329487845177611</v>
      </c>
      <c r="H28" s="69">
        <f>H5/$H$12</f>
        <v>0.86917562724014341</v>
      </c>
      <c r="I28" s="69">
        <f t="shared" si="14"/>
        <v>0.59690149586863595</v>
      </c>
      <c r="J28" s="69">
        <f t="shared" si="15"/>
        <v>0.23917658811720879</v>
      </c>
      <c r="K28" s="69">
        <f t="shared" si="16"/>
        <v>2.8432940025304855E-3</v>
      </c>
      <c r="L28" s="80">
        <f t="shared" si="17"/>
        <v>6.6909791721517092E-3</v>
      </c>
      <c r="M28" s="92"/>
      <c r="N28" s="43"/>
      <c r="O28" s="43"/>
      <c r="Q28" s="3" t="s">
        <v>111</v>
      </c>
      <c r="R28" s="147">
        <f>4.79*'ass. costs &amp; sale prices'!C20/0.005</f>
        <v>4.79</v>
      </c>
      <c r="S28" s="148">
        <f>SUM(R22:R28)</f>
        <v>509970.20200000005</v>
      </c>
      <c r="T28" s="27">
        <f>S28/$S$29</f>
        <v>3.669174295517841E-3</v>
      </c>
    </row>
    <row r="29" spans="1:20" x14ac:dyDescent="0.25">
      <c r="A29" s="1" t="s">
        <v>22</v>
      </c>
      <c r="B29">
        <f>10/100</f>
        <v>0.1</v>
      </c>
      <c r="C29" s="1" t="s">
        <v>26</v>
      </c>
      <c r="D29" s="43"/>
      <c r="E29" s="75">
        <v>4</v>
      </c>
      <c r="F29" s="76" t="s">
        <v>51</v>
      </c>
      <c r="G29" s="71">
        <f t="shared" si="12"/>
        <v>0</v>
      </c>
      <c r="H29" s="69">
        <f t="shared" si="13"/>
        <v>5.4659498207885307E-2</v>
      </c>
      <c r="I29" s="69">
        <f t="shared" si="14"/>
        <v>0.16716404787511213</v>
      </c>
      <c r="J29" s="69">
        <f t="shared" si="15"/>
        <v>4.3734558443872217E-2</v>
      </c>
      <c r="K29" s="69">
        <f t="shared" si="16"/>
        <v>0.40469551302683909</v>
      </c>
      <c r="L29" s="80">
        <f t="shared" si="17"/>
        <v>0.63155089990924607</v>
      </c>
      <c r="M29" s="92"/>
      <c r="N29" s="43"/>
      <c r="O29" s="43"/>
      <c r="R29" s="149">
        <f>SUM(R3:R28)</f>
        <v>138987728.82579201</v>
      </c>
      <c r="S29" s="142">
        <f>SUM(S3:S28)</f>
        <v>138987728.82579198</v>
      </c>
      <c r="T29" s="26">
        <f>SUM(T3:T28)</f>
        <v>1.0000000000000002</v>
      </c>
    </row>
    <row r="30" spans="1:20" x14ac:dyDescent="0.25">
      <c r="A30" s="1" t="s">
        <v>15</v>
      </c>
      <c r="B30">
        <f>0.11</f>
        <v>0.11</v>
      </c>
      <c r="C30" s="1" t="s">
        <v>27</v>
      </c>
      <c r="D30" s="43"/>
      <c r="E30" s="75">
        <v>5</v>
      </c>
      <c r="F30" s="76" t="s">
        <v>52</v>
      </c>
      <c r="G30" s="71">
        <f t="shared" si="12"/>
        <v>0</v>
      </c>
      <c r="H30" s="71">
        <f t="shared" si="13"/>
        <v>0</v>
      </c>
      <c r="I30" s="69">
        <f t="shared" si="14"/>
        <v>1.85831049457151E-2</v>
      </c>
      <c r="J30" s="71">
        <f t="shared" si="15"/>
        <v>0</v>
      </c>
      <c r="K30" s="69">
        <f t="shared" si="16"/>
        <v>7.3113274350783911E-3</v>
      </c>
      <c r="L30" s="80">
        <f t="shared" si="17"/>
        <v>0.3557619470480356</v>
      </c>
      <c r="M30" s="92"/>
      <c r="N30" s="43"/>
      <c r="O30" s="43"/>
    </row>
    <row r="31" spans="1:20" x14ac:dyDescent="0.25">
      <c r="A31" s="1"/>
      <c r="C31" s="1"/>
      <c r="D31" s="43"/>
      <c r="E31" s="75">
        <v>6</v>
      </c>
      <c r="F31" s="76" t="s">
        <v>96</v>
      </c>
      <c r="G31" s="71">
        <f t="shared" si="12"/>
        <v>0</v>
      </c>
      <c r="H31" s="71">
        <f t="shared" si="13"/>
        <v>0</v>
      </c>
      <c r="I31" s="71">
        <f t="shared" si="14"/>
        <v>0</v>
      </c>
      <c r="J31" s="71">
        <f t="shared" si="15"/>
        <v>0</v>
      </c>
      <c r="K31" s="69">
        <f t="shared" si="16"/>
        <v>0.42086553878272676</v>
      </c>
      <c r="L31" s="86">
        <f t="shared" si="17"/>
        <v>0</v>
      </c>
      <c r="M31" s="92"/>
      <c r="N31" s="43"/>
      <c r="O31" s="43"/>
    </row>
    <row r="32" spans="1:20" x14ac:dyDescent="0.25">
      <c r="E32" s="75">
        <v>7</v>
      </c>
      <c r="F32" s="76" t="s">
        <v>111</v>
      </c>
      <c r="G32" s="71">
        <f t="shared" si="12"/>
        <v>0</v>
      </c>
      <c r="H32" s="71">
        <f t="shared" si="13"/>
        <v>0</v>
      </c>
      <c r="I32" s="71">
        <f t="shared" si="14"/>
        <v>0</v>
      </c>
      <c r="J32" s="71">
        <f t="shared" si="15"/>
        <v>0</v>
      </c>
      <c r="K32" s="71">
        <f t="shared" si="16"/>
        <v>0</v>
      </c>
      <c r="L32" s="86">
        <f t="shared" si="17"/>
        <v>9.3927056545943048E-6</v>
      </c>
      <c r="M32" s="92"/>
    </row>
    <row r="33" spans="1:18" x14ac:dyDescent="0.25">
      <c r="A33" s="2" t="s">
        <v>30</v>
      </c>
      <c r="B33" s="2" t="s">
        <v>31</v>
      </c>
      <c r="E33" s="75">
        <v>8</v>
      </c>
      <c r="F33" s="76" t="s">
        <v>59</v>
      </c>
      <c r="G33" s="71">
        <f t="shared" si="12"/>
        <v>0</v>
      </c>
      <c r="H33" s="71">
        <f t="shared" si="13"/>
        <v>0</v>
      </c>
      <c r="I33" s="71">
        <f t="shared" si="14"/>
        <v>0</v>
      </c>
      <c r="J33" s="69">
        <f t="shared" si="15"/>
        <v>0.26341972470128588</v>
      </c>
      <c r="K33" s="71">
        <f t="shared" si="16"/>
        <v>0</v>
      </c>
      <c r="L33" s="80">
        <f t="shared" si="17"/>
        <v>5.4776337696687619E-3</v>
      </c>
      <c r="M33" s="92"/>
    </row>
    <row r="34" spans="1:18" x14ac:dyDescent="0.25">
      <c r="A34">
        <f>523*275</f>
        <v>143825</v>
      </c>
      <c r="B34">
        <f>A34/10000</f>
        <v>14.3825</v>
      </c>
      <c r="E34" s="75">
        <v>9</v>
      </c>
      <c r="F34" s="77" t="s">
        <v>20</v>
      </c>
      <c r="G34" s="93">
        <f t="shared" si="12"/>
        <v>0</v>
      </c>
      <c r="H34" s="93">
        <f t="shared" si="13"/>
        <v>0</v>
      </c>
      <c r="I34" s="93">
        <f t="shared" si="14"/>
        <v>0</v>
      </c>
      <c r="J34" s="68">
        <f t="shared" si="15"/>
        <v>0.45366912873763315</v>
      </c>
      <c r="K34" s="68">
        <f t="shared" si="16"/>
        <v>0.16428432675282523</v>
      </c>
      <c r="L34" s="94">
        <f t="shared" si="17"/>
        <v>0</v>
      </c>
      <c r="M34" s="92"/>
      <c r="Q34" s="20"/>
    </row>
    <row r="35" spans="1:18" ht="15.75" thickBot="1" x14ac:dyDescent="0.3">
      <c r="A35" s="1" t="s">
        <v>28</v>
      </c>
      <c r="B35" s="1" t="s">
        <v>32</v>
      </c>
      <c r="E35" s="78"/>
      <c r="F35" s="79"/>
      <c r="G35" s="95">
        <f t="shared" si="12"/>
        <v>1</v>
      </c>
      <c r="H35" s="95">
        <f t="shared" si="13"/>
        <v>1</v>
      </c>
      <c r="I35" s="95">
        <f t="shared" si="14"/>
        <v>1</v>
      </c>
      <c r="J35" s="95">
        <f t="shared" si="15"/>
        <v>1</v>
      </c>
      <c r="K35" s="95">
        <f t="shared" si="16"/>
        <v>1</v>
      </c>
      <c r="L35" s="96">
        <f t="shared" si="17"/>
        <v>1</v>
      </c>
      <c r="M35" s="92"/>
      <c r="P35" s="2" t="s">
        <v>40</v>
      </c>
    </row>
    <row r="36" spans="1:18" ht="15.75" thickBot="1" x14ac:dyDescent="0.3">
      <c r="A36" s="1" t="s">
        <v>29</v>
      </c>
      <c r="B36">
        <f>200*10^3*B34</f>
        <v>2876500</v>
      </c>
      <c r="M36" s="92"/>
    </row>
    <row r="37" spans="1:18" x14ac:dyDescent="0.25">
      <c r="E37" s="72"/>
      <c r="F37" s="101" t="s">
        <v>209</v>
      </c>
      <c r="G37" s="73" t="s">
        <v>63</v>
      </c>
      <c r="H37" s="73" t="s">
        <v>122</v>
      </c>
      <c r="I37" s="73" t="s">
        <v>35</v>
      </c>
      <c r="J37" s="73" t="s">
        <v>40</v>
      </c>
      <c r="K37" s="73" t="s">
        <v>80</v>
      </c>
      <c r="L37" s="73" t="s">
        <v>99</v>
      </c>
      <c r="M37" s="88" t="s">
        <v>118</v>
      </c>
      <c r="Q37" s="3" t="s">
        <v>54</v>
      </c>
      <c r="R37" s="141">
        <f>48889+37736+7+264+633.6+0.26+2.64+176+0.05+8563280+0.26+14.08+642.4+90640+176880+528000+2962</f>
        <v>9450127.290000001</v>
      </c>
    </row>
    <row r="38" spans="1:18" x14ac:dyDescent="0.25">
      <c r="E38" s="75">
        <v>1</v>
      </c>
      <c r="F38" s="76" t="s">
        <v>108</v>
      </c>
      <c r="G38" s="131">
        <f>X3</f>
        <v>158041600</v>
      </c>
      <c r="H38" s="131"/>
      <c r="I38" s="131"/>
      <c r="J38" s="131"/>
      <c r="K38" s="131"/>
      <c r="L38" s="131"/>
      <c r="M38" s="132">
        <f>SUM(G38:L38)</f>
        <v>158041600</v>
      </c>
      <c r="P38" s="2" t="s">
        <v>63</v>
      </c>
      <c r="R38" s="150">
        <f>8563280</f>
        <v>8563280</v>
      </c>
    </row>
    <row r="39" spans="1:18" x14ac:dyDescent="0.25">
      <c r="E39" s="75">
        <v>2</v>
      </c>
      <c r="F39" s="76" t="s">
        <v>112</v>
      </c>
      <c r="G39" s="131"/>
      <c r="H39" s="131"/>
      <c r="I39" s="131">
        <f>X4</f>
        <v>60960</v>
      </c>
      <c r="J39" s="131"/>
      <c r="K39" s="131"/>
      <c r="L39" s="131"/>
      <c r="M39" s="132">
        <f t="shared" ref="M39:M42" si="18">SUM(G39:L39)</f>
        <v>60960</v>
      </c>
    </row>
    <row r="40" spans="1:18" x14ac:dyDescent="0.25">
      <c r="E40" s="75">
        <v>3</v>
      </c>
      <c r="F40" s="76" t="s">
        <v>56</v>
      </c>
      <c r="G40" s="131"/>
      <c r="H40" s="131"/>
      <c r="I40" s="131">
        <f>X5</f>
        <v>2910800</v>
      </c>
      <c r="J40" s="131"/>
      <c r="K40" s="131"/>
      <c r="L40" s="131"/>
      <c r="M40" s="132">
        <f t="shared" si="18"/>
        <v>2910800</v>
      </c>
      <c r="Q40" s="3" t="s">
        <v>54</v>
      </c>
      <c r="R40" s="141">
        <f>11352+5843200+2816+17600+72600+66000+3740+4159760+561440+2768920+70400+3400</f>
        <v>13581228</v>
      </c>
    </row>
    <row r="41" spans="1:18" x14ac:dyDescent="0.25">
      <c r="E41" s="75">
        <v>4</v>
      </c>
      <c r="F41" s="76" t="s">
        <v>58</v>
      </c>
      <c r="G41" s="131"/>
      <c r="H41" s="131"/>
      <c r="I41" s="131">
        <f>X6</f>
        <v>5244.5</v>
      </c>
      <c r="J41" s="131"/>
      <c r="K41" s="131"/>
      <c r="L41" s="131"/>
      <c r="M41" s="132">
        <f t="shared" si="18"/>
        <v>5244.5</v>
      </c>
      <c r="R41" s="150">
        <f>5843200</f>
        <v>5843200</v>
      </c>
    </row>
    <row r="42" spans="1:18" x14ac:dyDescent="0.25">
      <c r="E42" s="75">
        <v>5</v>
      </c>
      <c r="F42" s="76" t="s">
        <v>60</v>
      </c>
      <c r="G42" s="133"/>
      <c r="H42" s="133"/>
      <c r="I42" s="133"/>
      <c r="J42" s="133">
        <f>X7</f>
        <v>3415853.7</v>
      </c>
      <c r="K42" s="133"/>
      <c r="L42" s="133"/>
      <c r="M42" s="134">
        <f t="shared" si="18"/>
        <v>3415853.7</v>
      </c>
      <c r="R42" s="150">
        <f>2768920</f>
        <v>2768920</v>
      </c>
    </row>
    <row r="43" spans="1:18" ht="15.75" thickBot="1" x14ac:dyDescent="0.3">
      <c r="E43" s="99"/>
      <c r="F43" s="100"/>
      <c r="G43" s="139">
        <f>SUM(G38:G42)</f>
        <v>158041600</v>
      </c>
      <c r="H43" s="139">
        <f t="shared" ref="H43:L43" si="19">SUM(H38:H42)</f>
        <v>0</v>
      </c>
      <c r="I43" s="139">
        <f t="shared" si="19"/>
        <v>2977004.5</v>
      </c>
      <c r="J43" s="139">
        <f t="shared" si="19"/>
        <v>3415853.7</v>
      </c>
      <c r="K43" s="139">
        <f t="shared" si="19"/>
        <v>0</v>
      </c>
      <c r="L43" s="139">
        <f t="shared" si="19"/>
        <v>0</v>
      </c>
      <c r="M43" s="140">
        <f>SUM(M38:M42)</f>
        <v>164434458.19999999</v>
      </c>
    </row>
  </sheetData>
  <phoneticPr fontId="13"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B7807-20AD-435F-A4D7-92857FF0B302}">
  <sheetPr>
    <tabColor theme="4" tint="0.39997558519241921"/>
  </sheetPr>
  <dimension ref="A1:AC43"/>
  <sheetViews>
    <sheetView topLeftCell="D1" zoomScale="82" zoomScaleNormal="82" workbookViewId="0">
      <selection activeCell="X2" sqref="X2"/>
    </sheetView>
  </sheetViews>
  <sheetFormatPr defaultRowHeight="15" x14ac:dyDescent="0.25"/>
  <cols>
    <col min="1" max="1" width="24.7109375" hidden="1" customWidth="1"/>
    <col min="2" max="2" width="11.140625" hidden="1" customWidth="1"/>
    <col min="3" max="3" width="8" hidden="1" customWidth="1"/>
    <col min="4" max="4" width="3.7109375" style="40" customWidth="1"/>
    <col min="5" max="5" width="6.7109375" style="47" customWidth="1"/>
    <col min="6" max="6" width="28.140625" style="40" bestFit="1" customWidth="1"/>
    <col min="7" max="7" width="14.42578125" style="40" bestFit="1" customWidth="1"/>
    <col min="8" max="8" width="13.28515625" style="40" customWidth="1"/>
    <col min="9" max="9" width="13.85546875" style="40" bestFit="1" customWidth="1"/>
    <col min="10" max="10" width="13.28515625" style="40" bestFit="1" customWidth="1"/>
    <col min="11" max="11" width="12.85546875" style="40" bestFit="1" customWidth="1"/>
    <col min="12" max="12" width="12" style="40" customWidth="1"/>
    <col min="13" max="13" width="14.42578125" style="87" bestFit="1" customWidth="1"/>
    <col min="14" max="14" width="4.85546875" style="40" bestFit="1" customWidth="1"/>
    <col min="15" max="15" width="2" style="40" customWidth="1"/>
    <col min="17" max="17" width="40" customWidth="1"/>
    <col min="18" max="18" width="15.42578125" style="141" customWidth="1"/>
    <col min="19" max="19" width="14.42578125" style="142" bestFit="1" customWidth="1"/>
    <col min="20" max="20" width="9.140625" style="26" bestFit="1" customWidth="1"/>
    <col min="21" max="21" width="2.5703125" style="40" customWidth="1"/>
    <col min="23" max="23" width="13.140625" bestFit="1" customWidth="1"/>
    <col min="24" max="24" width="17.28515625" style="146" customWidth="1"/>
    <col min="25" max="25" width="11.5703125" style="142" bestFit="1" customWidth="1"/>
    <col min="26" max="26" width="9.7109375" style="26" customWidth="1"/>
    <col min="27" max="27" width="3.140625" style="45" customWidth="1"/>
    <col min="28" max="28" width="8" customWidth="1"/>
    <col min="29" max="29" width="21.7109375" customWidth="1"/>
  </cols>
  <sheetData>
    <row r="1" spans="1:29" ht="15.75" thickBot="1" x14ac:dyDescent="0.3"/>
    <row r="2" spans="1:29" s="28" customFormat="1" ht="30" x14ac:dyDescent="0.25">
      <c r="D2" s="41"/>
      <c r="E2" s="72"/>
      <c r="F2" s="97" t="s">
        <v>208</v>
      </c>
      <c r="G2" s="73" t="s">
        <v>63</v>
      </c>
      <c r="H2" s="73" t="s">
        <v>122</v>
      </c>
      <c r="I2" s="73" t="s">
        <v>35</v>
      </c>
      <c r="J2" s="73" t="s">
        <v>40</v>
      </c>
      <c r="K2" s="73" t="s">
        <v>80</v>
      </c>
      <c r="L2" s="73" t="s">
        <v>99</v>
      </c>
      <c r="M2" s="88" t="s">
        <v>118</v>
      </c>
      <c r="N2" s="41"/>
      <c r="O2" s="41"/>
      <c r="P2" s="29"/>
      <c r="Q2" s="29"/>
      <c r="R2" s="143" t="s">
        <v>50</v>
      </c>
      <c r="S2" s="144" t="s">
        <v>295</v>
      </c>
      <c r="T2" s="32" t="s">
        <v>201</v>
      </c>
      <c r="U2" s="41"/>
      <c r="V2" s="29"/>
      <c r="W2" s="29"/>
      <c r="X2" s="143" t="s">
        <v>57</v>
      </c>
      <c r="Y2" s="144" t="s">
        <v>200</v>
      </c>
      <c r="Z2" s="32" t="s">
        <v>201</v>
      </c>
      <c r="AA2" s="44"/>
      <c r="AB2" s="33"/>
      <c r="AC2" s="33" t="s">
        <v>98</v>
      </c>
    </row>
    <row r="3" spans="1:29" x14ac:dyDescent="0.25">
      <c r="A3" s="1" t="s">
        <v>0</v>
      </c>
      <c r="B3" s="1" t="s">
        <v>23</v>
      </c>
      <c r="C3" s="1" t="s">
        <v>24</v>
      </c>
      <c r="D3" s="43"/>
      <c r="E3" s="75">
        <v>1</v>
      </c>
      <c r="F3" s="76" t="s">
        <v>53</v>
      </c>
      <c r="G3" s="131">
        <f>R3</f>
        <v>91678.5</v>
      </c>
      <c r="H3" s="131">
        <f>R8</f>
        <v>2550000</v>
      </c>
      <c r="I3" s="131">
        <f>R11</f>
        <v>10362816</v>
      </c>
      <c r="J3" s="131">
        <f>0</f>
        <v>0</v>
      </c>
      <c r="K3" s="131">
        <f>0</f>
        <v>0</v>
      </c>
      <c r="L3" s="131">
        <f>R27</f>
        <v>259.64999999999998</v>
      </c>
      <c r="M3" s="132">
        <f>SUM(G3:L3)</f>
        <v>13004754.15</v>
      </c>
      <c r="N3" s="189">
        <f>M3/$M$12</f>
        <v>0.11011915303183138</v>
      </c>
      <c r="O3" s="43"/>
      <c r="P3" s="2" t="s">
        <v>63</v>
      </c>
      <c r="Q3" s="3" t="s">
        <v>53</v>
      </c>
      <c r="R3" s="145">
        <f>(67680+230)*'ass. costs &amp; sale prices'!C15</f>
        <v>91678.5</v>
      </c>
      <c r="V3" s="2" t="s">
        <v>63</v>
      </c>
      <c r="W3" s="3" t="s">
        <v>108</v>
      </c>
      <c r="X3" s="146">
        <f>987760*'ass. costs &amp; sale prices'!C4</f>
        <v>158041600</v>
      </c>
      <c r="Y3" s="142">
        <f>SUM(X3)</f>
        <v>158041600</v>
      </c>
      <c r="Z3" s="26">
        <f>Y3/$Y$8</f>
        <v>0.96112215000444479</v>
      </c>
      <c r="AB3" s="3"/>
      <c r="AC3" s="17"/>
    </row>
    <row r="4" spans="1:29" x14ac:dyDescent="0.25">
      <c r="A4" s="1" t="s">
        <v>1</v>
      </c>
      <c r="B4">
        <f>160</f>
        <v>160</v>
      </c>
      <c r="C4" s="1" t="s">
        <v>25</v>
      </c>
      <c r="D4" s="43"/>
      <c r="E4" s="75">
        <v>2</v>
      </c>
      <c r="F4" s="76" t="s">
        <v>78</v>
      </c>
      <c r="G4" s="131">
        <v>0</v>
      </c>
      <c r="H4" s="131">
        <v>0</v>
      </c>
      <c r="I4" s="131">
        <v>0</v>
      </c>
      <c r="J4" s="131">
        <v>0</v>
      </c>
      <c r="K4" s="131">
        <v>0</v>
      </c>
      <c r="L4" s="131">
        <v>0</v>
      </c>
      <c r="M4" s="132">
        <f t="shared" ref="M4:M11" si="0">SUM(G4:L4)</f>
        <v>0</v>
      </c>
      <c r="N4" s="189">
        <f t="shared" ref="N4:N11" si="1">M4/$M$12</f>
        <v>0</v>
      </c>
      <c r="O4" s="43"/>
      <c r="Q4" s="3" t="s">
        <v>78</v>
      </c>
      <c r="R4" s="145">
        <f>0</f>
        <v>0</v>
      </c>
      <c r="V4" s="2" t="s">
        <v>35</v>
      </c>
      <c r="W4" s="3" t="s">
        <v>112</v>
      </c>
      <c r="X4" s="146">
        <f>60960*'ass. costs &amp; sale prices'!C8/3</f>
        <v>60960</v>
      </c>
      <c r="AB4" s="3"/>
    </row>
    <row r="5" spans="1:29" x14ac:dyDescent="0.25">
      <c r="A5" s="1" t="s">
        <v>2</v>
      </c>
      <c r="B5">
        <f>78</f>
        <v>78</v>
      </c>
      <c r="C5" s="1" t="s">
        <v>25</v>
      </c>
      <c r="D5" s="43"/>
      <c r="E5" s="75">
        <v>3</v>
      </c>
      <c r="F5" s="76" t="s">
        <v>54</v>
      </c>
      <c r="G5" s="131">
        <f>R5</f>
        <v>13581228</v>
      </c>
      <c r="H5" s="131">
        <f>R6</f>
        <v>20370000</v>
      </c>
      <c r="I5" s="131">
        <f>R12</f>
        <v>18498285</v>
      </c>
      <c r="J5" s="131">
        <f>R14</f>
        <v>9450127.290000001</v>
      </c>
      <c r="K5" s="131">
        <f>R18</f>
        <v>11760</v>
      </c>
      <c r="L5" s="131">
        <f>R25</f>
        <v>3412.2</v>
      </c>
      <c r="M5" s="132">
        <f t="shared" si="0"/>
        <v>61914812.490000002</v>
      </c>
      <c r="N5" s="189">
        <f>M5/$M$12</f>
        <v>0.52427032705754417</v>
      </c>
      <c r="O5" s="43"/>
      <c r="Q5" s="3" t="s">
        <v>54</v>
      </c>
      <c r="R5" s="145">
        <f>(11352+5843200+2816+17600+72600+66000+3740+4159760+561440+2768920+70400+3400)*'ass. costs &amp; sale prices'!C22/0.11</f>
        <v>13581228</v>
      </c>
      <c r="S5" s="142">
        <f>SUM(R3:R5)</f>
        <v>13672906.5</v>
      </c>
      <c r="T5" s="26">
        <f>S5/$S$29</f>
        <v>0.11577680484359039</v>
      </c>
      <c r="W5" s="3" t="s">
        <v>56</v>
      </c>
      <c r="X5" s="146">
        <f>2910800*'ass. costs &amp; sale prices'!C9/5</f>
        <v>2910800</v>
      </c>
      <c r="Y5" s="142">
        <f>SUM(X4:X5)</f>
        <v>2971760</v>
      </c>
      <c r="Z5" s="26">
        <f>Y5/$Y$8</f>
        <v>1.8072611011893128E-2</v>
      </c>
    </row>
    <row r="6" spans="1:29" x14ac:dyDescent="0.25">
      <c r="A6" s="1" t="s">
        <v>3</v>
      </c>
      <c r="B6">
        <f>80</f>
        <v>80</v>
      </c>
      <c r="C6" s="1" t="s">
        <v>25</v>
      </c>
      <c r="D6" s="43"/>
      <c r="E6" s="75">
        <v>4</v>
      </c>
      <c r="F6" s="76" t="s">
        <v>51</v>
      </c>
      <c r="G6" s="131">
        <f>0</f>
        <v>0</v>
      </c>
      <c r="H6" s="131">
        <f>R7</f>
        <v>1830000</v>
      </c>
      <c r="I6" s="131">
        <f>R9</f>
        <v>5770000</v>
      </c>
      <c r="J6" s="131">
        <f>R13</f>
        <v>1728000</v>
      </c>
      <c r="K6" s="131">
        <f>R20</f>
        <v>1673840</v>
      </c>
      <c r="L6" s="131">
        <f>R24</f>
        <v>322072.14</v>
      </c>
      <c r="M6" s="132">
        <f t="shared" si="0"/>
        <v>11323912.140000001</v>
      </c>
      <c r="N6" s="189">
        <f t="shared" si="1"/>
        <v>9.5886442717848172E-2</v>
      </c>
      <c r="O6" s="43"/>
      <c r="P6" s="2" t="s">
        <v>122</v>
      </c>
      <c r="Q6" s="3" t="s">
        <v>319</v>
      </c>
      <c r="R6" s="145">
        <f>'opex S1'!R6*70%</f>
        <v>20370000</v>
      </c>
      <c r="V6" s="2" t="s">
        <v>35</v>
      </c>
      <c r="W6" s="3" t="s">
        <v>58</v>
      </c>
      <c r="X6" s="146">
        <f>5244.5*'ass. costs &amp; sale prices'!C5/78</f>
        <v>5244.5</v>
      </c>
      <c r="Y6" s="142">
        <f>SUM(X6)</f>
        <v>5244.5</v>
      </c>
      <c r="Z6" s="26">
        <f>Y6/$Y$8</f>
        <v>3.1894166571955173E-5</v>
      </c>
    </row>
    <row r="7" spans="1:29" x14ac:dyDescent="0.25">
      <c r="A7" s="1" t="s">
        <v>4</v>
      </c>
      <c r="B7">
        <f>200</f>
        <v>200</v>
      </c>
      <c r="C7" s="1" t="s">
        <v>25</v>
      </c>
      <c r="D7" s="43"/>
      <c r="E7" s="75">
        <v>5</v>
      </c>
      <c r="F7" s="76" t="s">
        <v>52</v>
      </c>
      <c r="G7" s="131">
        <f>0</f>
        <v>0</v>
      </c>
      <c r="H7" s="131">
        <f>0</f>
        <v>0</v>
      </c>
      <c r="I7" s="131">
        <f>R10</f>
        <v>886000</v>
      </c>
      <c r="J7" s="131">
        <f>0</f>
        <v>0</v>
      </c>
      <c r="K7" s="131">
        <f>R17</f>
        <v>30240</v>
      </c>
      <c r="L7" s="131">
        <f>R22+R23</f>
        <v>181427.99200000003</v>
      </c>
      <c r="M7" s="132">
        <f t="shared" si="0"/>
        <v>1097667.9920000001</v>
      </c>
      <c r="N7" s="189">
        <f t="shared" si="1"/>
        <v>9.2946216587409362E-3</v>
      </c>
      <c r="O7" s="43"/>
      <c r="Q7" s="3" t="s">
        <v>51</v>
      </c>
      <c r="R7" s="145">
        <f>1830000*'ass. costs &amp; sale prices'!C17/10</f>
        <v>1830000</v>
      </c>
      <c r="V7" s="2" t="s">
        <v>40</v>
      </c>
      <c r="W7" s="3" t="s">
        <v>60</v>
      </c>
      <c r="X7" s="146">
        <f>(3413600+2253.7)*'ass. costs &amp; sale prices'!C6/80</f>
        <v>3415853.7</v>
      </c>
      <c r="Y7" s="148">
        <f>SUM(X7)</f>
        <v>3415853.7</v>
      </c>
      <c r="Z7" s="26">
        <f>Y7/$Y$8</f>
        <v>2.0773344817090172E-2</v>
      </c>
      <c r="AB7" s="2" t="s">
        <v>40</v>
      </c>
    </row>
    <row r="8" spans="1:29" x14ac:dyDescent="0.25">
      <c r="A8" s="1" t="s">
        <v>5</v>
      </c>
      <c r="B8">
        <f>750</f>
        <v>750</v>
      </c>
      <c r="C8" s="1" t="s">
        <v>25</v>
      </c>
      <c r="D8" s="43"/>
      <c r="E8" s="75">
        <v>6</v>
      </c>
      <c r="F8" s="76" t="s">
        <v>96</v>
      </c>
      <c r="G8" s="131">
        <f>0</f>
        <v>0</v>
      </c>
      <c r="H8" s="131">
        <f>0</f>
        <v>0</v>
      </c>
      <c r="I8" s="131">
        <f>0</f>
        <v>0</v>
      </c>
      <c r="J8" s="131">
        <f>0</f>
        <v>0</v>
      </c>
      <c r="K8" s="131">
        <f>R19</f>
        <v>1740720</v>
      </c>
      <c r="L8" s="131">
        <f>0</f>
        <v>0</v>
      </c>
      <c r="M8" s="132">
        <f t="shared" si="0"/>
        <v>1740720</v>
      </c>
      <c r="N8" s="189">
        <f t="shared" si="1"/>
        <v>1.4739733627764852E-2</v>
      </c>
      <c r="O8" s="43"/>
      <c r="Q8" s="3" t="s">
        <v>53</v>
      </c>
      <c r="R8" s="145">
        <f>2550000*'ass. costs &amp; sale prices'!C15/1.35</f>
        <v>2550000</v>
      </c>
      <c r="S8" s="142">
        <f>SUM(R6:R8)</f>
        <v>24750000</v>
      </c>
      <c r="T8" s="26">
        <f>S8/$S$29</f>
        <v>0.20957328420836213</v>
      </c>
      <c r="Y8" s="142">
        <f>SUM(Y3:Y7)</f>
        <v>164434458.19999999</v>
      </c>
      <c r="Z8" s="26">
        <f>Y8/$Y$8</f>
        <v>1</v>
      </c>
      <c r="AB8" s="3" t="s">
        <v>88</v>
      </c>
      <c r="AC8" s="142">
        <f>(29060*8000/(10^3))*'ass. costs &amp; sale prices'!C11/270</f>
        <v>232480</v>
      </c>
    </row>
    <row r="9" spans="1:29" x14ac:dyDescent="0.25">
      <c r="A9" s="1" t="s">
        <v>6</v>
      </c>
      <c r="B9">
        <f>1020</f>
        <v>1020</v>
      </c>
      <c r="C9" s="1" t="s">
        <v>25</v>
      </c>
      <c r="D9" s="43"/>
      <c r="E9" s="75">
        <v>7</v>
      </c>
      <c r="F9" s="76" t="s">
        <v>111</v>
      </c>
      <c r="G9" s="131">
        <f>0</f>
        <v>0</v>
      </c>
      <c r="H9" s="131">
        <f>0</f>
        <v>0</v>
      </c>
      <c r="I9" s="131">
        <f>0</f>
        <v>0</v>
      </c>
      <c r="J9" s="131">
        <f>0</f>
        <v>0</v>
      </c>
      <c r="K9" s="131">
        <f>0</f>
        <v>0</v>
      </c>
      <c r="L9" s="131">
        <f>R28</f>
        <v>4.79</v>
      </c>
      <c r="M9" s="132">
        <f t="shared" si="0"/>
        <v>4.79</v>
      </c>
      <c r="N9" s="189">
        <f t="shared" si="1"/>
        <v>4.0559839650830483E-8</v>
      </c>
      <c r="O9" s="43"/>
      <c r="P9" s="2" t="s">
        <v>35</v>
      </c>
      <c r="Q9" s="3" t="s">
        <v>323</v>
      </c>
      <c r="R9" s="145">
        <f>(5.77*10^6)*'ass. costs &amp; sale prices'!C17/10</f>
        <v>5770000</v>
      </c>
    </row>
    <row r="10" spans="1:29" x14ac:dyDescent="0.25">
      <c r="A10" s="1" t="s">
        <v>7</v>
      </c>
      <c r="B10">
        <f>300</f>
        <v>300</v>
      </c>
      <c r="C10" s="1" t="s">
        <v>25</v>
      </c>
      <c r="D10" s="43"/>
      <c r="E10" s="75">
        <v>8</v>
      </c>
      <c r="F10" s="76" t="s">
        <v>59</v>
      </c>
      <c r="G10" s="131">
        <f>0</f>
        <v>0</v>
      </c>
      <c r="H10" s="131">
        <f>0</f>
        <v>0</v>
      </c>
      <c r="I10" s="131">
        <f>0</f>
        <v>0</v>
      </c>
      <c r="J10" s="131">
        <f>R16</f>
        <v>10408000</v>
      </c>
      <c r="K10" s="131">
        <f>0</f>
        <v>0</v>
      </c>
      <c r="L10" s="131">
        <f>R26</f>
        <v>2793.43</v>
      </c>
      <c r="M10" s="132">
        <f t="shared" si="0"/>
        <v>10410793.43</v>
      </c>
      <c r="N10" s="189">
        <f t="shared" si="1"/>
        <v>8.8154511932926824E-2</v>
      </c>
      <c r="O10" s="43"/>
      <c r="Q10" s="3" t="s">
        <v>52</v>
      </c>
      <c r="R10" s="145">
        <f>(3.26*10^5+5.6*10^5)*'ass. costs &amp; sale prices'!C16/0.07</f>
        <v>886000</v>
      </c>
    </row>
    <row r="11" spans="1:29" x14ac:dyDescent="0.25">
      <c r="A11" s="1" t="s">
        <v>8</v>
      </c>
      <c r="B11">
        <f>0.2</f>
        <v>0.2</v>
      </c>
      <c r="C11" s="1" t="s">
        <v>26</v>
      </c>
      <c r="D11" s="43"/>
      <c r="E11" s="75">
        <v>9</v>
      </c>
      <c r="F11" s="77" t="s">
        <v>20</v>
      </c>
      <c r="G11" s="133">
        <f>0</f>
        <v>0</v>
      </c>
      <c r="H11" s="133">
        <f>0</f>
        <v>0</v>
      </c>
      <c r="I11" s="133">
        <f>0</f>
        <v>0</v>
      </c>
      <c r="J11" s="133">
        <f>R15</f>
        <v>17924961</v>
      </c>
      <c r="K11" s="133">
        <f>R21</f>
        <v>679487.83379199996</v>
      </c>
      <c r="L11" s="133">
        <f>0</f>
        <v>0</v>
      </c>
      <c r="M11" s="134">
        <f t="shared" si="0"/>
        <v>18604448.833792001</v>
      </c>
      <c r="N11" s="189">
        <f t="shared" si="1"/>
        <v>0.15753516941350393</v>
      </c>
      <c r="O11" s="43"/>
      <c r="Q11" s="3" t="s">
        <v>53</v>
      </c>
      <c r="R11" s="145">
        <f>9595.2*8000*'ass. costs &amp; sale prices'!C15/10</f>
        <v>10362816</v>
      </c>
    </row>
    <row r="12" spans="1:29" ht="15.75" thickBot="1" x14ac:dyDescent="0.3">
      <c r="A12" s="1" t="s">
        <v>9</v>
      </c>
      <c r="B12">
        <f>3</f>
        <v>3</v>
      </c>
      <c r="C12" s="1" t="s">
        <v>25</v>
      </c>
      <c r="D12" s="43"/>
      <c r="E12" s="78"/>
      <c r="F12" s="79"/>
      <c r="G12" s="135">
        <f t="shared" ref="G12:L12" si="2">SUM(G3:G11)</f>
        <v>13672906.5</v>
      </c>
      <c r="H12" s="135">
        <f t="shared" si="2"/>
        <v>24750000</v>
      </c>
      <c r="I12" s="135">
        <f t="shared" si="2"/>
        <v>35517101</v>
      </c>
      <c r="J12" s="135">
        <f t="shared" si="2"/>
        <v>39511088.289999999</v>
      </c>
      <c r="K12" s="135">
        <f t="shared" si="2"/>
        <v>4136047.8337920001</v>
      </c>
      <c r="L12" s="135">
        <f t="shared" si="2"/>
        <v>509970.20199999999</v>
      </c>
      <c r="M12" s="136">
        <f>SUM(M3:M11)</f>
        <v>118097113.82579201</v>
      </c>
      <c r="N12" s="43"/>
      <c r="O12" s="43"/>
      <c r="Q12" s="3" t="s">
        <v>320</v>
      </c>
      <c r="R12" s="145">
        <f>'opex S1'!R12*65%</f>
        <v>18498285</v>
      </c>
      <c r="S12" s="142">
        <f>SUM(R9:R12)</f>
        <v>35517101</v>
      </c>
      <c r="T12" s="26">
        <f>S12/$S$29</f>
        <v>0.30074486877293344</v>
      </c>
    </row>
    <row r="13" spans="1:29" ht="15.75" thickBot="1" x14ac:dyDescent="0.3">
      <c r="A13" s="1" t="s">
        <v>10</v>
      </c>
      <c r="B13">
        <f>5</f>
        <v>5</v>
      </c>
      <c r="C13" s="1" t="s">
        <v>25</v>
      </c>
      <c r="D13" s="43"/>
      <c r="E13" s="46"/>
      <c r="F13" s="43"/>
      <c r="G13" s="137"/>
      <c r="H13" s="137"/>
      <c r="I13" s="137"/>
      <c r="J13" s="137"/>
      <c r="K13" s="137"/>
      <c r="L13" s="137"/>
      <c r="M13" s="138"/>
      <c r="N13" s="189"/>
      <c r="O13" s="43"/>
      <c r="P13" s="2" t="s">
        <v>40</v>
      </c>
      <c r="Q13" s="3" t="s">
        <v>51</v>
      </c>
      <c r="R13" s="145">
        <f>(1.728*10^6)*'ass. costs &amp; sale prices'!C17/10</f>
        <v>1728000</v>
      </c>
    </row>
    <row r="14" spans="1:29" x14ac:dyDescent="0.25">
      <c r="A14" s="1" t="s">
        <v>11</v>
      </c>
      <c r="B14">
        <f>0</f>
        <v>0</v>
      </c>
      <c r="C14" s="1" t="s">
        <v>25</v>
      </c>
      <c r="D14" s="43"/>
      <c r="E14" s="72"/>
      <c r="F14" s="98" t="s">
        <v>207</v>
      </c>
      <c r="G14" s="73" t="s">
        <v>63</v>
      </c>
      <c r="H14" s="73" t="s">
        <v>122</v>
      </c>
      <c r="I14" s="73" t="s">
        <v>35</v>
      </c>
      <c r="J14" s="73" t="s">
        <v>40</v>
      </c>
      <c r="K14" s="73" t="s">
        <v>80</v>
      </c>
      <c r="L14" s="73" t="s">
        <v>99</v>
      </c>
      <c r="M14" s="74" t="s">
        <v>118</v>
      </c>
      <c r="N14" s="189"/>
      <c r="O14" s="43"/>
      <c r="Q14" s="3" t="s">
        <v>54</v>
      </c>
      <c r="R14" s="145">
        <f>(48889+37736+7+264+633.6+0.26+2.64+176+0.05+8563280+0.26+14.08+642.4+90640+176880+528000+2962)*'ass. costs &amp; sale prices'!C22/0.11</f>
        <v>9450127.290000001</v>
      </c>
    </row>
    <row r="15" spans="1:29" x14ac:dyDescent="0.25">
      <c r="A15" s="1" t="s">
        <v>12</v>
      </c>
      <c r="B15">
        <f>270</f>
        <v>270</v>
      </c>
      <c r="C15" s="1" t="s">
        <v>25</v>
      </c>
      <c r="D15" s="43"/>
      <c r="E15" s="75">
        <v>1</v>
      </c>
      <c r="F15" s="76" t="s">
        <v>53</v>
      </c>
      <c r="G15" s="69">
        <f>G3/$M$3</f>
        <v>7.0496142366520626E-3</v>
      </c>
      <c r="H15" s="69">
        <f t="shared" ref="H15:L15" si="3">H3/$M$3</f>
        <v>0.19608213816175832</v>
      </c>
      <c r="I15" s="69">
        <f t="shared" si="3"/>
        <v>0.79684828182622736</v>
      </c>
      <c r="J15" s="71">
        <f t="shared" si="3"/>
        <v>0</v>
      </c>
      <c r="K15" s="71">
        <f t="shared" si="3"/>
        <v>0</v>
      </c>
      <c r="L15" s="71">
        <f t="shared" si="3"/>
        <v>1.9965775362235506E-5</v>
      </c>
      <c r="M15" s="80">
        <f>M3/$M$3</f>
        <v>1</v>
      </c>
      <c r="N15" s="189"/>
      <c r="O15" s="43"/>
      <c r="Q15" s="3" t="s">
        <v>62</v>
      </c>
      <c r="R15" s="146">
        <f>(8671+17916290)*'ass. costs &amp; sale prices'!C19/1.9</f>
        <v>17924961</v>
      </c>
    </row>
    <row r="16" spans="1:29" x14ac:dyDescent="0.25">
      <c r="E16" s="75">
        <v>2</v>
      </c>
      <c r="F16" s="76" t="s">
        <v>78</v>
      </c>
      <c r="G16" s="71">
        <v>0</v>
      </c>
      <c r="H16" s="71">
        <v>0</v>
      </c>
      <c r="I16" s="71">
        <v>0</v>
      </c>
      <c r="J16" s="71">
        <v>0</v>
      </c>
      <c r="K16" s="71">
        <v>0</v>
      </c>
      <c r="L16" s="71">
        <v>0</v>
      </c>
      <c r="M16" s="81">
        <f t="shared" ref="M16:M23" si="4">SUM(G16:L16)</f>
        <v>0</v>
      </c>
      <c r="N16" s="189"/>
      <c r="Q16" s="3" t="s">
        <v>59</v>
      </c>
      <c r="R16" s="146">
        <f>10408000*'ass. costs &amp; sale prices'!C21/0.1</f>
        <v>10408000</v>
      </c>
      <c r="S16" s="142">
        <f>SUM(R13:R16)</f>
        <v>39511088.289999999</v>
      </c>
      <c r="T16" s="26">
        <f>S16/$S$29</f>
        <v>0.33456438527603471</v>
      </c>
    </row>
    <row r="17" spans="1:20" x14ac:dyDescent="0.25">
      <c r="E17" s="75">
        <v>3</v>
      </c>
      <c r="F17" s="76" t="s">
        <v>54</v>
      </c>
      <c r="G17" s="69">
        <f>G5/$M$5</f>
        <v>0.21935345442891446</v>
      </c>
      <c r="H17" s="69">
        <f>H5/$M$5</f>
        <v>0.32900043108892568</v>
      </c>
      <c r="I17" s="69">
        <f>I5/$M$5</f>
        <v>0.29876994302434007</v>
      </c>
      <c r="J17" s="69">
        <f t="shared" ref="J17:L17" si="5">J5/$M$5</f>
        <v>0.15263112185838101</v>
      </c>
      <c r="K17" s="69">
        <f t="shared" si="5"/>
        <v>1.8993839320597772E-4</v>
      </c>
      <c r="L17" s="71">
        <f t="shared" si="5"/>
        <v>5.5111206232775264E-5</v>
      </c>
      <c r="M17" s="81">
        <f t="shared" si="4"/>
        <v>1</v>
      </c>
      <c r="N17" s="189"/>
      <c r="P17" s="2" t="s">
        <v>80</v>
      </c>
      <c r="Q17" s="3" t="s">
        <v>52</v>
      </c>
      <c r="R17" s="145">
        <f>30240*'ass. costs &amp; sale prices'!C16/0.07</f>
        <v>30240</v>
      </c>
    </row>
    <row r="18" spans="1:20" x14ac:dyDescent="0.25">
      <c r="E18" s="75">
        <v>4</v>
      </c>
      <c r="F18" s="76" t="s">
        <v>51</v>
      </c>
      <c r="G18" s="71">
        <f>G6/$M$6</f>
        <v>0</v>
      </c>
      <c r="H18" s="69">
        <f t="shared" ref="H18:L18" si="6">H6/$M$6</f>
        <v>0.16160492746458202</v>
      </c>
      <c r="I18" s="69">
        <f t="shared" si="6"/>
        <v>0.50954121938286245</v>
      </c>
      <c r="J18" s="69">
        <f t="shared" si="6"/>
        <v>0.15259743970426107</v>
      </c>
      <c r="K18" s="69">
        <f t="shared" si="6"/>
        <v>0.14781464032093769</v>
      </c>
      <c r="L18" s="69">
        <f t="shared" si="6"/>
        <v>2.8441773127356674E-2</v>
      </c>
      <c r="M18" s="81">
        <f t="shared" si="4"/>
        <v>0.99999999999999989</v>
      </c>
      <c r="N18" s="189"/>
      <c r="Q18" s="3" t="s">
        <v>54</v>
      </c>
      <c r="R18" s="145">
        <f>(0.77+0.7)*8000*'ass. costs &amp; sale prices'!C22/0.11</f>
        <v>11760</v>
      </c>
    </row>
    <row r="19" spans="1:20" x14ac:dyDescent="0.25">
      <c r="E19" s="75">
        <v>5</v>
      </c>
      <c r="F19" s="76" t="s">
        <v>52</v>
      </c>
      <c r="G19" s="71">
        <f>G7/$M$7</f>
        <v>0</v>
      </c>
      <c r="H19" s="71">
        <f t="shared" ref="H19:L19" si="7">H7/$M$7</f>
        <v>0</v>
      </c>
      <c r="I19" s="69">
        <f t="shared" si="7"/>
        <v>0.80716574269936436</v>
      </c>
      <c r="J19" s="71">
        <f t="shared" si="7"/>
        <v>0</v>
      </c>
      <c r="K19" s="69">
        <f t="shared" si="7"/>
        <v>2.7549313836601329E-2</v>
      </c>
      <c r="L19" s="69">
        <f t="shared" si="7"/>
        <v>0.16528494346403427</v>
      </c>
      <c r="M19" s="81">
        <f t="shared" si="4"/>
        <v>1</v>
      </c>
      <c r="N19" s="189"/>
      <c r="Q19" s="3" t="s">
        <v>96</v>
      </c>
      <c r="R19" s="145">
        <f>217.59*8000*'ass. costs &amp; sale prices'!C18/16.25</f>
        <v>1740720</v>
      </c>
    </row>
    <row r="20" spans="1:20" x14ac:dyDescent="0.25">
      <c r="E20" s="75">
        <v>6</v>
      </c>
      <c r="F20" s="76" t="s">
        <v>96</v>
      </c>
      <c r="G20" s="71">
        <f>G8/$M$8</f>
        <v>0</v>
      </c>
      <c r="H20" s="71">
        <f t="shared" ref="H20:L20" si="8">H8/$M$8</f>
        <v>0</v>
      </c>
      <c r="I20" s="71">
        <f t="shared" si="8"/>
        <v>0</v>
      </c>
      <c r="J20" s="71">
        <f t="shared" si="8"/>
        <v>0</v>
      </c>
      <c r="K20" s="69">
        <f t="shared" si="8"/>
        <v>1</v>
      </c>
      <c r="L20" s="71">
        <f t="shared" si="8"/>
        <v>0</v>
      </c>
      <c r="M20" s="81">
        <f t="shared" si="4"/>
        <v>1</v>
      </c>
      <c r="Q20" s="3" t="s">
        <v>51</v>
      </c>
      <c r="R20" s="145">
        <f>(167.2+42.03)*8000*'ass. costs &amp; sale prices'!C17/10</f>
        <v>1673840</v>
      </c>
    </row>
    <row r="21" spans="1:20" x14ac:dyDescent="0.25">
      <c r="E21" s="75">
        <v>7</v>
      </c>
      <c r="F21" s="76" t="s">
        <v>111</v>
      </c>
      <c r="G21" s="71">
        <f>G9/$M$9</f>
        <v>0</v>
      </c>
      <c r="H21" s="71">
        <f t="shared" ref="H21:L21" si="9">H9/$M$9</f>
        <v>0</v>
      </c>
      <c r="I21" s="71">
        <f t="shared" si="9"/>
        <v>0</v>
      </c>
      <c r="J21" s="69">
        <f t="shared" si="9"/>
        <v>0</v>
      </c>
      <c r="K21" s="71">
        <f t="shared" si="9"/>
        <v>0</v>
      </c>
      <c r="L21" s="69">
        <f t="shared" si="9"/>
        <v>1</v>
      </c>
      <c r="M21" s="81">
        <f t="shared" si="4"/>
        <v>1</v>
      </c>
      <c r="Q21" s="3" t="s">
        <v>62</v>
      </c>
      <c r="R21" s="146">
        <f>(0.93148*8.302*8000 + 36.97*8000)*'ass. costs &amp; sale prices'!C19</f>
        <v>679487.83379199996</v>
      </c>
      <c r="S21" s="142">
        <f>SUM(R17:R21)</f>
        <v>4136047.8337920001</v>
      </c>
      <c r="T21" s="26">
        <f>S21/$S$29</f>
        <v>3.5022429421037227E-2</v>
      </c>
    </row>
    <row r="22" spans="1:20" x14ac:dyDescent="0.25">
      <c r="A22" s="1" t="s">
        <v>13</v>
      </c>
      <c r="B22" s="1" t="s">
        <v>14</v>
      </c>
      <c r="C22" s="1" t="s">
        <v>24</v>
      </c>
      <c r="D22" s="43"/>
      <c r="E22" s="75">
        <v>8</v>
      </c>
      <c r="F22" s="76" t="s">
        <v>59</v>
      </c>
      <c r="G22" s="71">
        <f>G10/$M$10</f>
        <v>0</v>
      </c>
      <c r="H22" s="71">
        <f t="shared" ref="H22:L22" si="10">H10/$M$10</f>
        <v>0</v>
      </c>
      <c r="I22" s="71">
        <f t="shared" si="10"/>
        <v>0</v>
      </c>
      <c r="J22" s="69">
        <f t="shared" si="10"/>
        <v>0.99973167943262131</v>
      </c>
      <c r="K22" s="71">
        <f t="shared" si="10"/>
        <v>0</v>
      </c>
      <c r="L22" s="69">
        <f t="shared" si="10"/>
        <v>2.6832056737869595E-4</v>
      </c>
      <c r="M22" s="81">
        <f t="shared" si="4"/>
        <v>1</v>
      </c>
      <c r="N22" s="43"/>
      <c r="O22" s="43"/>
      <c r="P22" s="2" t="s">
        <v>99</v>
      </c>
      <c r="Q22" s="3" t="s">
        <v>52</v>
      </c>
      <c r="R22" s="145">
        <f>(4.26+8.49)*8000*'ass. costs &amp; sale prices'!C16/0.07</f>
        <v>102000</v>
      </c>
    </row>
    <row r="23" spans="1:20" ht="15.75" thickBot="1" x14ac:dyDescent="0.3">
      <c r="A23" s="1" t="s">
        <v>16</v>
      </c>
      <c r="B23">
        <f>1.35</f>
        <v>1.35</v>
      </c>
      <c r="C23" s="1" t="s">
        <v>25</v>
      </c>
      <c r="D23" s="43"/>
      <c r="E23" s="78">
        <v>9</v>
      </c>
      <c r="F23" s="79" t="s">
        <v>20</v>
      </c>
      <c r="G23" s="82">
        <f>G11/$M$11</f>
        <v>0</v>
      </c>
      <c r="H23" s="82">
        <f t="shared" ref="H23:L23" si="11">H11/$M$11</f>
        <v>0</v>
      </c>
      <c r="I23" s="82">
        <f t="shared" si="11"/>
        <v>0</v>
      </c>
      <c r="J23" s="83">
        <f t="shared" si="11"/>
        <v>0.96347713174077909</v>
      </c>
      <c r="K23" s="83">
        <f t="shared" si="11"/>
        <v>3.6522868259220832E-2</v>
      </c>
      <c r="L23" s="82">
        <f t="shared" si="11"/>
        <v>0</v>
      </c>
      <c r="M23" s="84">
        <f t="shared" si="4"/>
        <v>0.99999999999999989</v>
      </c>
      <c r="N23" s="43"/>
      <c r="O23" s="43"/>
      <c r="Q23" s="3" t="s">
        <v>109</v>
      </c>
      <c r="R23" s="141">
        <f>1134685.6*'ass. costs &amp; sale prices'!C16</f>
        <v>79427.992000000013</v>
      </c>
    </row>
    <row r="24" spans="1:20" ht="15.75" thickBot="1" x14ac:dyDescent="0.3">
      <c r="A24" s="1" t="s">
        <v>17</v>
      </c>
      <c r="B24">
        <f>0.07</f>
        <v>7.0000000000000007E-2</v>
      </c>
      <c r="C24" s="1" t="s">
        <v>25</v>
      </c>
      <c r="D24" s="43"/>
      <c r="E24" s="46"/>
      <c r="F24" s="43"/>
      <c r="G24" s="70"/>
      <c r="H24" s="70"/>
      <c r="I24" s="70"/>
      <c r="J24" s="70"/>
      <c r="K24" s="70"/>
      <c r="L24" s="70"/>
      <c r="M24" s="89"/>
      <c r="N24" s="43"/>
      <c r="O24" s="43"/>
      <c r="Q24" s="3" t="s">
        <v>110</v>
      </c>
      <c r="R24" s="141">
        <f>(322068.8+3.34)*'ass. costs &amp; sale prices'!C17/10</f>
        <v>322072.14</v>
      </c>
    </row>
    <row r="25" spans="1:20" x14ac:dyDescent="0.25">
      <c r="A25" s="1" t="s">
        <v>18</v>
      </c>
      <c r="B25">
        <f>10</f>
        <v>10</v>
      </c>
      <c r="C25" s="1" t="s">
        <v>25</v>
      </c>
      <c r="D25" s="43"/>
      <c r="E25" s="72"/>
      <c r="F25" s="98" t="s">
        <v>206</v>
      </c>
      <c r="G25" s="73" t="s">
        <v>63</v>
      </c>
      <c r="H25" s="73" t="s">
        <v>122</v>
      </c>
      <c r="I25" s="73" t="s">
        <v>35</v>
      </c>
      <c r="J25" s="73" t="s">
        <v>40</v>
      </c>
      <c r="K25" s="73" t="s">
        <v>80</v>
      </c>
      <c r="L25" s="85" t="s">
        <v>99</v>
      </c>
      <c r="M25" s="90"/>
      <c r="N25" s="43"/>
      <c r="O25" s="43"/>
      <c r="Q25" s="3" t="s">
        <v>54</v>
      </c>
      <c r="R25" s="141">
        <f>3412.2*'ass. costs &amp; sale prices'!C22/0.11</f>
        <v>3412.2</v>
      </c>
    </row>
    <row r="26" spans="1:20" x14ac:dyDescent="0.25">
      <c r="A26" s="1" t="s">
        <v>19</v>
      </c>
      <c r="B26">
        <f>16.25</f>
        <v>16.25</v>
      </c>
      <c r="C26" s="1" t="s">
        <v>25</v>
      </c>
      <c r="D26" s="43"/>
      <c r="E26" s="75">
        <v>1</v>
      </c>
      <c r="F26" s="76" t="s">
        <v>53</v>
      </c>
      <c r="G26" s="69">
        <f>G3/$G$12</f>
        <v>6.705121548223854E-3</v>
      </c>
      <c r="H26" s="69">
        <f>H3/$H$12</f>
        <v>0.10303030303030303</v>
      </c>
      <c r="I26" s="69">
        <f>I3/$I$12</f>
        <v>0.2917697590239699</v>
      </c>
      <c r="J26" s="69">
        <f>J3/$J$12</f>
        <v>0</v>
      </c>
      <c r="K26" s="69">
        <f>K3/$K$12</f>
        <v>0</v>
      </c>
      <c r="L26" s="80">
        <f>L3/$L$12</f>
        <v>5.0914739524330092E-4</v>
      </c>
      <c r="M26" s="91"/>
      <c r="N26" s="43"/>
      <c r="O26" s="43"/>
      <c r="Q26" s="3" t="s">
        <v>59</v>
      </c>
      <c r="R26" s="141">
        <f>(191.43+2602)*'ass. costs &amp; sale prices'!C21/0.1</f>
        <v>2793.43</v>
      </c>
    </row>
    <row r="27" spans="1:20" x14ac:dyDescent="0.25">
      <c r="A27" s="1" t="s">
        <v>20</v>
      </c>
      <c r="B27">
        <f>1.9</f>
        <v>1.9</v>
      </c>
      <c r="C27" s="1" t="s">
        <v>25</v>
      </c>
      <c r="D27" s="43"/>
      <c r="E27" s="75">
        <v>2</v>
      </c>
      <c r="F27" s="76" t="s">
        <v>78</v>
      </c>
      <c r="G27" s="71">
        <f t="shared" ref="G27:G35" si="12">G4/$G$12</f>
        <v>0</v>
      </c>
      <c r="H27" s="71">
        <f t="shared" ref="H27:H35" si="13">H4/$H$12</f>
        <v>0</v>
      </c>
      <c r="I27" s="71">
        <f t="shared" ref="I27:I35" si="14">I4/$I$12</f>
        <v>0</v>
      </c>
      <c r="J27" s="71">
        <f t="shared" ref="J27:J35" si="15">J4/$J$12</f>
        <v>0</v>
      </c>
      <c r="K27" s="71">
        <f t="shared" ref="K27:K35" si="16">K4/$K$12</f>
        <v>0</v>
      </c>
      <c r="L27" s="86">
        <f t="shared" ref="L27:L35" si="17">L4/$L$12</f>
        <v>0</v>
      </c>
      <c r="M27" s="92"/>
      <c r="N27" s="43"/>
      <c r="O27" s="43"/>
      <c r="Q27" s="3" t="s">
        <v>53</v>
      </c>
      <c r="R27" s="141">
        <f>259.65</f>
        <v>259.64999999999998</v>
      </c>
    </row>
    <row r="28" spans="1:20" x14ac:dyDescent="0.25">
      <c r="A28" s="1" t="s">
        <v>21</v>
      </c>
      <c r="B28">
        <f>0.5/100</f>
        <v>5.0000000000000001E-3</v>
      </c>
      <c r="C28" s="1" t="s">
        <v>26</v>
      </c>
      <c r="D28" s="43"/>
      <c r="E28" s="75">
        <v>3</v>
      </c>
      <c r="F28" s="76" t="s">
        <v>54</v>
      </c>
      <c r="G28" s="69">
        <f t="shared" si="12"/>
        <v>0.99329487845177611</v>
      </c>
      <c r="H28" s="69">
        <f>H5/$H$12</f>
        <v>0.823030303030303</v>
      </c>
      <c r="I28" s="69">
        <f t="shared" si="14"/>
        <v>0.52082755853300078</v>
      </c>
      <c r="J28" s="69">
        <f t="shared" si="15"/>
        <v>0.23917658811720879</v>
      </c>
      <c r="K28" s="69">
        <f t="shared" si="16"/>
        <v>2.8432940025304855E-3</v>
      </c>
      <c r="L28" s="80">
        <f t="shared" si="17"/>
        <v>6.6909791721517092E-3</v>
      </c>
      <c r="M28" s="92"/>
      <c r="N28" s="43"/>
      <c r="O28" s="43"/>
      <c r="Q28" s="3" t="s">
        <v>111</v>
      </c>
      <c r="R28" s="147">
        <f>4.79*'ass. costs &amp; sale prices'!C20/0.005</f>
        <v>4.79</v>
      </c>
      <c r="S28" s="148">
        <f>SUM(R22:R28)</f>
        <v>509970.20200000005</v>
      </c>
      <c r="T28" s="27">
        <f>S28/$S$29</f>
        <v>4.3182274780420955E-3</v>
      </c>
    </row>
    <row r="29" spans="1:20" x14ac:dyDescent="0.25">
      <c r="A29" s="1" t="s">
        <v>22</v>
      </c>
      <c r="B29">
        <f>10/100</f>
        <v>0.1</v>
      </c>
      <c r="C29" s="1" t="s">
        <v>26</v>
      </c>
      <c r="D29" s="43"/>
      <c r="E29" s="75">
        <v>4</v>
      </c>
      <c r="F29" s="76" t="s">
        <v>51</v>
      </c>
      <c r="G29" s="71">
        <f t="shared" si="12"/>
        <v>0</v>
      </c>
      <c r="H29" s="69">
        <f t="shared" si="13"/>
        <v>7.3939393939393944E-2</v>
      </c>
      <c r="I29" s="69">
        <f t="shared" si="14"/>
        <v>0.16245695277888811</v>
      </c>
      <c r="J29" s="69">
        <f t="shared" si="15"/>
        <v>4.3734558443872217E-2</v>
      </c>
      <c r="K29" s="69">
        <f t="shared" si="16"/>
        <v>0.40469551302683909</v>
      </c>
      <c r="L29" s="80">
        <f t="shared" si="17"/>
        <v>0.63155089990924607</v>
      </c>
      <c r="M29" s="92"/>
      <c r="N29" s="43"/>
      <c r="O29" s="43"/>
      <c r="R29" s="149">
        <f>SUM(R3:R28)</f>
        <v>118097113.82579203</v>
      </c>
      <c r="S29" s="142">
        <f>SUM(S3:S28)</f>
        <v>118097113.825792</v>
      </c>
      <c r="T29" s="26">
        <f>SUM(T3:T28)</f>
        <v>1</v>
      </c>
    </row>
    <row r="30" spans="1:20" x14ac:dyDescent="0.25">
      <c r="A30" s="1" t="s">
        <v>15</v>
      </c>
      <c r="B30">
        <f>0.11</f>
        <v>0.11</v>
      </c>
      <c r="C30" s="1" t="s">
        <v>27</v>
      </c>
      <c r="D30" s="43"/>
      <c r="E30" s="75">
        <v>5</v>
      </c>
      <c r="F30" s="76" t="s">
        <v>52</v>
      </c>
      <c r="G30" s="71">
        <f t="shared" si="12"/>
        <v>0</v>
      </c>
      <c r="H30" s="71">
        <f t="shared" si="13"/>
        <v>0</v>
      </c>
      <c r="I30" s="69">
        <f t="shared" si="14"/>
        <v>2.4945729664141224E-2</v>
      </c>
      <c r="J30" s="71">
        <f t="shared" si="15"/>
        <v>0</v>
      </c>
      <c r="K30" s="69">
        <f t="shared" si="16"/>
        <v>7.3113274350783911E-3</v>
      </c>
      <c r="L30" s="80">
        <f t="shared" si="17"/>
        <v>0.3557619470480356</v>
      </c>
      <c r="M30" s="92"/>
      <c r="N30" s="43"/>
      <c r="O30" s="43"/>
    </row>
    <row r="31" spans="1:20" x14ac:dyDescent="0.25">
      <c r="A31" s="1"/>
      <c r="C31" s="1"/>
      <c r="D31" s="43"/>
      <c r="E31" s="75">
        <v>6</v>
      </c>
      <c r="F31" s="76" t="s">
        <v>96</v>
      </c>
      <c r="G31" s="71">
        <f t="shared" si="12"/>
        <v>0</v>
      </c>
      <c r="H31" s="71">
        <f t="shared" si="13"/>
        <v>0</v>
      </c>
      <c r="I31" s="71">
        <f t="shared" si="14"/>
        <v>0</v>
      </c>
      <c r="J31" s="71">
        <f t="shared" si="15"/>
        <v>0</v>
      </c>
      <c r="K31" s="69">
        <f t="shared" si="16"/>
        <v>0.42086553878272676</v>
      </c>
      <c r="L31" s="86">
        <f t="shared" si="17"/>
        <v>0</v>
      </c>
      <c r="M31" s="92"/>
      <c r="N31" s="43"/>
      <c r="O31" s="43"/>
    </row>
    <row r="32" spans="1:20" x14ac:dyDescent="0.25">
      <c r="E32" s="75">
        <v>7</v>
      </c>
      <c r="F32" s="76" t="s">
        <v>111</v>
      </c>
      <c r="G32" s="71">
        <f t="shared" si="12"/>
        <v>0</v>
      </c>
      <c r="H32" s="71">
        <f t="shared" si="13"/>
        <v>0</v>
      </c>
      <c r="I32" s="71">
        <f t="shared" si="14"/>
        <v>0</v>
      </c>
      <c r="J32" s="71">
        <f t="shared" si="15"/>
        <v>0</v>
      </c>
      <c r="K32" s="71">
        <f t="shared" si="16"/>
        <v>0</v>
      </c>
      <c r="L32" s="86">
        <f t="shared" si="17"/>
        <v>9.3927056545943048E-6</v>
      </c>
      <c r="M32" s="92"/>
    </row>
    <row r="33" spans="1:18" x14ac:dyDescent="0.25">
      <c r="A33" s="2" t="s">
        <v>30</v>
      </c>
      <c r="B33" s="2" t="s">
        <v>31</v>
      </c>
      <c r="E33" s="75">
        <v>8</v>
      </c>
      <c r="F33" s="76" t="s">
        <v>59</v>
      </c>
      <c r="G33" s="71">
        <f t="shared" si="12"/>
        <v>0</v>
      </c>
      <c r="H33" s="71">
        <f t="shared" si="13"/>
        <v>0</v>
      </c>
      <c r="I33" s="71">
        <f t="shared" si="14"/>
        <v>0</v>
      </c>
      <c r="J33" s="69">
        <f t="shared" si="15"/>
        <v>0.26341972470128588</v>
      </c>
      <c r="K33" s="71">
        <f t="shared" si="16"/>
        <v>0</v>
      </c>
      <c r="L33" s="80">
        <f t="shared" si="17"/>
        <v>5.4776337696687619E-3</v>
      </c>
      <c r="M33" s="92"/>
    </row>
    <row r="34" spans="1:18" x14ac:dyDescent="0.25">
      <c r="A34">
        <f>523*275</f>
        <v>143825</v>
      </c>
      <c r="B34">
        <f>A34/10000</f>
        <v>14.3825</v>
      </c>
      <c r="E34" s="75">
        <v>9</v>
      </c>
      <c r="F34" s="77" t="s">
        <v>20</v>
      </c>
      <c r="G34" s="93">
        <f t="shared" si="12"/>
        <v>0</v>
      </c>
      <c r="H34" s="93">
        <f t="shared" si="13"/>
        <v>0</v>
      </c>
      <c r="I34" s="93">
        <f t="shared" si="14"/>
        <v>0</v>
      </c>
      <c r="J34" s="68">
        <f t="shared" si="15"/>
        <v>0.45366912873763315</v>
      </c>
      <c r="K34" s="68">
        <f t="shared" si="16"/>
        <v>0.16428432675282523</v>
      </c>
      <c r="L34" s="94">
        <f t="shared" si="17"/>
        <v>0</v>
      </c>
      <c r="M34" s="92"/>
      <c r="Q34" s="20"/>
    </row>
    <row r="35" spans="1:18" ht="15.75" thickBot="1" x14ac:dyDescent="0.3">
      <c r="A35" s="1" t="s">
        <v>28</v>
      </c>
      <c r="B35" s="1" t="s">
        <v>32</v>
      </c>
      <c r="E35" s="78"/>
      <c r="F35" s="79"/>
      <c r="G35" s="95">
        <f t="shared" si="12"/>
        <v>1</v>
      </c>
      <c r="H35" s="95">
        <f t="shared" si="13"/>
        <v>1</v>
      </c>
      <c r="I35" s="95">
        <f t="shared" si="14"/>
        <v>1</v>
      </c>
      <c r="J35" s="95">
        <f t="shared" si="15"/>
        <v>1</v>
      </c>
      <c r="K35" s="95">
        <f t="shared" si="16"/>
        <v>1</v>
      </c>
      <c r="L35" s="96">
        <f t="shared" si="17"/>
        <v>1</v>
      </c>
      <c r="M35" s="92"/>
      <c r="P35" s="2" t="s">
        <v>40</v>
      </c>
    </row>
    <row r="36" spans="1:18" ht="15.75" thickBot="1" x14ac:dyDescent="0.3">
      <c r="A36" s="1" t="s">
        <v>29</v>
      </c>
      <c r="B36">
        <f>200*10^3*B34</f>
        <v>2876500</v>
      </c>
      <c r="M36" s="92"/>
    </row>
    <row r="37" spans="1:18" x14ac:dyDescent="0.25">
      <c r="E37" s="72"/>
      <c r="F37" s="101" t="s">
        <v>209</v>
      </c>
      <c r="G37" s="73" t="s">
        <v>63</v>
      </c>
      <c r="H37" s="73" t="s">
        <v>122</v>
      </c>
      <c r="I37" s="73" t="s">
        <v>35</v>
      </c>
      <c r="J37" s="73" t="s">
        <v>40</v>
      </c>
      <c r="K37" s="73" t="s">
        <v>80</v>
      </c>
      <c r="L37" s="73" t="s">
        <v>99</v>
      </c>
      <c r="M37" s="88" t="s">
        <v>118</v>
      </c>
      <c r="Q37" s="3" t="s">
        <v>54</v>
      </c>
      <c r="R37" s="141">
        <f>48889+37736+7+264+633.6+0.26+2.64+176+0.05+8563280+0.26+14.08+642.4+90640+176880+528000+2962</f>
        <v>9450127.290000001</v>
      </c>
    </row>
    <row r="38" spans="1:18" x14ac:dyDescent="0.25">
      <c r="E38" s="75">
        <v>1</v>
      </c>
      <c r="F38" s="76" t="s">
        <v>108</v>
      </c>
      <c r="G38" s="131">
        <f>X3</f>
        <v>158041600</v>
      </c>
      <c r="H38" s="131"/>
      <c r="I38" s="131"/>
      <c r="J38" s="131"/>
      <c r="K38" s="131"/>
      <c r="L38" s="131"/>
      <c r="M38" s="132">
        <f>SUM(G38:L38)</f>
        <v>158041600</v>
      </c>
      <c r="P38" s="2" t="s">
        <v>63</v>
      </c>
      <c r="R38" s="150">
        <f>8563280</f>
        <v>8563280</v>
      </c>
    </row>
    <row r="39" spans="1:18" x14ac:dyDescent="0.25">
      <c r="E39" s="75">
        <v>2</v>
      </c>
      <c r="F39" s="76" t="s">
        <v>112</v>
      </c>
      <c r="G39" s="131"/>
      <c r="H39" s="131"/>
      <c r="I39" s="131">
        <f>X4</f>
        <v>60960</v>
      </c>
      <c r="J39" s="131"/>
      <c r="K39" s="131"/>
      <c r="L39" s="131"/>
      <c r="M39" s="132">
        <f t="shared" ref="M39:M42" si="18">SUM(G39:L39)</f>
        <v>60960</v>
      </c>
    </row>
    <row r="40" spans="1:18" x14ac:dyDescent="0.25">
      <c r="E40" s="75">
        <v>3</v>
      </c>
      <c r="F40" s="76" t="s">
        <v>56</v>
      </c>
      <c r="G40" s="131"/>
      <c r="H40" s="131"/>
      <c r="I40" s="131">
        <f>X5</f>
        <v>2910800</v>
      </c>
      <c r="J40" s="131"/>
      <c r="K40" s="131"/>
      <c r="L40" s="131"/>
      <c r="M40" s="132">
        <f t="shared" si="18"/>
        <v>2910800</v>
      </c>
      <c r="Q40" s="3" t="s">
        <v>54</v>
      </c>
      <c r="R40" s="141">
        <f>11352+5843200+2816+17600+72600+66000+3740+4159760+561440+2768920+70400+3400</f>
        <v>13581228</v>
      </c>
    </row>
    <row r="41" spans="1:18" x14ac:dyDescent="0.25">
      <c r="E41" s="75">
        <v>4</v>
      </c>
      <c r="F41" s="76" t="s">
        <v>58</v>
      </c>
      <c r="G41" s="131"/>
      <c r="H41" s="131"/>
      <c r="I41" s="131">
        <f>X6</f>
        <v>5244.5</v>
      </c>
      <c r="J41" s="131"/>
      <c r="K41" s="131"/>
      <c r="L41" s="131"/>
      <c r="M41" s="132">
        <f t="shared" si="18"/>
        <v>5244.5</v>
      </c>
      <c r="R41" s="150">
        <f>5843200</f>
        <v>5843200</v>
      </c>
    </row>
    <row r="42" spans="1:18" x14ac:dyDescent="0.25">
      <c r="E42" s="75">
        <v>5</v>
      </c>
      <c r="F42" s="76" t="s">
        <v>60</v>
      </c>
      <c r="G42" s="133"/>
      <c r="H42" s="133"/>
      <c r="I42" s="133"/>
      <c r="J42" s="133">
        <f>X7</f>
        <v>3415853.7</v>
      </c>
      <c r="K42" s="133"/>
      <c r="L42" s="133"/>
      <c r="M42" s="134">
        <f t="shared" si="18"/>
        <v>3415853.7</v>
      </c>
      <c r="R42" s="150">
        <f>2768920</f>
        <v>2768920</v>
      </c>
    </row>
    <row r="43" spans="1:18" ht="15.75" thickBot="1" x14ac:dyDescent="0.3">
      <c r="E43" s="99"/>
      <c r="F43" s="100"/>
      <c r="G43" s="139">
        <f>SUM(G38:G42)</f>
        <v>158041600</v>
      </c>
      <c r="H43" s="139">
        <f t="shared" ref="H43:L43" si="19">SUM(H38:H42)</f>
        <v>0</v>
      </c>
      <c r="I43" s="139">
        <f t="shared" si="19"/>
        <v>2977004.5</v>
      </c>
      <c r="J43" s="139">
        <f t="shared" si="19"/>
        <v>3415853.7</v>
      </c>
      <c r="K43" s="139">
        <f t="shared" si="19"/>
        <v>0</v>
      </c>
      <c r="L43" s="139">
        <f t="shared" si="19"/>
        <v>0</v>
      </c>
      <c r="M43" s="140">
        <f>SUM(M38:M42)</f>
        <v>164434458.19999999</v>
      </c>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4E9EE-9C52-482F-87DD-981B76D57518}">
  <sheetPr>
    <tabColor theme="7" tint="0.39997558519241921"/>
  </sheetPr>
  <dimension ref="A2:P56"/>
  <sheetViews>
    <sheetView zoomScale="82" zoomScaleNormal="82" workbookViewId="0">
      <selection activeCell="G8" sqref="G8"/>
    </sheetView>
  </sheetViews>
  <sheetFormatPr defaultRowHeight="15" x14ac:dyDescent="0.25"/>
  <cols>
    <col min="3" max="3" width="31" bestFit="1" customWidth="1"/>
    <col min="4" max="4" width="18.28515625" bestFit="1" customWidth="1"/>
    <col min="5" max="5" width="9.28515625" style="114" customWidth="1"/>
    <col min="6" max="6" width="11.140625" style="193" bestFit="1" customWidth="1"/>
    <col min="7" max="7" width="14.140625" style="121" customWidth="1"/>
    <col min="8" max="8" width="11.85546875" style="24" bestFit="1" customWidth="1"/>
    <col min="9" max="9" width="5" customWidth="1"/>
    <col min="11" max="11" width="31" bestFit="1" customWidth="1"/>
    <col min="12" max="12" width="17.42578125" customWidth="1"/>
    <col min="13" max="13" width="9.28515625" style="114" customWidth="1"/>
    <col min="14" max="14" width="11.140625" style="193" bestFit="1" customWidth="1"/>
    <col min="15" max="15" width="14.140625" style="121" customWidth="1"/>
    <col min="16" max="16" width="11.85546875" style="24" bestFit="1" customWidth="1"/>
  </cols>
  <sheetData>
    <row r="2" spans="1:16" ht="33.75" x14ac:dyDescent="0.5">
      <c r="B2" s="7" t="s">
        <v>297</v>
      </c>
      <c r="J2" s="7" t="s">
        <v>296</v>
      </c>
      <c r="M2" s="192"/>
    </row>
    <row r="3" spans="1:16" x14ac:dyDescent="0.25">
      <c r="B3" s="5"/>
      <c r="C3" s="5" t="s">
        <v>82</v>
      </c>
      <c r="D3" s="4"/>
      <c r="E3" s="4"/>
      <c r="F3" s="194" t="s">
        <v>211</v>
      </c>
      <c r="G3" s="122"/>
      <c r="J3" s="5"/>
      <c r="K3" s="5" t="s">
        <v>82</v>
      </c>
      <c r="L3" s="4"/>
      <c r="M3" s="4"/>
      <c r="N3" s="194" t="s">
        <v>211</v>
      </c>
      <c r="O3" s="122"/>
    </row>
    <row r="4" spans="1:16" x14ac:dyDescent="0.25">
      <c r="C4" s="3" t="s">
        <v>29</v>
      </c>
      <c r="F4" s="190">
        <f>'ass. costs &amp; sale prices'!C28</f>
        <v>2876500</v>
      </c>
      <c r="K4" s="3" t="s">
        <v>29</v>
      </c>
      <c r="N4" s="190">
        <f>F4</f>
        <v>2876500</v>
      </c>
    </row>
    <row r="5" spans="1:16" ht="14.25" customHeight="1" x14ac:dyDescent="0.5">
      <c r="F5" s="195"/>
      <c r="N5" s="195"/>
    </row>
    <row r="6" spans="1:16" x14ac:dyDescent="0.25">
      <c r="B6" s="4"/>
      <c r="C6" s="5" t="s">
        <v>215</v>
      </c>
      <c r="D6" s="4" t="s">
        <v>214</v>
      </c>
      <c r="E6" s="115" t="s">
        <v>213</v>
      </c>
      <c r="F6" s="194" t="s">
        <v>211</v>
      </c>
      <c r="G6" s="122" t="s">
        <v>218</v>
      </c>
      <c r="H6" s="118" t="s">
        <v>217</v>
      </c>
      <c r="J6" s="4"/>
      <c r="K6" s="5" t="s">
        <v>215</v>
      </c>
      <c r="L6" s="4" t="s">
        <v>214</v>
      </c>
      <c r="M6" s="115" t="s">
        <v>213</v>
      </c>
      <c r="N6" s="194" t="s">
        <v>211</v>
      </c>
      <c r="O6" s="122" t="s">
        <v>218</v>
      </c>
      <c r="P6" s="118" t="s">
        <v>217</v>
      </c>
    </row>
    <row r="7" spans="1:16" x14ac:dyDescent="0.25">
      <c r="B7" s="2" t="s">
        <v>35</v>
      </c>
      <c r="C7" s="3" t="s">
        <v>36</v>
      </c>
      <c r="D7" s="17">
        <f>14251.8</f>
        <v>14251.8</v>
      </c>
      <c r="E7" s="116">
        <v>4</v>
      </c>
      <c r="F7" s="193">
        <f>D7*E7</f>
        <v>57007.199999999997</v>
      </c>
      <c r="J7" s="2" t="s">
        <v>35</v>
      </c>
      <c r="K7" s="3" t="s">
        <v>36</v>
      </c>
      <c r="L7" s="17">
        <f>14251.8</f>
        <v>14251.8</v>
      </c>
      <c r="M7" s="116">
        <v>4</v>
      </c>
      <c r="N7" s="193">
        <f>L7*M7</f>
        <v>57007.199999999997</v>
      </c>
    </row>
    <row r="8" spans="1:16" x14ac:dyDescent="0.25">
      <c r="C8" s="3" t="s">
        <v>36</v>
      </c>
      <c r="D8" s="17">
        <f>16163.6</f>
        <v>16163.6</v>
      </c>
      <c r="E8" s="116">
        <v>4</v>
      </c>
      <c r="F8" s="193">
        <f>D8*E8</f>
        <v>64654.400000000001</v>
      </c>
      <c r="K8" s="3" t="s">
        <v>36</v>
      </c>
      <c r="L8" s="17">
        <f>16163.6</f>
        <v>16163.6</v>
      </c>
      <c r="M8" s="116">
        <v>4</v>
      </c>
      <c r="N8" s="193">
        <f>L8*M8</f>
        <v>64654.400000000001</v>
      </c>
    </row>
    <row r="9" spans="1:16" x14ac:dyDescent="0.25">
      <c r="C9" s="3" t="s">
        <v>37</v>
      </c>
      <c r="D9" s="17"/>
      <c r="E9" s="116">
        <v>2</v>
      </c>
      <c r="F9" s="193">
        <f>81263+62382</f>
        <v>143645</v>
      </c>
      <c r="K9" s="20" t="s">
        <v>358</v>
      </c>
      <c r="L9" s="17"/>
      <c r="M9" s="116">
        <v>1</v>
      </c>
      <c r="N9" s="193">
        <f>62382</f>
        <v>62382</v>
      </c>
    </row>
    <row r="10" spans="1:16" x14ac:dyDescent="0.25">
      <c r="C10" s="3" t="s">
        <v>38</v>
      </c>
      <c r="D10" s="17">
        <v>1242500</v>
      </c>
      <c r="E10" s="116">
        <v>4</v>
      </c>
      <c r="F10" s="193">
        <f t="shared" ref="F10:F13" si="0">D10*E10</f>
        <v>4970000</v>
      </c>
      <c r="K10" s="20" t="s">
        <v>359</v>
      </c>
      <c r="L10" s="17">
        <f>D10*80%</f>
        <v>994000</v>
      </c>
      <c r="M10" s="116">
        <v>4</v>
      </c>
      <c r="N10" s="193">
        <f t="shared" ref="N10:N13" si="1">L10*M10</f>
        <v>3976000</v>
      </c>
    </row>
    <row r="11" spans="1:16" x14ac:dyDescent="0.25">
      <c r="C11" s="3" t="s">
        <v>39</v>
      </c>
      <c r="D11" s="17">
        <v>900000</v>
      </c>
      <c r="E11" s="116">
        <v>16</v>
      </c>
      <c r="F11" s="193">
        <f t="shared" si="0"/>
        <v>14400000</v>
      </c>
      <c r="G11" s="123">
        <f>SUM(F7:F11)</f>
        <v>19635306.600000001</v>
      </c>
      <c r="H11" s="24">
        <f>G11/$G$54</f>
        <v>0.2718515715888955</v>
      </c>
      <c r="K11" s="20" t="s">
        <v>360</v>
      </c>
      <c r="L11" s="17">
        <f>900000*75%</f>
        <v>675000</v>
      </c>
      <c r="M11" s="116">
        <v>16</v>
      </c>
      <c r="N11" s="193">
        <f t="shared" si="1"/>
        <v>10800000</v>
      </c>
      <c r="O11" s="123">
        <f>SUM(N7:N11)</f>
        <v>14960043.6</v>
      </c>
      <c r="P11" s="24">
        <f>O11/$G$54</f>
        <v>0.20712237636759886</v>
      </c>
    </row>
    <row r="12" spans="1:16" x14ac:dyDescent="0.25">
      <c r="B12" s="2" t="s">
        <v>40</v>
      </c>
      <c r="C12" s="3" t="s">
        <v>41</v>
      </c>
      <c r="D12" s="17">
        <v>130000</v>
      </c>
      <c r="E12" s="116">
        <v>20</v>
      </c>
      <c r="F12" s="193">
        <f t="shared" si="0"/>
        <v>2600000</v>
      </c>
      <c r="J12" s="2" t="s">
        <v>40</v>
      </c>
      <c r="K12" s="3" t="s">
        <v>41</v>
      </c>
      <c r="L12" s="17">
        <v>130000</v>
      </c>
      <c r="M12" s="116">
        <v>20</v>
      </c>
      <c r="N12" s="193">
        <f t="shared" si="1"/>
        <v>2600000</v>
      </c>
    </row>
    <row r="13" spans="1:16" x14ac:dyDescent="0.25">
      <c r="C13" s="3" t="s">
        <v>42</v>
      </c>
      <c r="D13" s="17">
        <v>55000</v>
      </c>
      <c r="E13" s="116">
        <v>10</v>
      </c>
      <c r="F13" s="193">
        <f t="shared" si="0"/>
        <v>550000</v>
      </c>
      <c r="K13" s="3" t="s">
        <v>42</v>
      </c>
      <c r="L13" s="17">
        <v>55000</v>
      </c>
      <c r="M13" s="116">
        <v>10</v>
      </c>
      <c r="N13" s="193">
        <f t="shared" si="1"/>
        <v>550000</v>
      </c>
    </row>
    <row r="14" spans="1:16" x14ac:dyDescent="0.25">
      <c r="C14" s="3" t="s">
        <v>43</v>
      </c>
      <c r="D14" s="17">
        <f>630990</f>
        <v>630990</v>
      </c>
      <c r="E14" s="116">
        <v>1</v>
      </c>
      <c r="F14" s="193">
        <f>D14*E14</f>
        <v>630990</v>
      </c>
      <c r="K14" s="3" t="s">
        <v>43</v>
      </c>
      <c r="L14" s="17">
        <f>630990</f>
        <v>630990</v>
      </c>
      <c r="M14" s="116">
        <v>1</v>
      </c>
      <c r="N14" s="193">
        <f>L14*M14</f>
        <v>630990</v>
      </c>
    </row>
    <row r="15" spans="1:16" x14ac:dyDescent="0.25">
      <c r="A15" s="20"/>
      <c r="C15" s="3" t="s">
        <v>44</v>
      </c>
      <c r="D15" s="17"/>
      <c r="E15" s="116">
        <v>21</v>
      </c>
      <c r="F15" s="193">
        <f>36850+34500+3900+5500+27100+2240+4290+5480+1870</f>
        <v>121730</v>
      </c>
      <c r="K15" s="3" t="s">
        <v>44</v>
      </c>
      <c r="L15" s="17"/>
      <c r="M15" s="116">
        <v>21</v>
      </c>
      <c r="N15" s="193">
        <f>36850+34500+3900+5500+27100+2240+4290+5480+1870</f>
        <v>121730</v>
      </c>
    </row>
    <row r="16" spans="1:16" x14ac:dyDescent="0.25">
      <c r="C16" s="3" t="s">
        <v>45</v>
      </c>
      <c r="D16" s="17">
        <v>732208.2</v>
      </c>
      <c r="E16" s="116">
        <v>50</v>
      </c>
      <c r="F16" s="193">
        <f>D16*E16</f>
        <v>36610410</v>
      </c>
      <c r="K16" s="20" t="s">
        <v>361</v>
      </c>
      <c r="L16" s="17">
        <f>D16*80%</f>
        <v>585766.55999999994</v>
      </c>
      <c r="M16" s="116">
        <v>50</v>
      </c>
      <c r="N16" s="193">
        <f>L16*M16</f>
        <v>29288327.999999996</v>
      </c>
    </row>
    <row r="17" spans="2:16" x14ac:dyDescent="0.25">
      <c r="C17" s="3" t="s">
        <v>46</v>
      </c>
      <c r="D17" s="17"/>
      <c r="E17" s="116">
        <v>6</v>
      </c>
      <c r="F17" s="193">
        <f>10710+35560+122700+560500+732100+122800</f>
        <v>1584370</v>
      </c>
      <c r="K17" s="3" t="s">
        <v>46</v>
      </c>
      <c r="L17" s="17"/>
      <c r="M17" s="116">
        <v>6</v>
      </c>
      <c r="N17" s="193">
        <f>10710+35560+122700+560500+732100+122800</f>
        <v>1584370</v>
      </c>
    </row>
    <row r="18" spans="2:16" x14ac:dyDescent="0.25">
      <c r="C18" s="3" t="s">
        <v>47</v>
      </c>
      <c r="D18" s="17">
        <f>164200</f>
        <v>164200</v>
      </c>
      <c r="E18" s="116">
        <v>1</v>
      </c>
      <c r="F18" s="193">
        <f t="shared" ref="F18:F24" si="2">D18*E18</f>
        <v>164200</v>
      </c>
      <c r="K18" s="3" t="s">
        <v>47</v>
      </c>
      <c r="L18" s="17">
        <f>164200</f>
        <v>164200</v>
      </c>
      <c r="M18" s="116">
        <v>1</v>
      </c>
      <c r="N18" s="193">
        <f t="shared" ref="N18:N33" si="3">L18*M18</f>
        <v>164200</v>
      </c>
    </row>
    <row r="19" spans="2:16" x14ac:dyDescent="0.25">
      <c r="C19" s="3" t="s">
        <v>48</v>
      </c>
      <c r="D19" s="17">
        <v>233300</v>
      </c>
      <c r="E19" s="116">
        <v>5</v>
      </c>
      <c r="F19" s="193">
        <f t="shared" si="2"/>
        <v>1166500</v>
      </c>
      <c r="G19" s="123">
        <f>SUM(F12:F19)</f>
        <v>43428200</v>
      </c>
      <c r="H19" s="24">
        <f t="shared" ref="H19:H53" si="4">G19/$G$54</f>
        <v>0.60126509159153496</v>
      </c>
      <c r="K19" s="3" t="s">
        <v>48</v>
      </c>
      <c r="L19" s="17">
        <v>233300</v>
      </c>
      <c r="M19" s="116">
        <v>5</v>
      </c>
      <c r="N19" s="193">
        <f t="shared" si="3"/>
        <v>1166500</v>
      </c>
      <c r="O19" s="123">
        <f>SUM(N12:N19)</f>
        <v>36106118</v>
      </c>
      <c r="P19" s="24">
        <f t="shared" ref="P19" si="5">O19/$G$54</f>
        <v>0.49989058598525316</v>
      </c>
    </row>
    <row r="20" spans="2:16" x14ac:dyDescent="0.25">
      <c r="B20" s="2" t="s">
        <v>63</v>
      </c>
      <c r="C20" s="3" t="s">
        <v>64</v>
      </c>
      <c r="D20" s="17">
        <v>259000</v>
      </c>
      <c r="E20" s="116">
        <v>2</v>
      </c>
      <c r="F20" s="193">
        <f t="shared" si="2"/>
        <v>518000</v>
      </c>
      <c r="J20" s="2" t="s">
        <v>63</v>
      </c>
      <c r="K20" s="3" t="s">
        <v>64</v>
      </c>
      <c r="L20" s="17">
        <v>259000</v>
      </c>
      <c r="M20" s="116">
        <v>2</v>
      </c>
      <c r="N20" s="193">
        <f t="shared" si="3"/>
        <v>518000</v>
      </c>
    </row>
    <row r="21" spans="2:16" x14ac:dyDescent="0.25">
      <c r="C21" s="3" t="s">
        <v>65</v>
      </c>
      <c r="D21" s="17">
        <v>3920</v>
      </c>
      <c r="E21" s="116">
        <v>20</v>
      </c>
      <c r="F21" s="193">
        <f t="shared" si="2"/>
        <v>78400</v>
      </c>
      <c r="K21" s="3" t="s">
        <v>65</v>
      </c>
      <c r="L21" s="17">
        <v>3920</v>
      </c>
      <c r="M21" s="116">
        <v>20</v>
      </c>
      <c r="N21" s="193">
        <f t="shared" si="3"/>
        <v>78400</v>
      </c>
    </row>
    <row r="22" spans="2:16" x14ac:dyDescent="0.25">
      <c r="C22" s="3" t="s">
        <v>66</v>
      </c>
      <c r="D22" s="17">
        <f>3000</f>
        <v>3000</v>
      </c>
      <c r="E22" s="116">
        <v>1</v>
      </c>
      <c r="F22" s="193">
        <f t="shared" si="2"/>
        <v>3000</v>
      </c>
      <c r="K22" s="3" t="s">
        <v>66</v>
      </c>
      <c r="L22" s="17">
        <f>3000</f>
        <v>3000</v>
      </c>
      <c r="M22" s="116">
        <v>1</v>
      </c>
      <c r="N22" s="193">
        <f t="shared" si="3"/>
        <v>3000</v>
      </c>
    </row>
    <row r="23" spans="2:16" x14ac:dyDescent="0.25">
      <c r="C23" s="3" t="s">
        <v>67</v>
      </c>
      <c r="D23" s="17">
        <v>500</v>
      </c>
      <c r="E23" s="116">
        <v>50</v>
      </c>
      <c r="F23" s="193">
        <f t="shared" si="2"/>
        <v>25000</v>
      </c>
      <c r="K23" s="3" t="s">
        <v>67</v>
      </c>
      <c r="L23" s="17">
        <v>500</v>
      </c>
      <c r="M23" s="116">
        <v>50</v>
      </c>
      <c r="N23" s="193">
        <f t="shared" si="3"/>
        <v>25000</v>
      </c>
    </row>
    <row r="24" spans="2:16" x14ac:dyDescent="0.25">
      <c r="C24" s="3" t="s">
        <v>68</v>
      </c>
      <c r="D24" s="17">
        <v>12175</v>
      </c>
      <c r="E24" s="116">
        <v>2</v>
      </c>
      <c r="F24" s="193">
        <f t="shared" si="2"/>
        <v>24350</v>
      </c>
      <c r="K24" s="3" t="s">
        <v>68</v>
      </c>
      <c r="L24" s="17">
        <v>12175</v>
      </c>
      <c r="M24" s="116">
        <v>2</v>
      </c>
      <c r="N24" s="193">
        <f t="shared" si="3"/>
        <v>24350</v>
      </c>
    </row>
    <row r="25" spans="2:16" x14ac:dyDescent="0.25">
      <c r="C25" s="3" t="s">
        <v>69</v>
      </c>
      <c r="D25" s="17">
        <v>37000</v>
      </c>
      <c r="E25" s="116">
        <v>8</v>
      </c>
      <c r="F25" s="193">
        <f t="shared" ref="F25:F38" si="6">D25*E25</f>
        <v>296000</v>
      </c>
      <c r="K25" s="3" t="s">
        <v>69</v>
      </c>
      <c r="L25" s="17">
        <v>37000</v>
      </c>
      <c r="M25" s="116">
        <v>8</v>
      </c>
      <c r="N25" s="193">
        <f t="shared" si="3"/>
        <v>296000</v>
      </c>
    </row>
    <row r="26" spans="2:16" x14ac:dyDescent="0.25">
      <c r="C26" s="3" t="s">
        <v>70</v>
      </c>
      <c r="D26" s="17">
        <v>4000</v>
      </c>
      <c r="E26" s="116">
        <v>4</v>
      </c>
      <c r="F26" s="193">
        <f t="shared" si="6"/>
        <v>16000</v>
      </c>
      <c r="K26" s="3" t="s">
        <v>70</v>
      </c>
      <c r="L26" s="17">
        <v>4000</v>
      </c>
      <c r="M26" s="116">
        <v>4</v>
      </c>
      <c r="N26" s="193">
        <f t="shared" si="3"/>
        <v>16000</v>
      </c>
    </row>
    <row r="27" spans="2:16" x14ac:dyDescent="0.25">
      <c r="C27" s="3" t="s">
        <v>71</v>
      </c>
      <c r="D27" s="17">
        <v>2000</v>
      </c>
      <c r="E27" s="116">
        <v>5</v>
      </c>
      <c r="F27" s="193">
        <f t="shared" si="6"/>
        <v>10000</v>
      </c>
      <c r="K27" s="3" t="s">
        <v>71</v>
      </c>
      <c r="L27" s="17">
        <v>2000</v>
      </c>
      <c r="M27" s="116">
        <v>5</v>
      </c>
      <c r="N27" s="193">
        <f t="shared" si="3"/>
        <v>10000</v>
      </c>
    </row>
    <row r="28" spans="2:16" x14ac:dyDescent="0.25">
      <c r="C28" s="3" t="s">
        <v>72</v>
      </c>
      <c r="D28" s="17">
        <v>30000</v>
      </c>
      <c r="E28" s="116">
        <v>5</v>
      </c>
      <c r="F28" s="193">
        <f t="shared" si="6"/>
        <v>150000</v>
      </c>
      <c r="K28" s="3" t="s">
        <v>72</v>
      </c>
      <c r="L28" s="17">
        <v>30000</v>
      </c>
      <c r="M28" s="116">
        <v>5</v>
      </c>
      <c r="N28" s="193">
        <f t="shared" si="3"/>
        <v>150000</v>
      </c>
    </row>
    <row r="29" spans="2:16" x14ac:dyDescent="0.25">
      <c r="C29" s="3" t="s">
        <v>73</v>
      </c>
      <c r="D29" s="17">
        <v>20000</v>
      </c>
      <c r="E29" s="116">
        <v>5</v>
      </c>
      <c r="F29" s="193">
        <f t="shared" si="6"/>
        <v>100000</v>
      </c>
      <c r="K29" s="3" t="s">
        <v>73</v>
      </c>
      <c r="L29" s="17">
        <v>20000</v>
      </c>
      <c r="M29" s="116">
        <v>5</v>
      </c>
      <c r="N29" s="193">
        <f t="shared" si="3"/>
        <v>100000</v>
      </c>
    </row>
    <row r="30" spans="2:16" x14ac:dyDescent="0.25">
      <c r="C30" s="3" t="s">
        <v>74</v>
      </c>
      <c r="D30" s="17">
        <v>15000</v>
      </c>
      <c r="E30" s="116">
        <v>145</v>
      </c>
      <c r="F30" s="193">
        <f t="shared" si="6"/>
        <v>2175000</v>
      </c>
      <c r="K30" s="3" t="s">
        <v>74</v>
      </c>
      <c r="L30" s="17">
        <v>15000</v>
      </c>
      <c r="M30" s="116">
        <v>145</v>
      </c>
      <c r="N30" s="193">
        <f t="shared" si="3"/>
        <v>2175000</v>
      </c>
    </row>
    <row r="31" spans="2:16" x14ac:dyDescent="0.25">
      <c r="C31" s="3" t="s">
        <v>75</v>
      </c>
      <c r="D31" s="17">
        <v>10000</v>
      </c>
      <c r="E31" s="116">
        <v>145</v>
      </c>
      <c r="F31" s="193">
        <f t="shared" si="6"/>
        <v>1450000</v>
      </c>
      <c r="K31" s="3" t="s">
        <v>75</v>
      </c>
      <c r="L31" s="17">
        <v>10000</v>
      </c>
      <c r="M31" s="116">
        <v>145</v>
      </c>
      <c r="N31" s="193">
        <f t="shared" si="3"/>
        <v>1450000</v>
      </c>
    </row>
    <row r="32" spans="2:16" x14ac:dyDescent="0.25">
      <c r="C32" s="3" t="s">
        <v>76</v>
      </c>
      <c r="D32" s="17">
        <v>1765</v>
      </c>
      <c r="E32" s="116">
        <v>50</v>
      </c>
      <c r="F32" s="193">
        <f t="shared" si="6"/>
        <v>88250</v>
      </c>
      <c r="K32" s="3" t="s">
        <v>76</v>
      </c>
      <c r="L32" s="17">
        <v>1765</v>
      </c>
      <c r="M32" s="116">
        <v>50</v>
      </c>
      <c r="N32" s="193">
        <f t="shared" si="3"/>
        <v>88250</v>
      </c>
    </row>
    <row r="33" spans="2:16" x14ac:dyDescent="0.25">
      <c r="C33" s="3" t="s">
        <v>77</v>
      </c>
      <c r="D33" s="17">
        <v>10.689655172413794</v>
      </c>
      <c r="E33" s="116">
        <v>290</v>
      </c>
      <c r="F33" s="193">
        <f t="shared" si="6"/>
        <v>3100</v>
      </c>
      <c r="G33" s="123">
        <f>SUM(F20:F33)</f>
        <v>4937100</v>
      </c>
      <c r="H33" s="24">
        <f t="shared" si="4"/>
        <v>6.8354338510381904E-2</v>
      </c>
      <c r="K33" s="3" t="s">
        <v>77</v>
      </c>
      <c r="L33" s="17">
        <v>10.689655172413794</v>
      </c>
      <c r="M33" s="116">
        <v>290</v>
      </c>
      <c r="N33" s="193">
        <f t="shared" si="3"/>
        <v>3100</v>
      </c>
      <c r="O33" s="123">
        <f>SUM(N20:N33)</f>
        <v>4937100</v>
      </c>
      <c r="P33" s="24">
        <f t="shared" ref="P33" si="7">O33/$G$54</f>
        <v>6.8354338510381904E-2</v>
      </c>
    </row>
    <row r="34" spans="2:16" x14ac:dyDescent="0.25">
      <c r="B34" s="2" t="s">
        <v>80</v>
      </c>
      <c r="C34" s="3" t="s">
        <v>89</v>
      </c>
      <c r="D34" s="17"/>
      <c r="E34" s="116">
        <v>2</v>
      </c>
      <c r="F34" s="193">
        <f>30000+24000</f>
        <v>54000</v>
      </c>
      <c r="J34" s="2" t="s">
        <v>80</v>
      </c>
      <c r="K34" s="3" t="s">
        <v>89</v>
      </c>
      <c r="L34" s="17"/>
      <c r="M34" s="116">
        <v>2</v>
      </c>
      <c r="N34" s="193">
        <f>30000+24000</f>
        <v>54000</v>
      </c>
    </row>
    <row r="35" spans="2:16" x14ac:dyDescent="0.25">
      <c r="C35" s="3" t="s">
        <v>90</v>
      </c>
      <c r="D35" s="17">
        <f>38000</f>
        <v>38000</v>
      </c>
      <c r="E35" s="116">
        <v>1</v>
      </c>
      <c r="F35" s="193">
        <f t="shared" si="6"/>
        <v>38000</v>
      </c>
      <c r="K35" s="3" t="s">
        <v>90</v>
      </c>
      <c r="L35" s="17">
        <f>38000</f>
        <v>38000</v>
      </c>
      <c r="M35" s="116">
        <v>1</v>
      </c>
      <c r="N35" s="193">
        <f t="shared" ref="N35:N36" si="8">L35*M35</f>
        <v>38000</v>
      </c>
    </row>
    <row r="36" spans="2:16" x14ac:dyDescent="0.25">
      <c r="C36" s="3" t="s">
        <v>91</v>
      </c>
      <c r="D36" s="17">
        <f>226000</f>
        <v>226000</v>
      </c>
      <c r="E36" s="116">
        <v>1</v>
      </c>
      <c r="F36" s="193">
        <f t="shared" si="6"/>
        <v>226000</v>
      </c>
      <c r="K36" s="3" t="s">
        <v>91</v>
      </c>
      <c r="L36" s="17">
        <f>226000</f>
        <v>226000</v>
      </c>
      <c r="M36" s="116">
        <v>1</v>
      </c>
      <c r="N36" s="193">
        <f t="shared" si="8"/>
        <v>226000</v>
      </c>
    </row>
    <row r="37" spans="2:16" x14ac:dyDescent="0.25">
      <c r="C37" s="3" t="s">
        <v>92</v>
      </c>
      <c r="D37" s="17"/>
      <c r="E37" s="116">
        <v>2</v>
      </c>
      <c r="F37" s="193">
        <f>518000+1200000</f>
        <v>1718000</v>
      </c>
      <c r="K37" s="3" t="s">
        <v>92</v>
      </c>
      <c r="L37" s="17"/>
      <c r="M37" s="116">
        <v>2</v>
      </c>
      <c r="N37" s="193">
        <f>518000+1200000</f>
        <v>1718000</v>
      </c>
    </row>
    <row r="38" spans="2:16" x14ac:dyDescent="0.25">
      <c r="C38" s="3" t="s">
        <v>93</v>
      </c>
      <c r="D38" s="17">
        <f>628000</f>
        <v>628000</v>
      </c>
      <c r="E38" s="116">
        <v>1</v>
      </c>
      <c r="F38" s="193">
        <f t="shared" si="6"/>
        <v>628000</v>
      </c>
      <c r="K38" s="3" t="s">
        <v>93</v>
      </c>
      <c r="L38" s="17">
        <f>628000</f>
        <v>628000</v>
      </c>
      <c r="M38" s="116">
        <v>1</v>
      </c>
      <c r="N38" s="193">
        <f t="shared" ref="N38" si="9">L38*M38</f>
        <v>628000</v>
      </c>
    </row>
    <row r="39" spans="2:16" x14ac:dyDescent="0.25">
      <c r="C39" s="3" t="s">
        <v>94</v>
      </c>
      <c r="D39" s="17"/>
      <c r="E39" s="116">
        <v>3</v>
      </c>
      <c r="F39" s="193">
        <f>133000+175000+216000</f>
        <v>524000</v>
      </c>
      <c r="K39" s="3" t="s">
        <v>94</v>
      </c>
      <c r="L39" s="17"/>
      <c r="M39" s="116">
        <v>3</v>
      </c>
      <c r="N39" s="193">
        <f>133000+175000+216000</f>
        <v>524000</v>
      </c>
    </row>
    <row r="40" spans="2:16" x14ac:dyDescent="0.25">
      <c r="C40" s="3" t="s">
        <v>95</v>
      </c>
      <c r="D40" s="17"/>
      <c r="E40" s="116">
        <v>2</v>
      </c>
      <c r="F40" s="193">
        <f>81000+179000</f>
        <v>260000</v>
      </c>
      <c r="G40" s="121">
        <f>SUM(F34:F40)</f>
        <v>3448000</v>
      </c>
      <c r="H40" s="24">
        <f t="shared" si="4"/>
        <v>4.7737692002146365E-2</v>
      </c>
      <c r="K40" s="3" t="s">
        <v>95</v>
      </c>
      <c r="L40" s="17"/>
      <c r="M40" s="116">
        <v>2</v>
      </c>
      <c r="N40" s="193">
        <f>81000+179000</f>
        <v>260000</v>
      </c>
      <c r="O40" s="121">
        <f>SUM(N34:N40)</f>
        <v>3448000</v>
      </c>
      <c r="P40" s="24">
        <f t="shared" ref="P40" si="10">O40/$G$54</f>
        <v>4.7737692002146365E-2</v>
      </c>
    </row>
    <row r="41" spans="2:16" x14ac:dyDescent="0.25">
      <c r="B41" s="2" t="s">
        <v>99</v>
      </c>
      <c r="C41" s="22" t="s">
        <v>100</v>
      </c>
      <c r="D41" s="17"/>
      <c r="E41" s="114">
        <v>2</v>
      </c>
      <c r="F41" s="193">
        <f>10600+4250</f>
        <v>14850</v>
      </c>
      <c r="J41" s="2" t="s">
        <v>99</v>
      </c>
      <c r="K41" s="22" t="s">
        <v>100</v>
      </c>
      <c r="L41" s="17"/>
      <c r="M41" s="114">
        <v>2</v>
      </c>
      <c r="N41" s="193">
        <f>10600+4250</f>
        <v>14850</v>
      </c>
    </row>
    <row r="42" spans="2:16" x14ac:dyDescent="0.25">
      <c r="C42" s="3" t="s">
        <v>103</v>
      </c>
      <c r="D42" s="17"/>
      <c r="E42" s="116">
        <v>2</v>
      </c>
      <c r="F42" s="193">
        <f>23600+29150</f>
        <v>52750</v>
      </c>
      <c r="K42" s="3" t="s">
        <v>103</v>
      </c>
      <c r="L42" s="17"/>
      <c r="M42" s="116">
        <v>2</v>
      </c>
      <c r="N42" s="193">
        <f>23600+29150</f>
        <v>52750</v>
      </c>
    </row>
    <row r="43" spans="2:16" x14ac:dyDescent="0.25">
      <c r="C43" s="22" t="s">
        <v>101</v>
      </c>
      <c r="D43" s="17"/>
      <c r="E43" s="114">
        <v>2</v>
      </c>
      <c r="F43" s="193">
        <f>11000+10100</f>
        <v>21100</v>
      </c>
      <c r="K43" s="22" t="s">
        <v>101</v>
      </c>
      <c r="L43" s="17"/>
      <c r="M43" s="114">
        <v>2</v>
      </c>
      <c r="N43" s="193">
        <f>11000+10100</f>
        <v>21100</v>
      </c>
    </row>
    <row r="44" spans="2:16" x14ac:dyDescent="0.25">
      <c r="C44" s="3" t="s">
        <v>102</v>
      </c>
      <c r="D44" s="17"/>
      <c r="E44" s="116">
        <v>2</v>
      </c>
      <c r="F44" s="193">
        <f>14300+65000</f>
        <v>79300</v>
      </c>
      <c r="K44" s="3" t="s">
        <v>102</v>
      </c>
      <c r="L44" s="17"/>
      <c r="M44" s="116">
        <v>2</v>
      </c>
      <c r="N44" s="193">
        <f>14300+65000</f>
        <v>79300</v>
      </c>
    </row>
    <row r="45" spans="2:16" x14ac:dyDescent="0.25">
      <c r="C45" s="3" t="s">
        <v>36</v>
      </c>
      <c r="D45" s="17">
        <v>1160</v>
      </c>
      <c r="E45" s="116">
        <v>4</v>
      </c>
      <c r="F45" s="193">
        <f t="shared" ref="F45:F53" si="11">D45*E45</f>
        <v>4640</v>
      </c>
      <c r="K45" s="3" t="s">
        <v>36</v>
      </c>
      <c r="L45" s="17">
        <v>1160</v>
      </c>
      <c r="M45" s="116">
        <v>4</v>
      </c>
      <c r="N45" s="193">
        <f t="shared" ref="N45" si="12">L45*M45</f>
        <v>4640</v>
      </c>
    </row>
    <row r="46" spans="2:16" x14ac:dyDescent="0.25">
      <c r="C46" s="3" t="s">
        <v>104</v>
      </c>
      <c r="D46" s="17"/>
      <c r="E46" s="116">
        <v>2</v>
      </c>
      <c r="F46" s="193">
        <f>7100+5700</f>
        <v>12800</v>
      </c>
      <c r="K46" s="3" t="s">
        <v>104</v>
      </c>
      <c r="L46" s="17"/>
      <c r="M46" s="116">
        <v>2</v>
      </c>
      <c r="N46" s="193">
        <f>7100+5700</f>
        <v>12800</v>
      </c>
    </row>
    <row r="47" spans="2:16" x14ac:dyDescent="0.25">
      <c r="C47" s="3" t="s">
        <v>105</v>
      </c>
      <c r="D47" s="17">
        <f>70000</f>
        <v>70000</v>
      </c>
      <c r="E47" s="116">
        <v>1</v>
      </c>
      <c r="F47" s="193">
        <f t="shared" si="11"/>
        <v>70000</v>
      </c>
      <c r="K47" s="3" t="s">
        <v>105</v>
      </c>
      <c r="L47" s="17">
        <f>70000</f>
        <v>70000</v>
      </c>
      <c r="M47" s="116">
        <v>1</v>
      </c>
      <c r="N47" s="193">
        <f t="shared" ref="N47:N53" si="13">L47*M47</f>
        <v>70000</v>
      </c>
    </row>
    <row r="48" spans="2:16" x14ac:dyDescent="0.25">
      <c r="C48" s="3" t="s">
        <v>106</v>
      </c>
      <c r="D48" s="17">
        <f>54000</f>
        <v>54000</v>
      </c>
      <c r="E48" s="116">
        <v>1</v>
      </c>
      <c r="F48" s="193">
        <f t="shared" si="11"/>
        <v>54000</v>
      </c>
      <c r="K48" s="3" t="s">
        <v>106</v>
      </c>
      <c r="L48" s="17">
        <f>54000</f>
        <v>54000</v>
      </c>
      <c r="M48" s="116">
        <v>1</v>
      </c>
      <c r="N48" s="193">
        <f t="shared" si="13"/>
        <v>54000</v>
      </c>
    </row>
    <row r="49" spans="2:16" x14ac:dyDescent="0.25">
      <c r="C49" s="3" t="s">
        <v>107</v>
      </c>
      <c r="D49" s="17">
        <f>12400</f>
        <v>12400</v>
      </c>
      <c r="E49" s="116">
        <v>1</v>
      </c>
      <c r="F49" s="193">
        <f t="shared" si="11"/>
        <v>12400</v>
      </c>
      <c r="G49" s="121">
        <f>SUM(F41:F49)</f>
        <v>321840</v>
      </c>
      <c r="H49" s="24">
        <f t="shared" si="4"/>
        <v>4.4558871212212253E-3</v>
      </c>
      <c r="K49" s="3" t="s">
        <v>107</v>
      </c>
      <c r="L49" s="17">
        <f>12400</f>
        <v>12400</v>
      </c>
      <c r="M49" s="116">
        <v>1</v>
      </c>
      <c r="N49" s="193">
        <f t="shared" si="13"/>
        <v>12400</v>
      </c>
      <c r="O49" s="121">
        <f>SUM(N41:N49)</f>
        <v>321840</v>
      </c>
      <c r="P49" s="24">
        <f t="shared" ref="P49" si="14">O49/$G$54</f>
        <v>4.4558871212212253E-3</v>
      </c>
    </row>
    <row r="50" spans="2:16" x14ac:dyDescent="0.25">
      <c r="B50" s="2" t="s">
        <v>122</v>
      </c>
      <c r="C50" s="3" t="s">
        <v>123</v>
      </c>
      <c r="D50" s="17">
        <v>32270</v>
      </c>
      <c r="E50" s="116">
        <v>2</v>
      </c>
      <c r="F50" s="193">
        <f t="shared" si="11"/>
        <v>64540</v>
      </c>
      <c r="J50" s="2" t="s">
        <v>122</v>
      </c>
      <c r="K50" s="3" t="s">
        <v>123</v>
      </c>
      <c r="L50" s="17">
        <v>32270</v>
      </c>
      <c r="M50" s="116">
        <v>2</v>
      </c>
      <c r="N50" s="193">
        <f t="shared" si="13"/>
        <v>64540</v>
      </c>
    </row>
    <row r="51" spans="2:16" x14ac:dyDescent="0.25">
      <c r="C51" s="3" t="s">
        <v>124</v>
      </c>
      <c r="D51" s="17">
        <f>64507.46</f>
        <v>64507.46</v>
      </c>
      <c r="E51" s="116">
        <v>2</v>
      </c>
      <c r="F51" s="193">
        <f t="shared" si="11"/>
        <v>129014.92</v>
      </c>
      <c r="K51" s="3" t="s">
        <v>124</v>
      </c>
      <c r="L51" s="17">
        <f>64507.46</f>
        <v>64507.46</v>
      </c>
      <c r="M51" s="116">
        <v>2</v>
      </c>
      <c r="N51" s="193">
        <f t="shared" si="13"/>
        <v>129014.92</v>
      </c>
    </row>
    <row r="52" spans="2:16" x14ac:dyDescent="0.25">
      <c r="C52" s="3" t="s">
        <v>125</v>
      </c>
      <c r="D52" s="17">
        <f>140000*0.82</f>
        <v>114800</v>
      </c>
      <c r="E52" s="116">
        <v>1</v>
      </c>
      <c r="F52" s="193">
        <f t="shared" si="11"/>
        <v>114800</v>
      </c>
      <c r="K52" s="3" t="s">
        <v>125</v>
      </c>
      <c r="L52" s="17">
        <f>140000*0.82</f>
        <v>114800</v>
      </c>
      <c r="M52" s="116">
        <v>1</v>
      </c>
      <c r="N52" s="193">
        <f t="shared" si="13"/>
        <v>114800</v>
      </c>
    </row>
    <row r="53" spans="2:16" ht="15.75" thickBot="1" x14ac:dyDescent="0.3">
      <c r="C53" s="3" t="s">
        <v>126</v>
      </c>
      <c r="D53" s="17">
        <f>182000*0.82</f>
        <v>149240</v>
      </c>
      <c r="E53" s="116">
        <v>1</v>
      </c>
      <c r="F53" s="198">
        <f t="shared" si="11"/>
        <v>149240</v>
      </c>
      <c r="G53" s="125">
        <f>SUM(F50:F53)</f>
        <v>457594.92</v>
      </c>
      <c r="H53" s="25">
        <f t="shared" si="4"/>
        <v>6.3354191858198388E-3</v>
      </c>
      <c r="K53" s="3" t="s">
        <v>126</v>
      </c>
      <c r="L53" s="17">
        <f>182000*0.82</f>
        <v>149240</v>
      </c>
      <c r="M53" s="116">
        <v>1</v>
      </c>
      <c r="N53" s="198">
        <f t="shared" si="13"/>
        <v>149240</v>
      </c>
      <c r="O53" s="125">
        <f>SUM(N50:N53)</f>
        <v>457594.92</v>
      </c>
      <c r="P53" s="25">
        <f t="shared" ref="P53" si="15">O53/$G$54</f>
        <v>6.3354191858198388E-3</v>
      </c>
    </row>
    <row r="54" spans="2:16" ht="15.75" thickBot="1" x14ac:dyDescent="0.3">
      <c r="C54" s="119" t="s">
        <v>216</v>
      </c>
      <c r="D54" s="3"/>
      <c r="E54" s="116"/>
      <c r="F54" s="199">
        <f>SUM(F7:F53)</f>
        <v>72228041.519999996</v>
      </c>
      <c r="G54" s="127">
        <f>SUM(G53,G49,G40,G33,G19,G11)</f>
        <v>72228041.520000011</v>
      </c>
      <c r="H54" s="25">
        <f>SUM(H53,H49,H40,H33,H19,H11)</f>
        <v>0.99999999999999978</v>
      </c>
      <c r="K54" s="119" t="s">
        <v>216</v>
      </c>
      <c r="L54" s="3"/>
      <c r="M54" s="116"/>
      <c r="N54" s="199">
        <f>SUM(N7:N53)</f>
        <v>60230696.519999996</v>
      </c>
      <c r="O54" s="127">
        <f>SUM(O53,O49,O40,O33,O19,O11)</f>
        <v>60230696.520000003</v>
      </c>
      <c r="P54" s="25">
        <f>SUM(P53,P49,P40,P33,P19,P11)</f>
        <v>0.83389629917242136</v>
      </c>
    </row>
    <row r="56" spans="2:16" x14ac:dyDescent="0.25">
      <c r="C56" s="119"/>
      <c r="K56" s="119"/>
      <c r="N56" s="196" t="s">
        <v>294</v>
      </c>
      <c r="O56" s="197">
        <f>G54-O54</f>
        <v>11997345.000000007</v>
      </c>
    </row>
  </sheetData>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9C63B-EB10-4676-A5A9-659E7FCCB6A8}">
  <sheetPr>
    <tabColor theme="7" tint="0.39997558519241921"/>
  </sheetPr>
  <dimension ref="B2:F26"/>
  <sheetViews>
    <sheetView workbookViewId="0">
      <selection activeCell="F33" sqref="F33"/>
    </sheetView>
  </sheetViews>
  <sheetFormatPr defaultRowHeight="15" x14ac:dyDescent="0.25"/>
  <cols>
    <col min="1" max="1" width="4.140625" customWidth="1"/>
    <col min="2" max="2" width="38.140625" customWidth="1"/>
    <col min="3" max="3" width="14.7109375" style="17" bestFit="1" customWidth="1"/>
    <col min="4" max="4" width="12.42578125" style="34" bestFit="1" customWidth="1"/>
    <col min="5" max="5" width="2.42578125" customWidth="1"/>
    <col min="6" max="6" width="12.42578125" bestFit="1" customWidth="1"/>
  </cols>
  <sheetData>
    <row r="2" spans="2:6" ht="18.75" x14ac:dyDescent="0.3">
      <c r="B2" s="209" t="s">
        <v>307</v>
      </c>
      <c r="D2" s="214" t="s">
        <v>298</v>
      </c>
      <c r="E2" s="203"/>
      <c r="F2" s="214" t="s">
        <v>299</v>
      </c>
    </row>
    <row r="3" spans="2:6" s="28" customFormat="1" ht="30" x14ac:dyDescent="0.25">
      <c r="C3" s="210" t="s">
        <v>308</v>
      </c>
      <c r="D3" s="211" t="s">
        <v>309</v>
      </c>
      <c r="E3" s="212"/>
      <c r="F3" s="211" t="s">
        <v>309</v>
      </c>
    </row>
    <row r="4" spans="2:6" x14ac:dyDescent="0.25">
      <c r="B4" s="3" t="s">
        <v>300</v>
      </c>
      <c r="C4" s="38"/>
      <c r="D4" s="128" t="s">
        <v>211</v>
      </c>
      <c r="E4" s="203"/>
      <c r="F4" s="128" t="s">
        <v>211</v>
      </c>
    </row>
    <row r="5" spans="2:6" x14ac:dyDescent="0.25">
      <c r="B5" s="3" t="s">
        <v>113</v>
      </c>
      <c r="C5" s="17">
        <f>0.45</f>
        <v>0.45</v>
      </c>
      <c r="D5" s="120">
        <f>C5*$D$12</f>
        <v>32502618.684</v>
      </c>
      <c r="E5" s="203"/>
      <c r="F5" s="120">
        <f>C5*$F$12</f>
        <v>27103813.434</v>
      </c>
    </row>
    <row r="6" spans="2:6" x14ac:dyDescent="0.25">
      <c r="B6" s="3" t="s">
        <v>114</v>
      </c>
      <c r="C6" s="17">
        <f>0.45</f>
        <v>0.45</v>
      </c>
      <c r="D6" s="120">
        <f t="shared" ref="D6:D9" si="0">C6*$D$12</f>
        <v>32502618.684</v>
      </c>
      <c r="E6" s="203"/>
      <c r="F6" s="120">
        <f t="shared" ref="F6:F9" si="1">C6*$F$12</f>
        <v>27103813.434</v>
      </c>
    </row>
    <row r="7" spans="2:6" x14ac:dyDescent="0.25">
      <c r="B7" s="3" t="s">
        <v>115</v>
      </c>
      <c r="C7" s="17">
        <f>0.15</f>
        <v>0.15</v>
      </c>
      <c r="D7" s="120">
        <f t="shared" si="0"/>
        <v>10834206.227999998</v>
      </c>
      <c r="E7" s="203"/>
      <c r="F7" s="120">
        <f t="shared" si="1"/>
        <v>9034604.4779999983</v>
      </c>
    </row>
    <row r="8" spans="2:6" x14ac:dyDescent="0.25">
      <c r="B8" s="3" t="s">
        <v>116</v>
      </c>
      <c r="C8" s="17">
        <f>0.1</f>
        <v>0.1</v>
      </c>
      <c r="D8" s="120">
        <f t="shared" si="0"/>
        <v>7222804.1519999998</v>
      </c>
      <c r="E8" s="203"/>
      <c r="F8" s="120">
        <f t="shared" si="1"/>
        <v>6023069.6519999998</v>
      </c>
    </row>
    <row r="9" spans="2:6" x14ac:dyDescent="0.25">
      <c r="B9" s="3" t="s">
        <v>117</v>
      </c>
      <c r="C9" s="17">
        <f>0.1</f>
        <v>0.1</v>
      </c>
      <c r="D9" s="120">
        <f t="shared" si="0"/>
        <v>7222804.1519999998</v>
      </c>
      <c r="E9" s="203"/>
      <c r="F9" s="120">
        <f t="shared" si="1"/>
        <v>6023069.6519999998</v>
      </c>
    </row>
    <row r="10" spans="2:6" x14ac:dyDescent="0.25">
      <c r="B10" s="3" t="s">
        <v>127</v>
      </c>
      <c r="D10" s="200">
        <f>capex!F4</f>
        <v>2876500</v>
      </c>
      <c r="E10" s="203"/>
      <c r="F10" s="200">
        <f>capex!N4</f>
        <v>2876500</v>
      </c>
    </row>
    <row r="11" spans="2:6" s="3" customFormat="1" x14ac:dyDescent="0.25">
      <c r="C11" s="22"/>
      <c r="D11" s="129">
        <f>SUM(D5:D10)</f>
        <v>93161551.899999991</v>
      </c>
      <c r="E11" s="2"/>
      <c r="F11" s="129">
        <f>SUM(F5:F10)</f>
        <v>78164870.649999991</v>
      </c>
    </row>
    <row r="12" spans="2:6" s="3" customFormat="1" ht="20.25" customHeight="1" x14ac:dyDescent="0.25">
      <c r="B12" s="3" t="str">
        <f>capex!C54</f>
        <v>TOTAL - EQUIPMENT</v>
      </c>
      <c r="C12" s="22"/>
      <c r="D12" s="201">
        <f>capex!F54</f>
        <v>72228041.519999996</v>
      </c>
      <c r="E12" s="2"/>
      <c r="F12" s="201">
        <f>capex!N54</f>
        <v>60230696.519999996</v>
      </c>
    </row>
    <row r="13" spans="2:6" s="3" customFormat="1" x14ac:dyDescent="0.25">
      <c r="B13" s="3" t="s">
        <v>128</v>
      </c>
      <c r="C13" s="22"/>
      <c r="D13" s="202">
        <f>SUM(D11:D12)</f>
        <v>165389593.41999999</v>
      </c>
      <c r="E13" s="2"/>
      <c r="F13" s="202">
        <f>SUM(F11:F12)</f>
        <v>138395567.16999999</v>
      </c>
    </row>
    <row r="14" spans="2:6" x14ac:dyDescent="0.25">
      <c r="B14" s="3"/>
      <c r="E14" s="203"/>
      <c r="F14" s="34"/>
    </row>
    <row r="15" spans="2:6" x14ac:dyDescent="0.25">
      <c r="B15" s="3" t="s">
        <v>301</v>
      </c>
      <c r="E15" s="203"/>
      <c r="F15" s="34"/>
    </row>
    <row r="16" spans="2:6" x14ac:dyDescent="0.25">
      <c r="B16" s="3" t="s">
        <v>119</v>
      </c>
      <c r="E16" s="203"/>
      <c r="F16" s="34"/>
    </row>
    <row r="17" spans="2:6" x14ac:dyDescent="0.25">
      <c r="B17" s="3" t="s">
        <v>120</v>
      </c>
      <c r="C17" s="17">
        <f>0.25</f>
        <v>0.25</v>
      </c>
      <c r="D17" s="120">
        <f>C17*$D$13</f>
        <v>41347398.354999997</v>
      </c>
      <c r="E17" s="203"/>
      <c r="F17" s="120">
        <f>C17*$F$13</f>
        <v>34598891.792499997</v>
      </c>
    </row>
    <row r="18" spans="2:6" x14ac:dyDescent="0.25">
      <c r="B18" s="3" t="s">
        <v>121</v>
      </c>
      <c r="C18" s="17">
        <f>0.05</f>
        <v>0.05</v>
      </c>
      <c r="D18" s="120">
        <f t="shared" ref="D18:D19" si="2">C18*$D$13</f>
        <v>8269479.6710000001</v>
      </c>
      <c r="E18" s="203"/>
      <c r="F18" s="120">
        <f t="shared" ref="F18:F19" si="3">C18*$F$13</f>
        <v>6919778.3585000001</v>
      </c>
    </row>
    <row r="19" spans="2:6" x14ac:dyDescent="0.25">
      <c r="B19" s="3" t="s">
        <v>310</v>
      </c>
      <c r="C19" s="17">
        <f>0.1</f>
        <v>0.1</v>
      </c>
      <c r="D19" s="200">
        <f t="shared" si="2"/>
        <v>16538959.342</v>
      </c>
      <c r="E19" s="203"/>
      <c r="F19" s="200">
        <f t="shared" si="3"/>
        <v>13839556.717</v>
      </c>
    </row>
    <row r="20" spans="2:6" s="3" customFormat="1" ht="15.75" thickBot="1" x14ac:dyDescent="0.3">
      <c r="C20" s="22"/>
      <c r="D20" s="204">
        <f>SUM(D17:D19)</f>
        <v>66155837.367999993</v>
      </c>
      <c r="E20" s="2"/>
      <c r="F20" s="204">
        <f>SUM(F17:F19)</f>
        <v>55358226.867999993</v>
      </c>
    </row>
    <row r="21" spans="2:6" s="3" customFormat="1" ht="21" customHeight="1" thickBot="1" x14ac:dyDescent="0.3">
      <c r="B21" s="3" t="s">
        <v>302</v>
      </c>
      <c r="C21" s="22">
        <f>SUM(C17:C19)+1</f>
        <v>1.4</v>
      </c>
      <c r="D21" s="205">
        <f>D20+D13</f>
        <v>231545430.78799999</v>
      </c>
      <c r="E21" s="2"/>
      <c r="F21" s="205">
        <f>F20+F13</f>
        <v>193753794.03799999</v>
      </c>
    </row>
    <row r="22" spans="2:6" x14ac:dyDescent="0.25">
      <c r="E22" s="203"/>
    </row>
    <row r="23" spans="2:6" x14ac:dyDescent="0.25">
      <c r="B23" s="208" t="s">
        <v>303</v>
      </c>
      <c r="E23" s="203"/>
    </row>
    <row r="24" spans="2:6" x14ac:dyDescent="0.25">
      <c r="B24" s="43" t="s">
        <v>304</v>
      </c>
      <c r="E24" s="203"/>
    </row>
    <row r="25" spans="2:6" x14ac:dyDescent="0.25">
      <c r="B25" s="43" t="s">
        <v>305</v>
      </c>
      <c r="E25" s="203"/>
    </row>
    <row r="26" spans="2:6" x14ac:dyDescent="0.25">
      <c r="B26" s="43" t="s">
        <v>306</v>
      </c>
      <c r="E26" s="203"/>
    </row>
  </sheetData>
  <phoneticPr fontId="13"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AE4D7-1A7C-4D5B-A45F-BA3F06204BD7}">
  <dimension ref="A1:A14"/>
  <sheetViews>
    <sheetView topLeftCell="A10" workbookViewId="0">
      <selection activeCell="A4" sqref="A4"/>
    </sheetView>
  </sheetViews>
  <sheetFormatPr defaultRowHeight="15" x14ac:dyDescent="0.25"/>
  <cols>
    <col min="1" max="1" width="176.85546875" bestFit="1" customWidth="1"/>
  </cols>
  <sheetData>
    <row r="1" spans="1:1" x14ac:dyDescent="0.25">
      <c r="A1" s="3" t="s">
        <v>283</v>
      </c>
    </row>
    <row r="2" spans="1:1" x14ac:dyDescent="0.25">
      <c r="A2" t="s">
        <v>284</v>
      </c>
    </row>
    <row r="3" spans="1:1" x14ac:dyDescent="0.25">
      <c r="A3" t="s">
        <v>285</v>
      </c>
    </row>
    <row r="4" spans="1:1" x14ac:dyDescent="0.25">
      <c r="A4" t="s">
        <v>286</v>
      </c>
    </row>
    <row r="5" spans="1:1" x14ac:dyDescent="0.25">
      <c r="A5" t="s">
        <v>287</v>
      </c>
    </row>
    <row r="6" spans="1:1" x14ac:dyDescent="0.25">
      <c r="A6" t="s">
        <v>288</v>
      </c>
    </row>
    <row r="7" spans="1:1" x14ac:dyDescent="0.25">
      <c r="A7" t="s">
        <v>289</v>
      </c>
    </row>
    <row r="10" spans="1:1" x14ac:dyDescent="0.25">
      <c r="A10" s="3" t="s">
        <v>290</v>
      </c>
    </row>
    <row r="11" spans="1:1" x14ac:dyDescent="0.25">
      <c r="A11" t="s">
        <v>291</v>
      </c>
    </row>
    <row r="12" spans="1:1" x14ac:dyDescent="0.25">
      <c r="A12" t="s">
        <v>293</v>
      </c>
    </row>
    <row r="14" spans="1:1" x14ac:dyDescent="0.25">
      <c r="A14" s="3" t="s">
        <v>292</v>
      </c>
    </row>
  </sheetData>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7B21A-3A0F-4C0B-BF9F-609AAFCE51E8}">
  <dimension ref="B1:U50"/>
  <sheetViews>
    <sheetView topLeftCell="K1" zoomScale="84" zoomScaleNormal="84" workbookViewId="0">
      <selection activeCell="G17" sqref="G17"/>
    </sheetView>
  </sheetViews>
  <sheetFormatPr defaultRowHeight="15" x14ac:dyDescent="0.25"/>
  <cols>
    <col min="3" max="3" width="59" bestFit="1" customWidth="1"/>
    <col min="4" max="4" width="14.5703125" style="15" bestFit="1" customWidth="1"/>
    <col min="6" max="6" width="35.85546875" bestFit="1" customWidth="1"/>
    <col min="7" max="7" width="32.140625" bestFit="1" customWidth="1"/>
    <col min="8" max="8" width="12.85546875" bestFit="1" customWidth="1"/>
    <col min="12" max="12" width="14.140625" bestFit="1" customWidth="1"/>
    <col min="15" max="15" width="13.7109375" bestFit="1" customWidth="1"/>
    <col min="18" max="18" width="12.42578125" bestFit="1" customWidth="1"/>
    <col min="21" max="21" width="12.85546875" bestFit="1" customWidth="1"/>
  </cols>
  <sheetData>
    <row r="1" spans="2:21" ht="36" x14ac:dyDescent="0.55000000000000004">
      <c r="F1" s="10" t="s">
        <v>130</v>
      </c>
      <c r="O1" s="9" t="s">
        <v>129</v>
      </c>
    </row>
    <row r="2" spans="2:21" x14ac:dyDescent="0.25">
      <c r="F2" s="3"/>
      <c r="N2" s="3"/>
    </row>
    <row r="3" spans="2:21" ht="18.75" x14ac:dyDescent="0.3">
      <c r="D3" s="16" t="s">
        <v>177</v>
      </c>
      <c r="H3" s="12"/>
      <c r="N3" s="11" t="s">
        <v>132</v>
      </c>
      <c r="T3" s="11" t="s">
        <v>143</v>
      </c>
    </row>
    <row r="4" spans="2:21" x14ac:dyDescent="0.25">
      <c r="C4" s="14" t="s">
        <v>131</v>
      </c>
      <c r="D4" s="15">
        <f>'associated cost'!H50</f>
        <v>72131264.059999987</v>
      </c>
      <c r="G4" t="s">
        <v>138</v>
      </c>
      <c r="H4" s="17">
        <f>'capex-lang factors'!D17</f>
        <v>41347398.354999997</v>
      </c>
      <c r="L4" s="3" t="s">
        <v>145</v>
      </c>
      <c r="O4" s="3" t="s">
        <v>144</v>
      </c>
      <c r="T4" t="s">
        <v>169</v>
      </c>
      <c r="U4" s="17">
        <f>U6-1500000</f>
        <v>30096338.333333332</v>
      </c>
    </row>
    <row r="5" spans="2:21" x14ac:dyDescent="0.25">
      <c r="C5" t="s">
        <v>133</v>
      </c>
      <c r="D5" s="15">
        <f>'capex-lang factors'!D5</f>
        <v>32502618.684</v>
      </c>
      <c r="G5" t="s">
        <v>139</v>
      </c>
      <c r="H5" s="17">
        <f>'capex-lang factors'!D18</f>
        <v>8269479.6710000001</v>
      </c>
      <c r="K5" s="3" t="s">
        <v>146</v>
      </c>
      <c r="N5" s="3" t="s">
        <v>160</v>
      </c>
      <c r="O5" s="17">
        <f>0.1*D15</f>
        <v>21490969.398599997</v>
      </c>
      <c r="P5">
        <f>SUM(O5:O11)+O19</f>
        <v>79563495.823420003</v>
      </c>
      <c r="T5" t="s">
        <v>170</v>
      </c>
      <c r="U5" s="17">
        <f>U6</f>
        <v>31596338.333333332</v>
      </c>
    </row>
    <row r="6" spans="2:21" x14ac:dyDescent="0.25">
      <c r="C6" t="s">
        <v>134</v>
      </c>
      <c r="D6" s="15">
        <f>'capex-lang factors'!D6</f>
        <v>32502618.684</v>
      </c>
      <c r="K6" t="s">
        <v>147</v>
      </c>
      <c r="L6" s="17">
        <f>'associated cost'!T8</f>
        <v>158041600</v>
      </c>
      <c r="N6" s="3" t="s">
        <v>161</v>
      </c>
      <c r="O6" s="17">
        <f>14748802.61</f>
        <v>14748802.609999999</v>
      </c>
      <c r="T6" t="s">
        <v>171</v>
      </c>
      <c r="U6" s="17">
        <f>(1/3)*94789015</f>
        <v>31596338.333333332</v>
      </c>
    </row>
    <row r="7" spans="2:21" x14ac:dyDescent="0.25">
      <c r="C7" t="s">
        <v>135</v>
      </c>
      <c r="D7" s="15">
        <f>'capex-lang factors'!D7</f>
        <v>10834206.227999998</v>
      </c>
      <c r="K7" t="s">
        <v>148</v>
      </c>
      <c r="L7" s="17">
        <f>'associated cost'!T3</f>
        <v>5244.5</v>
      </c>
      <c r="N7" s="3" t="s">
        <v>162</v>
      </c>
      <c r="O7" s="17">
        <f>900000</f>
        <v>900000</v>
      </c>
    </row>
    <row r="8" spans="2:21" x14ac:dyDescent="0.25">
      <c r="C8" t="s">
        <v>136</v>
      </c>
      <c r="D8" s="15">
        <f>'capex-lang factors'!D8</f>
        <v>7222804.1519999998</v>
      </c>
      <c r="K8" t="s">
        <v>61</v>
      </c>
      <c r="L8" s="17">
        <f>'associated cost'!T5</f>
        <v>3415853.7</v>
      </c>
      <c r="N8" s="3" t="s">
        <v>163</v>
      </c>
      <c r="O8" s="17">
        <f>5*10^6</f>
        <v>5000000</v>
      </c>
    </row>
    <row r="9" spans="2:21" x14ac:dyDescent="0.25">
      <c r="C9" s="14" t="s">
        <v>137</v>
      </c>
      <c r="D9" s="15">
        <f>'capex-lang factors'!D9</f>
        <v>7222804.1519999998</v>
      </c>
      <c r="G9" t="s">
        <v>141</v>
      </c>
      <c r="H9" s="17">
        <f>SUM(H4:H6)</f>
        <v>49616878.025999993</v>
      </c>
      <c r="K9" t="s">
        <v>149</v>
      </c>
      <c r="L9" s="17">
        <f>'associated cost'!T9</f>
        <v>60960</v>
      </c>
      <c r="N9" s="3" t="s">
        <v>164</v>
      </c>
      <c r="O9" s="17">
        <f>0.65*O6</f>
        <v>9586721.6964999996</v>
      </c>
    </row>
    <row r="10" spans="2:21" x14ac:dyDescent="0.25">
      <c r="C10" t="s">
        <v>82</v>
      </c>
      <c r="D10" s="15">
        <f>'capex-lang factors'!D10</f>
        <v>2876500</v>
      </c>
      <c r="K10" t="s">
        <v>150</v>
      </c>
      <c r="L10" s="17">
        <f>'associated cost'!T10</f>
        <v>2910800</v>
      </c>
      <c r="N10" s="3" t="s">
        <v>165</v>
      </c>
      <c r="O10" s="17">
        <f>0.1*D15</f>
        <v>21490969.398599997</v>
      </c>
    </row>
    <row r="11" spans="2:21" x14ac:dyDescent="0.25">
      <c r="K11" t="s">
        <v>151</v>
      </c>
      <c r="L11" s="17">
        <f>SUM(L6:L10)</f>
        <v>164434458.19999999</v>
      </c>
      <c r="N11" s="3" t="s">
        <v>166</v>
      </c>
      <c r="O11" s="17">
        <f>0.02*D15</f>
        <v>4298193.8797199996</v>
      </c>
    </row>
    <row r="12" spans="2:21" x14ac:dyDescent="0.25">
      <c r="C12" t="s">
        <v>140</v>
      </c>
      <c r="D12" s="15">
        <f>SUM(D4:D10)</f>
        <v>165292815.95999998</v>
      </c>
    </row>
    <row r="13" spans="2:21" x14ac:dyDescent="0.25">
      <c r="J13" s="17"/>
      <c r="K13" s="3" t="s">
        <v>152</v>
      </c>
      <c r="N13" s="3" t="s">
        <v>167</v>
      </c>
    </row>
    <row r="14" spans="2:21" x14ac:dyDescent="0.25">
      <c r="G14" s="3" t="s">
        <v>172</v>
      </c>
      <c r="N14" t="s">
        <v>79</v>
      </c>
      <c r="O14" s="17">
        <f>'associated cost'!Y3</f>
        <v>232480</v>
      </c>
    </row>
    <row r="15" spans="2:21" x14ac:dyDescent="0.25">
      <c r="B15" t="s">
        <v>142</v>
      </c>
      <c r="C15" t="s">
        <v>118</v>
      </c>
      <c r="D15" s="15">
        <f>D12+H9</f>
        <v>214909693.98599997</v>
      </c>
      <c r="F15" t="s">
        <v>174</v>
      </c>
      <c r="G15" s="17">
        <f>(1/3)*H15-G17</f>
        <v>4973785.3985999972</v>
      </c>
      <c r="H15" s="17">
        <f>0.3*D15</f>
        <v>64472908.195799991</v>
      </c>
      <c r="K15" s="3" t="s">
        <v>153</v>
      </c>
      <c r="N15" s="13" t="s">
        <v>179</v>
      </c>
      <c r="O15" s="17">
        <f>19%</f>
        <v>0.19</v>
      </c>
    </row>
    <row r="16" spans="2:21" x14ac:dyDescent="0.25">
      <c r="F16" t="s">
        <v>175</v>
      </c>
      <c r="G16" s="17">
        <f>(2/3)*H15</f>
        <v>42981938.797199994</v>
      </c>
      <c r="K16" t="s">
        <v>154</v>
      </c>
      <c r="L16" s="17">
        <f>'associated cost'!L3+'associated cost'!L7+'associated cost'!L15+'associated cost'!L18+'associated cost'!L24</f>
        <v>13523912.140000001</v>
      </c>
      <c r="T16" s="17"/>
    </row>
    <row r="17" spans="2:18" x14ac:dyDescent="0.25">
      <c r="F17" t="s">
        <v>176</v>
      </c>
      <c r="G17" s="17">
        <f>16517184</f>
        <v>16517184</v>
      </c>
      <c r="K17" t="s">
        <v>155</v>
      </c>
      <c r="L17" s="17">
        <f>'associated cost'!L4+'associated cost'!L9+'associated cost'!L16+'associated cost'!L17</f>
        <v>1097667.9920000001</v>
      </c>
      <c r="R17" s="17"/>
    </row>
    <row r="18" spans="2:18" x14ac:dyDescent="0.25">
      <c r="B18" t="s">
        <v>173</v>
      </c>
      <c r="C18" s="17">
        <f>D15+G19</f>
        <v>280868482.18179995</v>
      </c>
      <c r="F18" t="s">
        <v>178</v>
      </c>
      <c r="G18" s="17">
        <f>('associated cost'!T10/2)+'associated cost'!T9/2</f>
        <v>1485880</v>
      </c>
      <c r="H18" s="17"/>
      <c r="K18" t="s">
        <v>156</v>
      </c>
      <c r="L18" s="17">
        <f>'associated cost'!L5+'associated cost'!L10+'associated cost'!L21+'associated cost'!L25</f>
        <v>13004673.65</v>
      </c>
    </row>
    <row r="19" spans="2:18" x14ac:dyDescent="0.25">
      <c r="F19" t="s">
        <v>118</v>
      </c>
      <c r="G19" s="17">
        <f>SUM(G15:G18)</f>
        <v>65958788.195799991</v>
      </c>
      <c r="K19" t="s">
        <v>111</v>
      </c>
      <c r="L19" s="17">
        <f>'associated cost'!L22</f>
        <v>4.79</v>
      </c>
      <c r="N19" s="3" t="s">
        <v>168</v>
      </c>
      <c r="O19" s="17">
        <f>0.01*SUM('associated cost'!AE3:AE6)</f>
        <v>2047838.84</v>
      </c>
    </row>
    <row r="20" spans="2:18" x14ac:dyDescent="0.25">
      <c r="K20" t="s">
        <v>157</v>
      </c>
      <c r="L20" s="17">
        <f>'associated cost'!T4+'associated cost'!L20</f>
        <v>10410793.43</v>
      </c>
    </row>
    <row r="21" spans="2:18" x14ac:dyDescent="0.25">
      <c r="K21" t="s">
        <v>54</v>
      </c>
      <c r="L21" s="17">
        <f>'associated cost'!L6+'associated cost'!L8+'associated cost'!L12+'associated cost'!L13+'associated cost'!L19+'associated cost'!L23</f>
        <v>80605427.49000001</v>
      </c>
      <c r="N21" s="17"/>
    </row>
    <row r="22" spans="2:18" x14ac:dyDescent="0.25">
      <c r="K22" t="s">
        <v>158</v>
      </c>
      <c r="L22" s="17">
        <f>'associated cost'!T7+'associated cost'!T6</f>
        <v>18604448.833792001</v>
      </c>
    </row>
    <row r="23" spans="2:18" x14ac:dyDescent="0.25">
      <c r="K23" t="s">
        <v>159</v>
      </c>
      <c r="L23" s="17">
        <f>SUM(L16:L22)</f>
        <v>137246928.32579201</v>
      </c>
    </row>
    <row r="28" spans="2:18" x14ac:dyDescent="0.25">
      <c r="D28" s="15" t="s">
        <v>180</v>
      </c>
    </row>
    <row r="30" spans="2:18" x14ac:dyDescent="0.25">
      <c r="D30" s="15" t="s">
        <v>34</v>
      </c>
      <c r="E30" t="s">
        <v>182</v>
      </c>
    </row>
    <row r="31" spans="2:18" x14ac:dyDescent="0.25">
      <c r="D31" s="15" t="s">
        <v>181</v>
      </c>
      <c r="E31">
        <f>'associated cost'!H5+'associated cost'!H8+'associated cost'!H9+'associated cost'!H10+'associated cost'!H34+'associated cost'!H35+'associated cost'!H36+'associated cost'!H37+'associated cost'!H39+'associated cost'!H40+'associated cost'!H42+2616500</f>
        <v>8081185</v>
      </c>
    </row>
    <row r="32" spans="2:18" x14ac:dyDescent="0.25">
      <c r="D32" s="15" t="s">
        <v>198</v>
      </c>
      <c r="E32">
        <f>'associated cost'!H3+'associated cost'!H4+'associated cost'!H11+'associated cost'!H18+'associated cost'!H19+'associated cost'!H41+'associated cost'!H46+'associated cost'!H47+'associated cost'!H30</f>
        <v>426809.06</v>
      </c>
    </row>
    <row r="33" spans="4:5" x14ac:dyDescent="0.25">
      <c r="D33" s="15" t="s">
        <v>199</v>
      </c>
      <c r="E33">
        <f>'associated cost'!H13+'associated cost'!H31+'associated cost'!H48+'associated cost'!H49+'associated cost'!H45+'associated cost'!H44+'associated cost'!H43</f>
        <v>2022810</v>
      </c>
    </row>
    <row r="34" spans="4:5" x14ac:dyDescent="0.25">
      <c r="D34" s="15" t="s">
        <v>183</v>
      </c>
      <c r="E34">
        <f>'associated cost'!H6+'associated cost'!H7</f>
        <v>19370000</v>
      </c>
    </row>
    <row r="35" spans="4:5" x14ac:dyDescent="0.25">
      <c r="D35" s="15" t="s">
        <v>45</v>
      </c>
      <c r="E35">
        <f>'associated cost'!H12</f>
        <v>36610410</v>
      </c>
    </row>
    <row r="36" spans="4:5" x14ac:dyDescent="0.25">
      <c r="D36" s="15" t="s">
        <v>184</v>
      </c>
      <c r="E36">
        <f>'associated cost'!H14+'associated cost'!H32</f>
        <v>390200</v>
      </c>
    </row>
    <row r="37" spans="4:5" x14ac:dyDescent="0.25">
      <c r="D37" s="15" t="s">
        <v>186</v>
      </c>
      <c r="E37">
        <f>'associated cost'!H16</f>
        <v>518000</v>
      </c>
    </row>
    <row r="38" spans="4:5" x14ac:dyDescent="0.25">
      <c r="D38" s="15" t="s">
        <v>187</v>
      </c>
      <c r="E38">
        <f>'associated cost'!H17</f>
        <v>78400</v>
      </c>
    </row>
    <row r="39" spans="4:5" x14ac:dyDescent="0.25">
      <c r="D39" s="15" t="s">
        <v>188</v>
      </c>
      <c r="E39">
        <f>24350</f>
        <v>24350</v>
      </c>
    </row>
    <row r="40" spans="4:5" x14ac:dyDescent="0.25">
      <c r="D40" s="15" t="s">
        <v>189</v>
      </c>
      <c r="E40">
        <f>296000</f>
        <v>296000</v>
      </c>
    </row>
    <row r="41" spans="4:5" x14ac:dyDescent="0.25">
      <c r="D41" s="15" t="s">
        <v>190</v>
      </c>
      <c r="E41">
        <f>16000</f>
        <v>16000</v>
      </c>
    </row>
    <row r="42" spans="4:5" x14ac:dyDescent="0.25">
      <c r="D42" s="15" t="s">
        <v>191</v>
      </c>
      <c r="E42">
        <f>10000</f>
        <v>10000</v>
      </c>
    </row>
    <row r="43" spans="4:5" x14ac:dyDescent="0.25">
      <c r="D43" s="15" t="s">
        <v>192</v>
      </c>
      <c r="E43">
        <f>150000</f>
        <v>150000</v>
      </c>
    </row>
    <row r="44" spans="4:5" x14ac:dyDescent="0.25">
      <c r="D44" s="15" t="s">
        <v>193</v>
      </c>
      <c r="E44">
        <f>'associated cost'!H25</f>
        <v>100000</v>
      </c>
    </row>
    <row r="45" spans="4:5" x14ac:dyDescent="0.25">
      <c r="D45" s="15" t="s">
        <v>194</v>
      </c>
      <c r="E45">
        <f>'associated cost'!H26</f>
        <v>2175000</v>
      </c>
    </row>
    <row r="46" spans="4:5" x14ac:dyDescent="0.25">
      <c r="D46" s="15" t="s">
        <v>195</v>
      </c>
      <c r="E46">
        <f>88250</f>
        <v>88250</v>
      </c>
    </row>
    <row r="47" spans="4:5" x14ac:dyDescent="0.25">
      <c r="D47" s="15" t="s">
        <v>196</v>
      </c>
      <c r="E47">
        <f>3100</f>
        <v>3100</v>
      </c>
    </row>
    <row r="48" spans="4:5" x14ac:dyDescent="0.25">
      <c r="D48" s="15" t="s">
        <v>185</v>
      </c>
      <c r="E48">
        <f>'associated cost'!H33</f>
        <v>1718000</v>
      </c>
    </row>
    <row r="49" spans="4:5" x14ac:dyDescent="0.25">
      <c r="D49" s="15" t="s">
        <v>197</v>
      </c>
      <c r="E49">
        <f>52750</f>
        <v>52750</v>
      </c>
    </row>
    <row r="50" spans="4:5" x14ac:dyDescent="0.25">
      <c r="D50" s="15" t="s">
        <v>118</v>
      </c>
      <c r="E50">
        <f>SUM(E31:E49)</f>
        <v>72131264.060000002</v>
      </c>
    </row>
  </sheetData>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24952-BBFB-47C8-8C57-ED250241AB0C}">
  <dimension ref="A1:AE50"/>
  <sheetViews>
    <sheetView tabSelected="1" topLeftCell="B7" zoomScale="82" zoomScaleNormal="82" workbookViewId="0">
      <selection activeCell="H12" sqref="H12"/>
    </sheetView>
  </sheetViews>
  <sheetFormatPr defaultRowHeight="15" x14ac:dyDescent="0.25"/>
  <cols>
    <col min="1" max="1" width="24.7109375" bestFit="1" customWidth="1"/>
    <col min="2" max="2" width="11.140625" bestFit="1" customWidth="1"/>
    <col min="3" max="3" width="8" bestFit="1" customWidth="1"/>
    <col min="7" max="7" width="31" bestFit="1" customWidth="1"/>
    <col min="8" max="8" width="15" bestFit="1" customWidth="1"/>
    <col min="9" max="9" width="13.140625" bestFit="1" customWidth="1"/>
    <col min="11" max="11" width="30.42578125" bestFit="1" customWidth="1"/>
    <col min="12" max="12" width="34" customWidth="1"/>
    <col min="15" max="15" width="11.5703125" bestFit="1" customWidth="1"/>
    <col min="19" max="19" width="29.28515625" bestFit="1" customWidth="1"/>
    <col min="20" max="20" width="19.85546875" bestFit="1" customWidth="1"/>
    <col min="25" max="25" width="30.5703125" bestFit="1" customWidth="1"/>
    <col min="30" max="30" width="11.5703125" bestFit="1" customWidth="1"/>
    <col min="31" max="31" width="15" bestFit="1" customWidth="1"/>
  </cols>
  <sheetData>
    <row r="1" spans="1:31" ht="36" x14ac:dyDescent="0.55000000000000004">
      <c r="A1" s="1" t="s">
        <v>0</v>
      </c>
      <c r="B1" s="1" t="s">
        <v>23</v>
      </c>
      <c r="C1" s="1" t="s">
        <v>24</v>
      </c>
      <c r="H1" s="7" t="s">
        <v>33</v>
      </c>
      <c r="L1" t="s">
        <v>49</v>
      </c>
      <c r="AE1" s="8" t="s">
        <v>81</v>
      </c>
    </row>
    <row r="2" spans="1:31" x14ac:dyDescent="0.25">
      <c r="A2" s="1" t="s">
        <v>1</v>
      </c>
      <c r="B2">
        <f>160</f>
        <v>160</v>
      </c>
      <c r="C2" s="1" t="s">
        <v>25</v>
      </c>
      <c r="D2" s="5" t="s">
        <v>82</v>
      </c>
      <c r="E2" s="4"/>
      <c r="F2" s="4"/>
      <c r="G2" s="4"/>
      <c r="H2" s="5" t="s">
        <v>34</v>
      </c>
      <c r="I2" s="4"/>
      <c r="J2" s="4"/>
      <c r="K2" s="4"/>
      <c r="L2" s="5" t="s">
        <v>50</v>
      </c>
      <c r="M2" s="4"/>
      <c r="N2" s="4"/>
      <c r="O2" s="5"/>
      <c r="P2" s="5" t="s">
        <v>55</v>
      </c>
      <c r="Q2" s="4"/>
      <c r="R2" s="4"/>
      <c r="S2" s="4"/>
      <c r="T2" s="5" t="s">
        <v>57</v>
      </c>
      <c r="U2" s="6"/>
      <c r="V2" s="6"/>
      <c r="W2" s="6"/>
      <c r="X2" s="6"/>
      <c r="Y2" s="6" t="s">
        <v>98</v>
      </c>
      <c r="AE2" s="5" t="s">
        <v>83</v>
      </c>
    </row>
    <row r="3" spans="1:31" x14ac:dyDescent="0.25">
      <c r="A3" s="1" t="s">
        <v>2</v>
      </c>
      <c r="B3">
        <f>78</f>
        <v>78</v>
      </c>
      <c r="C3" s="1" t="s">
        <v>25</v>
      </c>
      <c r="D3">
        <f>B33</f>
        <v>2876500</v>
      </c>
      <c r="F3" s="2" t="s">
        <v>35</v>
      </c>
      <c r="G3" s="3" t="s">
        <v>36</v>
      </c>
      <c r="H3" s="17">
        <f>14251.8*4</f>
        <v>57007.199999999997</v>
      </c>
      <c r="J3" s="2" t="s">
        <v>35</v>
      </c>
      <c r="K3" s="3" t="s">
        <v>51</v>
      </c>
      <c r="L3" s="17">
        <f>2.2*10^6+5.77*10^6</f>
        <v>7970000</v>
      </c>
      <c r="N3" s="2"/>
      <c r="O3" s="3"/>
      <c r="R3" s="2" t="s">
        <v>35</v>
      </c>
      <c r="S3" s="3" t="s">
        <v>58</v>
      </c>
      <c r="T3" s="17">
        <f>5244.5</f>
        <v>5244.5</v>
      </c>
      <c r="W3" s="2" t="s">
        <v>40</v>
      </c>
      <c r="X3" s="3" t="s">
        <v>88</v>
      </c>
      <c r="Y3" s="17">
        <f>29060*8000/(10^3)</f>
        <v>232480</v>
      </c>
      <c r="AD3" s="3" t="s">
        <v>84</v>
      </c>
      <c r="AE3" s="17">
        <f>100000*B7</f>
        <v>102000000</v>
      </c>
    </row>
    <row r="4" spans="1:31" x14ac:dyDescent="0.25">
      <c r="A4" s="1" t="s">
        <v>3</v>
      </c>
      <c r="B4">
        <f>80</f>
        <v>80</v>
      </c>
      <c r="C4" s="1" t="s">
        <v>25</v>
      </c>
      <c r="G4" s="3" t="s">
        <v>36</v>
      </c>
      <c r="H4" s="17">
        <f>16163.6*4</f>
        <v>64654.400000000001</v>
      </c>
      <c r="K4" s="3" t="s">
        <v>52</v>
      </c>
      <c r="L4" s="17">
        <f>3.26*10^5+5.6*10^5</f>
        <v>886000</v>
      </c>
      <c r="O4" s="3"/>
      <c r="R4" s="2" t="s">
        <v>40</v>
      </c>
      <c r="S4" s="3" t="s">
        <v>59</v>
      </c>
      <c r="T4" s="17">
        <f>10408000</f>
        <v>10408000</v>
      </c>
      <c r="X4" s="3"/>
      <c r="AD4" s="3" t="s">
        <v>85</v>
      </c>
      <c r="AE4" s="17">
        <f>10692*B6</f>
        <v>8019000</v>
      </c>
    </row>
    <row r="5" spans="1:31" x14ac:dyDescent="0.25">
      <c r="A5" s="1" t="s">
        <v>4</v>
      </c>
      <c r="B5">
        <f>200</f>
        <v>200</v>
      </c>
      <c r="C5" s="1" t="s">
        <v>25</v>
      </c>
      <c r="G5" s="3" t="s">
        <v>37</v>
      </c>
      <c r="H5" s="17">
        <f>81263+62382</f>
        <v>143645</v>
      </c>
      <c r="K5" s="3" t="s">
        <v>53</v>
      </c>
      <c r="L5" s="17">
        <f>9595.2*8000*1.35/10</f>
        <v>10362816</v>
      </c>
      <c r="N5" s="2"/>
      <c r="O5" s="3"/>
      <c r="S5" s="3" t="s">
        <v>60</v>
      </c>
      <c r="T5" s="17">
        <f>3413600+2253.7</f>
        <v>3415853.7</v>
      </c>
      <c r="AD5" s="3" t="s">
        <v>86</v>
      </c>
      <c r="AE5" s="17">
        <f>80624084</f>
        <v>80624084</v>
      </c>
    </row>
    <row r="6" spans="1:31" x14ac:dyDescent="0.25">
      <c r="A6" s="1" t="s">
        <v>5</v>
      </c>
      <c r="B6">
        <f>750</f>
        <v>750</v>
      </c>
      <c r="C6" s="1" t="s">
        <v>25</v>
      </c>
      <c r="G6" s="3" t="s">
        <v>38</v>
      </c>
      <c r="H6" s="17">
        <f>4.97*10^6</f>
        <v>4970000</v>
      </c>
      <c r="K6" s="3" t="s">
        <v>54</v>
      </c>
      <c r="L6" s="17">
        <f>28.02*10^6+36608*4+73117*4</f>
        <v>28458900</v>
      </c>
      <c r="O6" s="3"/>
      <c r="S6" s="3" t="s">
        <v>62</v>
      </c>
      <c r="T6" s="17">
        <f>8671+17916290</f>
        <v>17924961</v>
      </c>
      <c r="AD6" s="3" t="s">
        <v>87</v>
      </c>
      <c r="AE6" s="17">
        <f>47136*B8</f>
        <v>14140800</v>
      </c>
    </row>
    <row r="7" spans="1:31" x14ac:dyDescent="0.25">
      <c r="A7" s="1" t="s">
        <v>6</v>
      </c>
      <c r="B7">
        <f>1020</f>
        <v>1020</v>
      </c>
      <c r="C7" s="1" t="s">
        <v>25</v>
      </c>
      <c r="G7" s="3" t="s">
        <v>39</v>
      </c>
      <c r="H7" s="17">
        <f>14.4*10^6</f>
        <v>14400000</v>
      </c>
      <c r="I7" s="17">
        <f>SUM(H3:H7)</f>
        <v>19635306.600000001</v>
      </c>
      <c r="J7" s="2" t="s">
        <v>40</v>
      </c>
      <c r="K7" s="3" t="s">
        <v>51</v>
      </c>
      <c r="L7" s="17">
        <f>1.728*10^6</f>
        <v>1728000</v>
      </c>
      <c r="O7" s="3"/>
      <c r="R7" s="2" t="s">
        <v>80</v>
      </c>
      <c r="S7" s="3" t="s">
        <v>62</v>
      </c>
      <c r="T7" s="17">
        <f>0.93148*8.302*8000*B25 + 36.97*8000*B25</f>
        <v>679487.83379199996</v>
      </c>
    </row>
    <row r="8" spans="1:31" x14ac:dyDescent="0.25">
      <c r="A8" s="1" t="s">
        <v>7</v>
      </c>
      <c r="B8">
        <f>300</f>
        <v>300</v>
      </c>
      <c r="C8" s="1" t="s">
        <v>25</v>
      </c>
      <c r="F8" s="2" t="s">
        <v>40</v>
      </c>
      <c r="G8" s="3" t="s">
        <v>41</v>
      </c>
      <c r="H8" s="17">
        <f>2600000</f>
        <v>2600000</v>
      </c>
      <c r="K8" s="3" t="s">
        <v>54</v>
      </c>
      <c r="L8" s="17">
        <f>48889+37736+7+264+633.6+0.26+2.64+176+0.05+8563280+0.26+14.08+642.4+90640+176880+528000+2962</f>
        <v>9450127.290000001</v>
      </c>
      <c r="N8" s="2"/>
      <c r="O8" s="3"/>
      <c r="R8" s="2" t="s">
        <v>63</v>
      </c>
      <c r="S8" s="3" t="s">
        <v>108</v>
      </c>
      <c r="T8" s="17">
        <f>987760*B2</f>
        <v>158041600</v>
      </c>
    </row>
    <row r="9" spans="1:31" x14ac:dyDescent="0.25">
      <c r="A9" s="1" t="s">
        <v>8</v>
      </c>
      <c r="B9">
        <f>0.2</f>
        <v>0.2</v>
      </c>
      <c r="C9" s="1" t="s">
        <v>26</v>
      </c>
      <c r="G9" s="3" t="s">
        <v>42</v>
      </c>
      <c r="H9" s="17">
        <f>550000</f>
        <v>550000</v>
      </c>
      <c r="K9" s="3" t="s">
        <v>52</v>
      </c>
      <c r="L9" s="17">
        <f>30240</f>
        <v>30240</v>
      </c>
      <c r="O9" s="3"/>
      <c r="R9" s="2" t="s">
        <v>35</v>
      </c>
      <c r="S9" s="3" t="s">
        <v>112</v>
      </c>
      <c r="T9" s="17">
        <f>60960</f>
        <v>60960</v>
      </c>
    </row>
    <row r="10" spans="1:31" x14ac:dyDescent="0.25">
      <c r="A10" s="1" t="s">
        <v>9</v>
      </c>
      <c r="B10">
        <f>3</f>
        <v>3</v>
      </c>
      <c r="C10" s="1" t="s">
        <v>25</v>
      </c>
      <c r="G10" s="3" t="s">
        <v>43</v>
      </c>
      <c r="H10" s="17">
        <f>630990</f>
        <v>630990</v>
      </c>
      <c r="J10" s="2" t="s">
        <v>63</v>
      </c>
      <c r="K10" s="3" t="s">
        <v>53</v>
      </c>
      <c r="L10" s="17">
        <f>67680*B21+230</f>
        <v>91598</v>
      </c>
      <c r="N10" s="2"/>
      <c r="O10" s="3"/>
      <c r="S10" s="3" t="s">
        <v>56</v>
      </c>
      <c r="T10" s="17">
        <f>2910800</f>
        <v>2910800</v>
      </c>
      <c r="AD10" s="17">
        <f>0.1*S20</f>
        <v>0</v>
      </c>
    </row>
    <row r="11" spans="1:31" x14ac:dyDescent="0.25">
      <c r="A11" s="1" t="s">
        <v>10</v>
      </c>
      <c r="B11">
        <f>5</f>
        <v>5</v>
      </c>
      <c r="C11" s="1" t="s">
        <v>25</v>
      </c>
      <c r="G11" s="3" t="s">
        <v>44</v>
      </c>
      <c r="H11" s="17">
        <f>36850+34500+3900+5500+27100+2240+4290+5480+1870</f>
        <v>121730</v>
      </c>
      <c r="K11" s="3" t="s">
        <v>78</v>
      </c>
      <c r="L11" s="17">
        <f>0</f>
        <v>0</v>
      </c>
      <c r="T11" s="22">
        <f>SUM(T3:T10)</f>
        <v>193446907.03379199</v>
      </c>
    </row>
    <row r="12" spans="1:31" x14ac:dyDescent="0.25">
      <c r="A12" s="1" t="s">
        <v>11</v>
      </c>
      <c r="B12">
        <f>0</f>
        <v>0</v>
      </c>
      <c r="C12" s="1" t="s">
        <v>25</v>
      </c>
      <c r="G12" s="3" t="s">
        <v>45</v>
      </c>
      <c r="H12" s="17">
        <f>36610410</f>
        <v>36610410</v>
      </c>
      <c r="K12" s="3" t="s">
        <v>54</v>
      </c>
      <c r="L12" s="17">
        <f>11352+5843200+2816+17600+72600+66000+3740+4159760+561440+2768920+70400+3400</f>
        <v>13581228</v>
      </c>
    </row>
    <row r="13" spans="1:31" x14ac:dyDescent="0.25">
      <c r="A13" s="1" t="s">
        <v>12</v>
      </c>
      <c r="B13">
        <f>270</f>
        <v>270</v>
      </c>
      <c r="C13" s="1" t="s">
        <v>25</v>
      </c>
      <c r="G13" s="3" t="s">
        <v>46</v>
      </c>
      <c r="H13" s="17">
        <f>10710+35560+122700+560500+732100+122800</f>
        <v>1584370</v>
      </c>
      <c r="J13" s="2" t="s">
        <v>80</v>
      </c>
      <c r="K13" s="3" t="s">
        <v>54</v>
      </c>
      <c r="L13" s="17">
        <f>(0.77+0.7)*8000</f>
        <v>11760</v>
      </c>
      <c r="M13" s="17"/>
    </row>
    <row r="14" spans="1:31" x14ac:dyDescent="0.25">
      <c r="G14" s="3" t="s">
        <v>47</v>
      </c>
      <c r="H14" s="17">
        <f>164200</f>
        <v>164200</v>
      </c>
      <c r="K14" s="3" t="s">
        <v>96</v>
      </c>
      <c r="L14" s="17">
        <f>217.59*8000</f>
        <v>1740720</v>
      </c>
    </row>
    <row r="15" spans="1:31" x14ac:dyDescent="0.25">
      <c r="G15" s="3" t="s">
        <v>48</v>
      </c>
      <c r="H15" s="17">
        <f>1166500</f>
        <v>1166500</v>
      </c>
      <c r="I15" s="17">
        <f>SUM(H8:H15)</f>
        <v>43428200</v>
      </c>
      <c r="K15" s="3" t="s">
        <v>97</v>
      </c>
      <c r="L15" s="17">
        <f>(167.2+42.03)*8000</f>
        <v>1673840</v>
      </c>
    </row>
    <row r="16" spans="1:31" x14ac:dyDescent="0.25">
      <c r="F16" s="2" t="s">
        <v>63</v>
      </c>
      <c r="G16" s="3" t="s">
        <v>64</v>
      </c>
      <c r="H16" s="17">
        <f>518000</f>
        <v>518000</v>
      </c>
      <c r="K16" s="3" t="s">
        <v>52</v>
      </c>
      <c r="L16" s="17">
        <f>(4.26+8.49)*8000</f>
        <v>102000</v>
      </c>
    </row>
    <row r="17" spans="1:12" x14ac:dyDescent="0.25">
      <c r="G17" s="3" t="s">
        <v>65</v>
      </c>
      <c r="H17" s="17">
        <f>78400</f>
        <v>78400</v>
      </c>
      <c r="J17" s="2" t="s">
        <v>99</v>
      </c>
      <c r="K17" s="3" t="s">
        <v>109</v>
      </c>
      <c r="L17" s="17">
        <f>1134685.6*B22</f>
        <v>79427.992000000013</v>
      </c>
    </row>
    <row r="18" spans="1:12" x14ac:dyDescent="0.25">
      <c r="G18" s="3" t="s">
        <v>66</v>
      </c>
      <c r="H18" s="17">
        <f>3000</f>
        <v>3000</v>
      </c>
      <c r="K18" s="3" t="s">
        <v>110</v>
      </c>
      <c r="L18" s="17">
        <f>322068.8+3.34</f>
        <v>322072.14</v>
      </c>
    </row>
    <row r="19" spans="1:12" x14ac:dyDescent="0.25">
      <c r="G19" s="3" t="s">
        <v>67</v>
      </c>
      <c r="H19" s="17">
        <f>25000</f>
        <v>25000</v>
      </c>
      <c r="K19" s="3" t="s">
        <v>54</v>
      </c>
      <c r="L19" s="17">
        <f>3412.2</f>
        <v>3412.2</v>
      </c>
    </row>
    <row r="20" spans="1:12" x14ac:dyDescent="0.25">
      <c r="A20" s="1" t="s">
        <v>13</v>
      </c>
      <c r="B20" s="1" t="s">
        <v>14</v>
      </c>
      <c r="C20" s="1" t="s">
        <v>24</v>
      </c>
      <c r="G20" s="3" t="s">
        <v>68</v>
      </c>
      <c r="H20" s="17">
        <f>24350</f>
        <v>24350</v>
      </c>
      <c r="K20" s="3" t="s">
        <v>59</v>
      </c>
      <c r="L20" s="17">
        <f>191.43+2602</f>
        <v>2793.43</v>
      </c>
    </row>
    <row r="21" spans="1:12" x14ac:dyDescent="0.25">
      <c r="A21" s="1" t="s">
        <v>16</v>
      </c>
      <c r="B21">
        <f>1.35</f>
        <v>1.35</v>
      </c>
      <c r="C21" s="1" t="s">
        <v>25</v>
      </c>
      <c r="G21" s="3" t="s">
        <v>69</v>
      </c>
      <c r="H21" s="17">
        <f>296000</f>
        <v>296000</v>
      </c>
      <c r="K21" s="3" t="s">
        <v>53</v>
      </c>
      <c r="L21" s="17">
        <f>259.65</f>
        <v>259.64999999999998</v>
      </c>
    </row>
    <row r="22" spans="1:12" x14ac:dyDescent="0.25">
      <c r="A22" s="1" t="s">
        <v>17</v>
      </c>
      <c r="B22">
        <f>0.07</f>
        <v>7.0000000000000007E-2</v>
      </c>
      <c r="C22" s="1" t="s">
        <v>25</v>
      </c>
      <c r="G22" s="3" t="s">
        <v>70</v>
      </c>
      <c r="H22" s="17">
        <f>16000</f>
        <v>16000</v>
      </c>
      <c r="K22" s="3" t="s">
        <v>111</v>
      </c>
      <c r="L22" s="17">
        <f>4.79</f>
        <v>4.79</v>
      </c>
    </row>
    <row r="23" spans="1:12" x14ac:dyDescent="0.25">
      <c r="A23" s="1" t="s">
        <v>18</v>
      </c>
      <c r="B23">
        <f>10</f>
        <v>10</v>
      </c>
      <c r="C23" s="1" t="s">
        <v>25</v>
      </c>
      <c r="G23" s="3" t="s">
        <v>71</v>
      </c>
      <c r="H23" s="17">
        <f>10000</f>
        <v>10000</v>
      </c>
      <c r="J23" s="2" t="s">
        <v>122</v>
      </c>
      <c r="K23" s="3" t="s">
        <v>54</v>
      </c>
      <c r="L23" s="17">
        <f>29100000</f>
        <v>29100000</v>
      </c>
    </row>
    <row r="24" spans="1:12" x14ac:dyDescent="0.25">
      <c r="A24" s="1" t="s">
        <v>19</v>
      </c>
      <c r="B24">
        <f>16.25</f>
        <v>16.25</v>
      </c>
      <c r="C24" s="1" t="s">
        <v>25</v>
      </c>
      <c r="G24" s="3" t="s">
        <v>72</v>
      </c>
      <c r="H24" s="17">
        <f>150000</f>
        <v>150000</v>
      </c>
      <c r="K24" s="3" t="s">
        <v>51</v>
      </c>
      <c r="L24" s="17">
        <f>1830000</f>
        <v>1830000</v>
      </c>
    </row>
    <row r="25" spans="1:12" x14ac:dyDescent="0.25">
      <c r="A25" s="1" t="s">
        <v>20</v>
      </c>
      <c r="B25">
        <f>1.9</f>
        <v>1.9</v>
      </c>
      <c r="C25" s="1" t="s">
        <v>25</v>
      </c>
      <c r="G25" s="3" t="s">
        <v>73</v>
      </c>
      <c r="H25" s="17">
        <f>100000</f>
        <v>100000</v>
      </c>
      <c r="K25" s="3" t="s">
        <v>53</v>
      </c>
      <c r="L25" s="17">
        <f>2550000</f>
        <v>2550000</v>
      </c>
    </row>
    <row r="26" spans="1:12" x14ac:dyDescent="0.25">
      <c r="A26" s="1" t="s">
        <v>21</v>
      </c>
      <c r="B26">
        <f>0.5/100</f>
        <v>5.0000000000000001E-3</v>
      </c>
      <c r="C26" s="1" t="s">
        <v>26</v>
      </c>
      <c r="G26" s="3" t="s">
        <v>74</v>
      </c>
      <c r="H26" s="17">
        <f>2175000</f>
        <v>2175000</v>
      </c>
      <c r="L26" s="22">
        <f>SUM(L3:L25)</f>
        <v>109975199.49200001</v>
      </c>
    </row>
    <row r="27" spans="1:12" x14ac:dyDescent="0.25">
      <c r="A27" s="1" t="s">
        <v>22</v>
      </c>
      <c r="B27">
        <f>10/100</f>
        <v>0.1</v>
      </c>
      <c r="C27" s="1" t="s">
        <v>26</v>
      </c>
      <c r="G27" s="3" t="s">
        <v>75</v>
      </c>
      <c r="H27" s="17">
        <f>1450000</f>
        <v>1450000</v>
      </c>
    </row>
    <row r="28" spans="1:12" x14ac:dyDescent="0.25">
      <c r="A28" s="1" t="s">
        <v>15</v>
      </c>
      <c r="B28">
        <f>0.11</f>
        <v>0.11</v>
      </c>
      <c r="C28" s="1" t="s">
        <v>27</v>
      </c>
      <c r="G28" s="3" t="s">
        <v>76</v>
      </c>
      <c r="H28" s="17">
        <f>88250</f>
        <v>88250</v>
      </c>
      <c r="L28" s="17">
        <f>'opex old'!G26-'associated cost'!L26</f>
        <v>0</v>
      </c>
    </row>
    <row r="29" spans="1:12" x14ac:dyDescent="0.25">
      <c r="G29" s="3" t="s">
        <v>77</v>
      </c>
      <c r="H29" s="17">
        <f>3100</f>
        <v>3100</v>
      </c>
    </row>
    <row r="30" spans="1:12" x14ac:dyDescent="0.25">
      <c r="A30" s="2" t="s">
        <v>30</v>
      </c>
      <c r="B30" s="2" t="s">
        <v>31</v>
      </c>
      <c r="F30" s="2" t="s">
        <v>80</v>
      </c>
      <c r="G30" s="3" t="s">
        <v>89</v>
      </c>
      <c r="H30" s="17">
        <f>30000+24000</f>
        <v>54000</v>
      </c>
    </row>
    <row r="31" spans="1:12" x14ac:dyDescent="0.25">
      <c r="A31">
        <f>523*275</f>
        <v>143825</v>
      </c>
      <c r="B31">
        <f>A31/10000</f>
        <v>14.3825</v>
      </c>
      <c r="G31" s="3" t="s">
        <v>90</v>
      </c>
      <c r="H31" s="17">
        <f>38000</f>
        <v>38000</v>
      </c>
    </row>
    <row r="32" spans="1:12" x14ac:dyDescent="0.25">
      <c r="A32" s="1" t="s">
        <v>28</v>
      </c>
      <c r="B32" s="1" t="s">
        <v>32</v>
      </c>
      <c r="G32" s="3" t="s">
        <v>91</v>
      </c>
      <c r="H32" s="17">
        <f>226000</f>
        <v>226000</v>
      </c>
    </row>
    <row r="33" spans="1:8" x14ac:dyDescent="0.25">
      <c r="A33" s="1" t="s">
        <v>29</v>
      </c>
      <c r="B33">
        <f>200*10^3*B31</f>
        <v>2876500</v>
      </c>
      <c r="G33" s="3" t="s">
        <v>92</v>
      </c>
      <c r="H33" s="17">
        <f>518000+1200000</f>
        <v>1718000</v>
      </c>
    </row>
    <row r="34" spans="1:8" x14ac:dyDescent="0.25">
      <c r="G34" s="3" t="s">
        <v>93</v>
      </c>
      <c r="H34" s="17">
        <f>628000</f>
        <v>628000</v>
      </c>
    </row>
    <row r="35" spans="1:8" x14ac:dyDescent="0.25">
      <c r="G35" s="3" t="s">
        <v>94</v>
      </c>
      <c r="H35" s="17">
        <f>133000+175000+216000</f>
        <v>524000</v>
      </c>
    </row>
    <row r="36" spans="1:8" x14ac:dyDescent="0.25">
      <c r="G36" s="3" t="s">
        <v>95</v>
      </c>
      <c r="H36" s="17">
        <f>81000+179000</f>
        <v>260000</v>
      </c>
    </row>
    <row r="37" spans="1:8" x14ac:dyDescent="0.25">
      <c r="F37" s="2" t="s">
        <v>99</v>
      </c>
      <c r="G37" s="17" t="s">
        <v>100</v>
      </c>
      <c r="H37" s="17">
        <f>10600+4250</f>
        <v>14850</v>
      </c>
    </row>
    <row r="38" spans="1:8" x14ac:dyDescent="0.25">
      <c r="G38" s="3" t="s">
        <v>103</v>
      </c>
      <c r="H38" s="17">
        <f>23600+29150</f>
        <v>52750</v>
      </c>
    </row>
    <row r="39" spans="1:8" x14ac:dyDescent="0.25">
      <c r="G39" s="17" t="s">
        <v>101</v>
      </c>
      <c r="H39" s="17">
        <f>11000+10100</f>
        <v>21100</v>
      </c>
    </row>
    <row r="40" spans="1:8" x14ac:dyDescent="0.25">
      <c r="G40" s="3" t="s">
        <v>102</v>
      </c>
      <c r="H40" s="17">
        <f>14300+65000</f>
        <v>79300</v>
      </c>
    </row>
    <row r="41" spans="1:8" x14ac:dyDescent="0.25">
      <c r="G41" s="3" t="s">
        <v>36</v>
      </c>
      <c r="H41" s="17">
        <f>2320+2320</f>
        <v>4640</v>
      </c>
    </row>
    <row r="42" spans="1:8" x14ac:dyDescent="0.25">
      <c r="G42" s="3" t="s">
        <v>104</v>
      </c>
      <c r="H42" s="17">
        <f>7100+5700</f>
        <v>12800</v>
      </c>
    </row>
    <row r="43" spans="1:8" x14ac:dyDescent="0.25">
      <c r="G43" s="3" t="s">
        <v>105</v>
      </c>
      <c r="H43" s="17">
        <f>70000</f>
        <v>70000</v>
      </c>
    </row>
    <row r="44" spans="1:8" x14ac:dyDescent="0.25">
      <c r="G44" s="3" t="s">
        <v>106</v>
      </c>
      <c r="H44" s="17">
        <f>54000</f>
        <v>54000</v>
      </c>
    </row>
    <row r="45" spans="1:8" x14ac:dyDescent="0.25">
      <c r="G45" s="3" t="s">
        <v>107</v>
      </c>
      <c r="H45" s="17">
        <f>12400</f>
        <v>12400</v>
      </c>
    </row>
    <row r="46" spans="1:8" x14ac:dyDescent="0.25">
      <c r="F46" s="2" t="s">
        <v>122</v>
      </c>
      <c r="G46" s="3" t="s">
        <v>123</v>
      </c>
      <c r="H46" s="17">
        <f>32270</f>
        <v>32270</v>
      </c>
    </row>
    <row r="47" spans="1:8" x14ac:dyDescent="0.25">
      <c r="G47" s="3" t="s">
        <v>124</v>
      </c>
      <c r="H47" s="17">
        <f>64507.46</f>
        <v>64507.46</v>
      </c>
    </row>
    <row r="48" spans="1:8" x14ac:dyDescent="0.25">
      <c r="G48" s="3" t="s">
        <v>125</v>
      </c>
      <c r="H48" s="17">
        <f>140000*0.82</f>
        <v>114800</v>
      </c>
    </row>
    <row r="49" spans="7:8" x14ac:dyDescent="0.25">
      <c r="G49" s="3" t="s">
        <v>126</v>
      </c>
      <c r="H49" s="17">
        <f>182000*0.82</f>
        <v>149240</v>
      </c>
    </row>
    <row r="50" spans="7:8" x14ac:dyDescent="0.25">
      <c r="G50" s="3" t="s">
        <v>118</v>
      </c>
      <c r="H50" s="22">
        <f>SUM(H3:H49)</f>
        <v>72131264.059999987</v>
      </c>
    </row>
  </sheetData>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729D5-D4A3-4A9D-BA10-057426759A96}">
  <sheetPr>
    <tabColor theme="3" tint="0.39997558519241921"/>
  </sheetPr>
  <dimension ref="A2:U39"/>
  <sheetViews>
    <sheetView topLeftCell="A16" zoomScale="82" zoomScaleNormal="82" workbookViewId="0">
      <selection activeCell="F30" sqref="F30"/>
    </sheetView>
  </sheetViews>
  <sheetFormatPr defaultRowHeight="15" x14ac:dyDescent="0.25"/>
  <cols>
    <col min="1" max="1" width="24.7109375" bestFit="1" customWidth="1"/>
    <col min="2" max="2" width="11.140625" bestFit="1" customWidth="1"/>
    <col min="3" max="3" width="8" bestFit="1" customWidth="1"/>
    <col min="4" max="4" width="3.140625" style="40" customWidth="1"/>
    <col min="6" max="6" width="30.42578125" bestFit="1" customWidth="1"/>
    <col min="7" max="7" width="15.42578125" style="34" customWidth="1"/>
    <col min="8" max="8" width="14.42578125" style="3" bestFit="1" customWidth="1"/>
    <col min="9" max="9" width="9.140625" style="26" bestFit="1" customWidth="1"/>
    <col min="10" max="10" width="2.5703125" style="40" customWidth="1"/>
    <col min="12" max="12" width="29.28515625" bestFit="1" customWidth="1"/>
    <col min="13" max="13" width="19.85546875" bestFit="1" customWidth="1"/>
    <col min="14" max="14" width="19.85546875" style="3" customWidth="1"/>
    <col min="15" max="15" width="9.7109375" style="26" customWidth="1"/>
    <col min="16" max="16" width="3.140625" style="45" customWidth="1"/>
    <col min="17" max="17" width="8" customWidth="1"/>
    <col min="18" max="18" width="21.7109375" customWidth="1"/>
    <col min="21" max="21" width="30.5703125" bestFit="1" customWidth="1"/>
  </cols>
  <sheetData>
    <row r="2" spans="1:21" s="28" customFormat="1" ht="30" x14ac:dyDescent="0.25">
      <c r="D2" s="41"/>
      <c r="E2" s="29"/>
      <c r="F2" s="29"/>
      <c r="G2" s="35" t="s">
        <v>50</v>
      </c>
      <c r="H2" s="31" t="s">
        <v>200</v>
      </c>
      <c r="I2" s="32" t="s">
        <v>201</v>
      </c>
      <c r="J2" s="41"/>
      <c r="K2" s="29"/>
      <c r="L2" s="29"/>
      <c r="M2" s="30" t="s">
        <v>57</v>
      </c>
      <c r="N2" s="31" t="s">
        <v>200</v>
      </c>
      <c r="O2" s="32" t="s">
        <v>201</v>
      </c>
      <c r="P2" s="44"/>
      <c r="Q2" s="33"/>
      <c r="R2" s="33" t="s">
        <v>98</v>
      </c>
      <c r="S2" s="33"/>
      <c r="T2" s="33"/>
      <c r="U2" s="33"/>
    </row>
    <row r="3" spans="1:21" x14ac:dyDescent="0.25">
      <c r="A3" s="1" t="s">
        <v>0</v>
      </c>
      <c r="B3" s="1" t="s">
        <v>23</v>
      </c>
      <c r="C3" s="1" t="s">
        <v>24</v>
      </c>
      <c r="D3" s="43"/>
      <c r="E3" s="2" t="s">
        <v>63</v>
      </c>
      <c r="F3" s="3" t="s">
        <v>53</v>
      </c>
      <c r="G3" s="42">
        <f>67680*'ass. costs &amp; sale prices'!C15+230</f>
        <v>91598</v>
      </c>
      <c r="K3" s="2" t="s">
        <v>63</v>
      </c>
      <c r="L3" s="3" t="s">
        <v>108</v>
      </c>
      <c r="M3" s="17">
        <f>987760*B4</f>
        <v>158041600</v>
      </c>
      <c r="N3" s="22">
        <f>SUM(M3)</f>
        <v>158041600</v>
      </c>
      <c r="O3" s="26">
        <f>N3/$N$11</f>
        <v>0.81697661866670601</v>
      </c>
      <c r="Q3" s="3"/>
      <c r="R3" s="17"/>
    </row>
    <row r="4" spans="1:21" x14ac:dyDescent="0.25">
      <c r="A4" s="1" t="s">
        <v>1</v>
      </c>
      <c r="B4">
        <f>160</f>
        <v>160</v>
      </c>
      <c r="C4" s="1" t="s">
        <v>25</v>
      </c>
      <c r="D4" s="43"/>
      <c r="F4" s="3" t="s">
        <v>78</v>
      </c>
      <c r="G4" s="42">
        <f>0</f>
        <v>0</v>
      </c>
      <c r="K4" s="2" t="s">
        <v>35</v>
      </c>
      <c r="L4" s="3" t="s">
        <v>112</v>
      </c>
      <c r="M4" s="17">
        <f>60960</f>
        <v>60960</v>
      </c>
      <c r="N4" s="22"/>
      <c r="Q4" s="3"/>
    </row>
    <row r="5" spans="1:21" x14ac:dyDescent="0.25">
      <c r="A5" s="1" t="s">
        <v>2</v>
      </c>
      <c r="B5">
        <f>78</f>
        <v>78</v>
      </c>
      <c r="C5" s="1" t="s">
        <v>25</v>
      </c>
      <c r="D5" s="43"/>
      <c r="F5" s="3" t="s">
        <v>54</v>
      </c>
      <c r="G5" s="42">
        <f>11352+5843200+2816+17600+72600+66000+3740+4159760+561440+2768920+70400+3400</f>
        <v>13581228</v>
      </c>
      <c r="H5" s="22">
        <f>SUM(G3:G5)</f>
        <v>13672826</v>
      </c>
      <c r="I5" s="26">
        <f>H5/$H$26</f>
        <v>0.12432644871896424</v>
      </c>
      <c r="L5" s="3" t="s">
        <v>56</v>
      </c>
      <c r="M5" s="17">
        <f>2910800</f>
        <v>2910800</v>
      </c>
      <c r="N5" s="22">
        <f>SUM(M4:M5)</f>
        <v>2971760</v>
      </c>
      <c r="O5" s="26">
        <f>N5/$N$11</f>
        <v>1.5362147917313987E-2</v>
      </c>
    </row>
    <row r="6" spans="1:21" x14ac:dyDescent="0.25">
      <c r="A6" s="1" t="s">
        <v>3</v>
      </c>
      <c r="B6">
        <f>80</f>
        <v>80</v>
      </c>
      <c r="C6" s="1" t="s">
        <v>25</v>
      </c>
      <c r="D6" s="43"/>
      <c r="E6" s="2" t="s">
        <v>122</v>
      </c>
      <c r="F6" s="3" t="s">
        <v>54</v>
      </c>
      <c r="G6" s="42">
        <f>29100000</f>
        <v>29100000</v>
      </c>
      <c r="K6" s="2" t="s">
        <v>35</v>
      </c>
      <c r="L6" s="3" t="s">
        <v>58</v>
      </c>
      <c r="M6" s="17">
        <f>5244.5</f>
        <v>5244.5</v>
      </c>
      <c r="N6" s="22">
        <f>SUM(M6)</f>
        <v>5244.5</v>
      </c>
      <c r="O6" s="26">
        <f>N6/$N$11</f>
        <v>2.7110797894969042E-5</v>
      </c>
    </row>
    <row r="7" spans="1:21" x14ac:dyDescent="0.25">
      <c r="A7" s="1" t="s">
        <v>4</v>
      </c>
      <c r="B7">
        <f>200</f>
        <v>200</v>
      </c>
      <c r="C7" s="1" t="s">
        <v>25</v>
      </c>
      <c r="D7" s="43"/>
      <c r="F7" s="3" t="s">
        <v>51</v>
      </c>
      <c r="G7" s="42">
        <f>1830000</f>
        <v>1830000</v>
      </c>
      <c r="K7" s="2" t="s">
        <v>40</v>
      </c>
      <c r="L7" s="3" t="s">
        <v>59</v>
      </c>
      <c r="M7" s="17">
        <f>10408000</f>
        <v>10408000</v>
      </c>
      <c r="N7" s="22"/>
      <c r="Q7" s="2" t="s">
        <v>40</v>
      </c>
    </row>
    <row r="8" spans="1:21" x14ac:dyDescent="0.25">
      <c r="A8" s="1" t="s">
        <v>5</v>
      </c>
      <c r="B8">
        <f>750</f>
        <v>750</v>
      </c>
      <c r="C8" s="1" t="s">
        <v>25</v>
      </c>
      <c r="D8" s="43"/>
      <c r="F8" s="3" t="s">
        <v>53</v>
      </c>
      <c r="G8" s="42">
        <f>2550000</f>
        <v>2550000</v>
      </c>
      <c r="H8" s="22">
        <f>SUM(G6:G8)</f>
        <v>33480000</v>
      </c>
      <c r="I8" s="26">
        <f>H8/$H$26</f>
        <v>0.30443227340938317</v>
      </c>
      <c r="L8" s="3" t="s">
        <v>60</v>
      </c>
      <c r="M8" s="17">
        <f>3413600+2253.7</f>
        <v>3415853.7</v>
      </c>
      <c r="N8" s="22"/>
      <c r="Q8" s="3" t="s">
        <v>88</v>
      </c>
      <c r="R8" s="22">
        <f>29060*8000/(10^3)</f>
        <v>232480</v>
      </c>
    </row>
    <row r="9" spans="1:21" x14ac:dyDescent="0.25">
      <c r="A9" s="1" t="s">
        <v>6</v>
      </c>
      <c r="B9">
        <f>1020</f>
        <v>1020</v>
      </c>
      <c r="C9" s="1" t="s">
        <v>25</v>
      </c>
      <c r="D9" s="43"/>
      <c r="E9" s="2" t="s">
        <v>35</v>
      </c>
      <c r="F9" s="3" t="s">
        <v>51</v>
      </c>
      <c r="G9" s="42">
        <f>2.2*10^6+5.77*10^6</f>
        <v>7970000</v>
      </c>
      <c r="L9" s="3" t="s">
        <v>62</v>
      </c>
      <c r="M9" s="17">
        <f>8671+17916290</f>
        <v>17924961</v>
      </c>
      <c r="N9" s="22">
        <f>SUM(M7:M9)</f>
        <v>31748814.699999999</v>
      </c>
      <c r="O9" s="26">
        <f>N9/$N$11</f>
        <v>0.16412159380999564</v>
      </c>
    </row>
    <row r="10" spans="1:21" x14ac:dyDescent="0.25">
      <c r="A10" s="1" t="s">
        <v>7</v>
      </c>
      <c r="B10">
        <f>300</f>
        <v>300</v>
      </c>
      <c r="C10" s="1" t="s">
        <v>25</v>
      </c>
      <c r="D10" s="43"/>
      <c r="F10" s="3" t="s">
        <v>52</v>
      </c>
      <c r="G10" s="42">
        <f>3.26*10^5+5.6*10^5</f>
        <v>886000</v>
      </c>
      <c r="K10" s="2" t="s">
        <v>80</v>
      </c>
      <c r="L10" s="3" t="s">
        <v>62</v>
      </c>
      <c r="M10" s="17">
        <f>0.93148*8.302*8000*B27 + 36.97*8000*B27</f>
        <v>679487.83379199996</v>
      </c>
      <c r="N10" s="23">
        <f>SUM(M10)</f>
        <v>679487.83379199996</v>
      </c>
      <c r="O10" s="26">
        <f>N10/$N$11</f>
        <v>3.5125288080894703E-3</v>
      </c>
    </row>
    <row r="11" spans="1:21" x14ac:dyDescent="0.25">
      <c r="A11" s="1" t="s">
        <v>8</v>
      </c>
      <c r="B11">
        <f>0.2</f>
        <v>0.2</v>
      </c>
      <c r="C11" s="1" t="s">
        <v>26</v>
      </c>
      <c r="D11" s="43"/>
      <c r="F11" s="3" t="s">
        <v>53</v>
      </c>
      <c r="G11" s="42">
        <f>9595.2*8000*1.35/10</f>
        <v>10362816</v>
      </c>
      <c r="N11" s="22">
        <f>SUM(N3:N10)</f>
        <v>193446907.03379199</v>
      </c>
      <c r="O11" s="26">
        <f>N11/$N$11</f>
        <v>1</v>
      </c>
    </row>
    <row r="12" spans="1:21" x14ac:dyDescent="0.25">
      <c r="A12" s="1" t="s">
        <v>9</v>
      </c>
      <c r="B12">
        <f>3</f>
        <v>3</v>
      </c>
      <c r="C12" s="1" t="s">
        <v>25</v>
      </c>
      <c r="D12" s="43"/>
      <c r="F12" s="3" t="s">
        <v>54</v>
      </c>
      <c r="G12" s="42">
        <f>28.02*10^6+36608*4+73117*4</f>
        <v>28458900</v>
      </c>
      <c r="H12" s="22">
        <f>SUM(G9:G12)</f>
        <v>47677716</v>
      </c>
      <c r="I12" s="26">
        <f>H12/$H$26</f>
        <v>0.43353152547332502</v>
      </c>
    </row>
    <row r="13" spans="1:21" x14ac:dyDescent="0.25">
      <c r="A13" s="1" t="s">
        <v>10</v>
      </c>
      <c r="B13">
        <f>5</f>
        <v>5</v>
      </c>
      <c r="C13" s="1" t="s">
        <v>25</v>
      </c>
      <c r="D13" s="43"/>
      <c r="E13" s="2" t="s">
        <v>40</v>
      </c>
      <c r="F13" s="3" t="s">
        <v>51</v>
      </c>
      <c r="G13" s="42">
        <f>1.728*10^6</f>
        <v>1728000</v>
      </c>
    </row>
    <row r="14" spans="1:21" x14ac:dyDescent="0.25">
      <c r="A14" s="1" t="s">
        <v>11</v>
      </c>
      <c r="B14">
        <f>0</f>
        <v>0</v>
      </c>
      <c r="C14" s="1" t="s">
        <v>25</v>
      </c>
      <c r="D14" s="43"/>
      <c r="F14" s="3" t="s">
        <v>54</v>
      </c>
      <c r="G14" s="42">
        <f>48889+37736+7+264+633.6+0.26+2.64+176+0.05+8563280+0.26+14.08+642.4+90640+176880+528000+2962</f>
        <v>9450127.290000001</v>
      </c>
    </row>
    <row r="15" spans="1:21" x14ac:dyDescent="0.25">
      <c r="A15" s="1" t="s">
        <v>12</v>
      </c>
      <c r="B15">
        <f>270</f>
        <v>270</v>
      </c>
      <c r="C15" s="1" t="s">
        <v>25</v>
      </c>
      <c r="D15" s="43"/>
      <c r="F15" s="3" t="s">
        <v>52</v>
      </c>
      <c r="G15" s="42">
        <f>30240</f>
        <v>30240</v>
      </c>
      <c r="H15" s="22">
        <f>SUM(G13:G15)</f>
        <v>11208367.290000001</v>
      </c>
      <c r="I15" s="26">
        <f>H15/$H$26</f>
        <v>0.10191722626350261</v>
      </c>
    </row>
    <row r="16" spans="1:21" x14ac:dyDescent="0.25">
      <c r="E16" s="2" t="s">
        <v>80</v>
      </c>
      <c r="F16" s="3" t="s">
        <v>54</v>
      </c>
      <c r="G16" s="42">
        <f>(0.77+0.7)*8000</f>
        <v>11760</v>
      </c>
    </row>
    <row r="17" spans="1:9" x14ac:dyDescent="0.25">
      <c r="F17" s="3" t="s">
        <v>96</v>
      </c>
      <c r="G17" s="42">
        <f>217.59*8000</f>
        <v>1740720</v>
      </c>
    </row>
    <row r="18" spans="1:9" x14ac:dyDescent="0.25">
      <c r="F18" s="3" t="s">
        <v>97</v>
      </c>
      <c r="G18" s="42">
        <f>(167.2+42.03)*8000</f>
        <v>1673840</v>
      </c>
      <c r="H18" s="22"/>
    </row>
    <row r="19" spans="1:9" x14ac:dyDescent="0.25">
      <c r="F19" s="3" t="s">
        <v>52</v>
      </c>
      <c r="G19" s="42">
        <f>(4.26+8.49)*8000</f>
        <v>102000</v>
      </c>
      <c r="H19" s="22">
        <f>SUM(G16:G19)</f>
        <v>3528320</v>
      </c>
      <c r="I19" s="26">
        <f>H19/$H$26</f>
        <v>3.2082869740615139E-2</v>
      </c>
    </row>
    <row r="20" spans="1:9" x14ac:dyDescent="0.25">
      <c r="E20" s="2" t="s">
        <v>99</v>
      </c>
      <c r="F20" s="3" t="s">
        <v>109</v>
      </c>
      <c r="G20" s="36">
        <f>1134685.6*B24</f>
        <v>79427.992000000013</v>
      </c>
    </row>
    <row r="21" spans="1:9" x14ac:dyDescent="0.25">
      <c r="F21" s="3" t="s">
        <v>110</v>
      </c>
      <c r="G21" s="36">
        <f>322068.8+3.34</f>
        <v>322072.14</v>
      </c>
    </row>
    <row r="22" spans="1:9" x14ac:dyDescent="0.25">
      <c r="A22" s="1" t="s">
        <v>13</v>
      </c>
      <c r="B22" s="1" t="s">
        <v>14</v>
      </c>
      <c r="C22" s="1" t="s">
        <v>24</v>
      </c>
      <c r="D22" s="43"/>
      <c r="F22" s="3" t="s">
        <v>54</v>
      </c>
      <c r="G22" s="36">
        <f>3412.2</f>
        <v>3412.2</v>
      </c>
    </row>
    <row r="23" spans="1:9" x14ac:dyDescent="0.25">
      <c r="A23" s="1" t="s">
        <v>16</v>
      </c>
      <c r="B23">
        <f>1.35</f>
        <v>1.35</v>
      </c>
      <c r="C23" s="1" t="s">
        <v>25</v>
      </c>
      <c r="D23" s="43"/>
      <c r="F23" s="3" t="s">
        <v>59</v>
      </c>
      <c r="G23" s="36">
        <f>191.43+2602</f>
        <v>2793.43</v>
      </c>
    </row>
    <row r="24" spans="1:9" x14ac:dyDescent="0.25">
      <c r="A24" s="1" t="s">
        <v>17</v>
      </c>
      <c r="B24">
        <f>0.07</f>
        <v>7.0000000000000007E-2</v>
      </c>
      <c r="C24" s="1" t="s">
        <v>25</v>
      </c>
      <c r="D24" s="43"/>
      <c r="F24" s="3" t="s">
        <v>53</v>
      </c>
      <c r="G24" s="36">
        <f>259.65</f>
        <v>259.64999999999998</v>
      </c>
    </row>
    <row r="25" spans="1:9" x14ac:dyDescent="0.25">
      <c r="A25" s="1" t="s">
        <v>18</v>
      </c>
      <c r="B25">
        <f>10</f>
        <v>10</v>
      </c>
      <c r="C25" s="1" t="s">
        <v>25</v>
      </c>
      <c r="D25" s="43"/>
      <c r="F25" s="3" t="s">
        <v>111</v>
      </c>
      <c r="G25" s="37">
        <f>4.79</f>
        <v>4.79</v>
      </c>
      <c r="H25" s="23">
        <f>SUM(G20:G25)</f>
        <v>407970.20200000005</v>
      </c>
      <c r="I25" s="27">
        <f>H25/$H$26</f>
        <v>3.7096563942098353E-3</v>
      </c>
    </row>
    <row r="26" spans="1:9" x14ac:dyDescent="0.25">
      <c r="A26" s="1" t="s">
        <v>19</v>
      </c>
      <c r="B26">
        <f>16.25</f>
        <v>16.25</v>
      </c>
      <c r="C26" s="1" t="s">
        <v>25</v>
      </c>
      <c r="D26" s="43"/>
      <c r="G26" s="38">
        <f>SUM(G3:G25)</f>
        <v>109975199.49200003</v>
      </c>
      <c r="H26" s="22">
        <f>SUM(H25,H19,H15,H12,H8,H5)</f>
        <v>109975199.492</v>
      </c>
      <c r="I26" s="26">
        <f>SUM(I3:I25)</f>
        <v>1</v>
      </c>
    </row>
    <row r="27" spans="1:9" x14ac:dyDescent="0.25">
      <c r="A27" s="1" t="s">
        <v>20</v>
      </c>
      <c r="B27">
        <f>1.9</f>
        <v>1.9</v>
      </c>
      <c r="C27" s="1" t="s">
        <v>25</v>
      </c>
      <c r="D27" s="43"/>
    </row>
    <row r="28" spans="1:9" x14ac:dyDescent="0.25">
      <c r="A28" s="1" t="s">
        <v>21</v>
      </c>
      <c r="B28">
        <f>0.5/100</f>
        <v>5.0000000000000001E-3</v>
      </c>
      <c r="C28" s="1" t="s">
        <v>26</v>
      </c>
      <c r="D28" s="43"/>
    </row>
    <row r="29" spans="1:9" x14ac:dyDescent="0.25">
      <c r="A29" s="1" t="s">
        <v>22</v>
      </c>
      <c r="B29">
        <f>10/100</f>
        <v>0.1</v>
      </c>
      <c r="C29" s="1" t="s">
        <v>26</v>
      </c>
      <c r="D29" s="43"/>
    </row>
    <row r="30" spans="1:9" x14ac:dyDescent="0.25">
      <c r="A30" s="1" t="s">
        <v>15</v>
      </c>
      <c r="B30">
        <f>0.11</f>
        <v>0.11</v>
      </c>
      <c r="C30" s="1" t="s">
        <v>27</v>
      </c>
      <c r="D30" s="43"/>
    </row>
    <row r="31" spans="1:9" x14ac:dyDescent="0.25">
      <c r="A31" s="1"/>
      <c r="C31" s="1"/>
      <c r="D31" s="43"/>
      <c r="F31" s="20"/>
    </row>
    <row r="33" spans="1:7" x14ac:dyDescent="0.25">
      <c r="A33" s="2" t="s">
        <v>30</v>
      </c>
      <c r="B33" s="2" t="s">
        <v>31</v>
      </c>
    </row>
    <row r="34" spans="1:7" x14ac:dyDescent="0.25">
      <c r="A34">
        <f>523*275</f>
        <v>143825</v>
      </c>
      <c r="B34">
        <f>A34/10000</f>
        <v>14.3825</v>
      </c>
      <c r="E34" s="2" t="s">
        <v>40</v>
      </c>
      <c r="F34" s="3" t="s">
        <v>54</v>
      </c>
      <c r="G34" s="36">
        <f>48889+37736+7+264+633.6+0.26+2.64+176+0.05+8563280+0.26+14.08+642.4+90640+176880+528000+2962</f>
        <v>9450127.290000001</v>
      </c>
    </row>
    <row r="35" spans="1:7" x14ac:dyDescent="0.25">
      <c r="A35" s="1" t="s">
        <v>28</v>
      </c>
      <c r="B35" s="1" t="s">
        <v>32</v>
      </c>
      <c r="G35" s="39">
        <f>8563280</f>
        <v>8563280</v>
      </c>
    </row>
    <row r="36" spans="1:7" x14ac:dyDescent="0.25">
      <c r="A36" s="1" t="s">
        <v>29</v>
      </c>
      <c r="B36">
        <f>200*10^3*B34</f>
        <v>2876500</v>
      </c>
    </row>
    <row r="37" spans="1:7" x14ac:dyDescent="0.25">
      <c r="E37" s="2" t="s">
        <v>63</v>
      </c>
      <c r="F37" s="3" t="s">
        <v>54</v>
      </c>
      <c r="G37" s="36">
        <f>11352+5843200+2816+17600+72600+66000+3740+4159760+561440+2768920+70400+3400</f>
        <v>13581228</v>
      </c>
    </row>
    <row r="38" spans="1:7" x14ac:dyDescent="0.25">
      <c r="G38" s="39">
        <f>5843200</f>
        <v>5843200</v>
      </c>
    </row>
    <row r="39" spans="1:7" x14ac:dyDescent="0.25">
      <c r="G39" s="39">
        <f>2768920</f>
        <v>2768920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612DC-729C-4556-95E1-71DBDD9E3C2B}">
  <sheetPr>
    <tabColor theme="1"/>
  </sheetPr>
  <dimension ref="A1:U71"/>
  <sheetViews>
    <sheetView zoomScale="60" zoomScaleNormal="60" workbookViewId="0">
      <pane xSplit="2" ySplit="2" topLeftCell="C30" activePane="bottomRight" state="frozen"/>
      <selection pane="topRight" activeCell="C1" sqref="C1"/>
      <selection pane="bottomLeft" activeCell="A3" sqref="A3"/>
      <selection pane="bottomRight" activeCell="A2" sqref="A2"/>
    </sheetView>
  </sheetViews>
  <sheetFormatPr defaultRowHeight="15" x14ac:dyDescent="0.25"/>
  <cols>
    <col min="1" max="1" width="3.28515625" customWidth="1"/>
    <col min="2" max="2" width="58" style="40" customWidth="1"/>
    <col min="3" max="3" width="4.42578125" style="181" bestFit="1" customWidth="1"/>
    <col min="4" max="4" width="6.28515625" style="164" bestFit="1" customWidth="1"/>
    <col min="5" max="5" width="10.42578125" style="146" bestFit="1" customWidth="1"/>
    <col min="6" max="7" width="10.42578125" bestFit="1" customWidth="1"/>
    <col min="8" max="20" width="12" bestFit="1" customWidth="1"/>
  </cols>
  <sheetData>
    <row r="1" spans="1:21" ht="18.75" x14ac:dyDescent="0.3">
      <c r="A1" s="247" t="s">
        <v>356</v>
      </c>
      <c r="D1" s="149" t="s">
        <v>254</v>
      </c>
      <c r="E1" s="149" t="s">
        <v>239</v>
      </c>
      <c r="F1" s="176" t="s">
        <v>240</v>
      </c>
      <c r="G1" s="176" t="s">
        <v>241</v>
      </c>
      <c r="H1" s="176" t="s">
        <v>242</v>
      </c>
      <c r="I1" s="176" t="s">
        <v>243</v>
      </c>
      <c r="J1" s="176" t="s">
        <v>244</v>
      </c>
      <c r="K1" s="176" t="s">
        <v>245</v>
      </c>
      <c r="L1" s="176" t="s">
        <v>246</v>
      </c>
      <c r="M1" s="176" t="s">
        <v>247</v>
      </c>
      <c r="N1" s="176" t="s">
        <v>248</v>
      </c>
      <c r="O1" s="176" t="s">
        <v>249</v>
      </c>
      <c r="P1" s="176" t="s">
        <v>250</v>
      </c>
      <c r="Q1" s="176" t="s">
        <v>251</v>
      </c>
      <c r="R1" s="176" t="s">
        <v>252</v>
      </c>
      <c r="S1" s="176" t="s">
        <v>253</v>
      </c>
      <c r="T1" s="176" t="s">
        <v>256</v>
      </c>
    </row>
    <row r="2" spans="1:21" s="173" customFormat="1" ht="18.75" x14ac:dyDescent="0.3">
      <c r="A2" s="246" t="s">
        <v>371</v>
      </c>
      <c r="B2" s="174"/>
      <c r="C2" s="182"/>
      <c r="D2" s="175">
        <v>2020</v>
      </c>
      <c r="E2" s="175">
        <v>2021</v>
      </c>
      <c r="F2" s="175">
        <v>2022</v>
      </c>
      <c r="G2" s="175">
        <v>2023</v>
      </c>
      <c r="H2" s="175">
        <v>2024</v>
      </c>
      <c r="I2" s="175">
        <v>2025</v>
      </c>
      <c r="J2" s="175">
        <v>2026</v>
      </c>
      <c r="K2" s="175">
        <v>2027</v>
      </c>
      <c r="L2" s="175">
        <v>2028</v>
      </c>
      <c r="M2" s="175">
        <v>2029</v>
      </c>
      <c r="N2" s="175">
        <v>2030</v>
      </c>
      <c r="O2" s="175">
        <v>2031</v>
      </c>
      <c r="P2" s="175">
        <v>2032</v>
      </c>
      <c r="Q2" s="175">
        <v>2033</v>
      </c>
      <c r="R2" s="175">
        <v>2034</v>
      </c>
      <c r="S2" s="175">
        <v>2035</v>
      </c>
      <c r="T2" s="175">
        <v>2036</v>
      </c>
    </row>
    <row r="3" spans="1:21" s="169" customFormat="1" x14ac:dyDescent="0.25">
      <c r="B3" s="172" t="s">
        <v>274</v>
      </c>
      <c r="C3" s="183"/>
      <c r="D3" s="168"/>
      <c r="E3" s="177">
        <v>1.04</v>
      </c>
      <c r="F3" s="177">
        <v>1.04</v>
      </c>
      <c r="G3" s="177">
        <f>F3</f>
        <v>1.04</v>
      </c>
      <c r="H3" s="177">
        <f t="shared" ref="H3:T5" si="0">G3</f>
        <v>1.04</v>
      </c>
      <c r="I3" s="177">
        <f t="shared" si="0"/>
        <v>1.04</v>
      </c>
      <c r="J3" s="177">
        <f t="shared" si="0"/>
        <v>1.04</v>
      </c>
      <c r="K3" s="177">
        <f t="shared" si="0"/>
        <v>1.04</v>
      </c>
      <c r="L3" s="177">
        <f t="shared" si="0"/>
        <v>1.04</v>
      </c>
      <c r="M3" s="177">
        <f t="shared" si="0"/>
        <v>1.04</v>
      </c>
      <c r="N3" s="177">
        <f t="shared" si="0"/>
        <v>1.04</v>
      </c>
      <c r="O3" s="177">
        <f t="shared" si="0"/>
        <v>1.04</v>
      </c>
      <c r="P3" s="177">
        <f t="shared" si="0"/>
        <v>1.04</v>
      </c>
      <c r="Q3" s="177">
        <f t="shared" si="0"/>
        <v>1.04</v>
      </c>
      <c r="R3" s="177">
        <f t="shared" si="0"/>
        <v>1.04</v>
      </c>
      <c r="S3" s="177">
        <f t="shared" si="0"/>
        <v>1.04</v>
      </c>
      <c r="T3" s="177">
        <f t="shared" si="0"/>
        <v>1.04</v>
      </c>
    </row>
    <row r="4" spans="1:21" s="169" customFormat="1" x14ac:dyDescent="0.25">
      <c r="B4" s="172" t="s">
        <v>275</v>
      </c>
      <c r="C4" s="183"/>
      <c r="D4" s="168"/>
      <c r="E4" s="177">
        <v>1.06</v>
      </c>
      <c r="F4" s="177">
        <v>1.06</v>
      </c>
      <c r="G4" s="177">
        <f>F4</f>
        <v>1.06</v>
      </c>
      <c r="H4" s="177">
        <f t="shared" si="0"/>
        <v>1.06</v>
      </c>
      <c r="I4" s="177">
        <f t="shared" si="0"/>
        <v>1.06</v>
      </c>
      <c r="J4" s="177">
        <f t="shared" si="0"/>
        <v>1.06</v>
      </c>
      <c r="K4" s="177">
        <f t="shared" si="0"/>
        <v>1.06</v>
      </c>
      <c r="L4" s="177">
        <f t="shared" si="0"/>
        <v>1.06</v>
      </c>
      <c r="M4" s="177">
        <f t="shared" si="0"/>
        <v>1.06</v>
      </c>
      <c r="N4" s="177">
        <f t="shared" si="0"/>
        <v>1.06</v>
      </c>
      <c r="O4" s="177">
        <f t="shared" si="0"/>
        <v>1.06</v>
      </c>
      <c r="P4" s="177">
        <f t="shared" si="0"/>
        <v>1.06</v>
      </c>
      <c r="Q4" s="177">
        <f t="shared" si="0"/>
        <v>1.06</v>
      </c>
      <c r="R4" s="177">
        <f t="shared" si="0"/>
        <v>1.06</v>
      </c>
      <c r="S4" s="177">
        <f t="shared" si="0"/>
        <v>1.06</v>
      </c>
      <c r="T4" s="177">
        <f t="shared" si="0"/>
        <v>1.06</v>
      </c>
    </row>
    <row r="5" spans="1:21" s="169" customFormat="1" x14ac:dyDescent="0.25">
      <c r="B5" s="172" t="s">
        <v>273</v>
      </c>
      <c r="C5" s="183"/>
      <c r="D5" s="168"/>
      <c r="E5" s="177">
        <v>1.05</v>
      </c>
      <c r="F5" s="177">
        <v>1.05</v>
      </c>
      <c r="G5" s="177">
        <f>F5</f>
        <v>1.05</v>
      </c>
      <c r="H5" s="177">
        <f t="shared" si="0"/>
        <v>1.05</v>
      </c>
      <c r="I5" s="177">
        <f t="shared" si="0"/>
        <v>1.05</v>
      </c>
      <c r="J5" s="177">
        <f t="shared" si="0"/>
        <v>1.05</v>
      </c>
      <c r="K5" s="177">
        <f t="shared" si="0"/>
        <v>1.05</v>
      </c>
      <c r="L5" s="177">
        <f t="shared" si="0"/>
        <v>1.05</v>
      </c>
      <c r="M5" s="177">
        <f t="shared" si="0"/>
        <v>1.05</v>
      </c>
      <c r="N5" s="177">
        <f t="shared" si="0"/>
        <v>1.05</v>
      </c>
      <c r="O5" s="177">
        <f t="shared" si="0"/>
        <v>1.05</v>
      </c>
      <c r="P5" s="177">
        <f t="shared" si="0"/>
        <v>1.05</v>
      </c>
      <c r="Q5" s="177">
        <f t="shared" si="0"/>
        <v>1.05</v>
      </c>
      <c r="R5" s="177">
        <f t="shared" si="0"/>
        <v>1.05</v>
      </c>
      <c r="S5" s="177">
        <f t="shared" si="0"/>
        <v>1.05</v>
      </c>
      <c r="T5" s="177">
        <f t="shared" si="0"/>
        <v>1.05</v>
      </c>
    </row>
    <row r="6" spans="1:21" s="169" customFormat="1" x14ac:dyDescent="0.25">
      <c r="B6" s="172"/>
      <c r="C6" s="183"/>
      <c r="D6" s="168"/>
      <c r="E6" s="177"/>
      <c r="F6" s="177"/>
      <c r="G6" s="177"/>
      <c r="H6" s="177"/>
      <c r="I6" s="177"/>
      <c r="J6" s="177"/>
      <c r="K6" s="177"/>
      <c r="L6" s="177"/>
      <c r="M6" s="177"/>
      <c r="N6" s="177"/>
      <c r="O6" s="177"/>
      <c r="P6" s="177"/>
      <c r="Q6" s="177"/>
      <c r="R6" s="177"/>
      <c r="S6" s="177"/>
      <c r="T6" s="177"/>
    </row>
    <row r="7" spans="1:21" x14ac:dyDescent="0.25">
      <c r="B7" s="43" t="s">
        <v>276</v>
      </c>
      <c r="C7" s="182"/>
      <c r="D7" s="142">
        <f>'p&amp;l S1'!D13</f>
        <v>0</v>
      </c>
      <c r="E7" s="142">
        <f>'p&amp;l S1'!E13</f>
        <v>4.4858799999999999</v>
      </c>
      <c r="F7" s="142">
        <f>'p&amp;l S1'!F13</f>
        <v>0</v>
      </c>
      <c r="G7" s="142">
        <f>'p&amp;l S1'!G13</f>
        <v>0</v>
      </c>
      <c r="H7" s="142">
        <f>'p&amp;l S1'!H13</f>
        <v>0</v>
      </c>
      <c r="I7" s="142">
        <f>'p&amp;l S1'!I13</f>
        <v>0</v>
      </c>
      <c r="J7" s="142">
        <f>'p&amp;l S1'!J13</f>
        <v>0</v>
      </c>
      <c r="K7" s="142">
        <f>'p&amp;l S1'!K13</f>
        <v>0</v>
      </c>
      <c r="L7" s="142">
        <f>'p&amp;l S1'!L13</f>
        <v>0</v>
      </c>
      <c r="M7" s="142">
        <f>'p&amp;l S1'!M13</f>
        <v>0</v>
      </c>
      <c r="N7" s="142">
        <f>'p&amp;l S1'!N13</f>
        <v>0</v>
      </c>
      <c r="O7" s="142">
        <f>'p&amp;l S1'!O13</f>
        <v>0</v>
      </c>
      <c r="P7" s="142">
        <f>'p&amp;l S1'!P13</f>
        <v>0</v>
      </c>
      <c r="Q7" s="142">
        <f>'p&amp;l S1'!Q13</f>
        <v>0</v>
      </c>
      <c r="R7" s="142">
        <f>'p&amp;l S1'!R13</f>
        <v>0</v>
      </c>
      <c r="S7" s="142">
        <f>'p&amp;l S1'!S13</f>
        <v>0</v>
      </c>
      <c r="T7" s="142">
        <f>'p&amp;l S1'!T13</f>
        <v>0</v>
      </c>
    </row>
    <row r="9" spans="1:21" x14ac:dyDescent="0.25">
      <c r="B9" s="43" t="s">
        <v>129</v>
      </c>
      <c r="C9" s="182"/>
    </row>
    <row r="10" spans="1:21" s="3" customFormat="1" x14ac:dyDescent="0.25">
      <c r="B10" s="43" t="s">
        <v>228</v>
      </c>
      <c r="C10" s="182"/>
      <c r="D10" s="149">
        <f>'p&amp;l S1'!D20</f>
        <v>0</v>
      </c>
      <c r="E10" s="149">
        <f>'p&amp;l S1'!E20</f>
        <v>317.1243216189506</v>
      </c>
      <c r="F10" s="149">
        <f>'p&amp;l S1'!F20/1000</f>
        <v>0.32980929448370866</v>
      </c>
      <c r="G10" s="149">
        <f>'p&amp;l S1'!G20/1000</f>
        <v>0.34300166626305695</v>
      </c>
      <c r="H10" s="149">
        <f>'p&amp;l S1'!H20/1000</f>
        <v>0.35672173291357923</v>
      </c>
      <c r="I10" s="149">
        <f>'p&amp;l S1'!I20/1000</f>
        <v>0.37099060223012237</v>
      </c>
      <c r="J10" s="149">
        <f>'p&amp;l S1'!J20/1000</f>
        <v>0.38583022631932734</v>
      </c>
      <c r="K10" s="149">
        <f>'p&amp;l S1'!K20/1000</f>
        <v>0.40126343537210041</v>
      </c>
      <c r="L10" s="149">
        <f>'p&amp;l S1'!L20/1000</f>
        <v>0.41731397278698446</v>
      </c>
      <c r="M10" s="149">
        <f>'p&amp;l S1'!M20/1000</f>
        <v>0.43400653169846387</v>
      </c>
      <c r="N10" s="149">
        <f>'p&amp;l S1'!N20/1000</f>
        <v>0.45136679296640236</v>
      </c>
      <c r="O10" s="149">
        <f>'p&amp;l S1'!O20/1000</f>
        <v>0.46942146468505846</v>
      </c>
      <c r="P10" s="149">
        <f>'p&amp;l S1'!P20/1000</f>
        <v>0.48819832327246082</v>
      </c>
      <c r="Q10" s="149">
        <f>'p&amp;l S1'!Q20/1000</f>
        <v>0.50772625620335932</v>
      </c>
      <c r="R10" s="149">
        <f>'p&amp;l S1'!R20/1000</f>
        <v>0.52803530645149366</v>
      </c>
      <c r="S10" s="149">
        <f>'p&amp;l S1'!S20/1000</f>
        <v>0.5491567187095534</v>
      </c>
      <c r="T10" s="149">
        <f>'p&amp;l S1'!T20/1000</f>
        <v>0</v>
      </c>
    </row>
    <row r="11" spans="1:21" s="3" customFormat="1" x14ac:dyDescent="0.25">
      <c r="B11" s="43" t="s">
        <v>229</v>
      </c>
      <c r="C11" s="182"/>
      <c r="D11" s="142">
        <f>'p&amp;l S1'!D32</f>
        <v>0</v>
      </c>
      <c r="E11" s="142">
        <f>'p&amp;l S1'!E32</f>
        <v>53.423789799517067</v>
      </c>
      <c r="F11" s="142">
        <f>'p&amp;l S1'!F32/1000</f>
        <v>232.53615251211346</v>
      </c>
      <c r="G11" s="142">
        <f>'p&amp;l S1'!G32/1000</f>
        <v>232.53936276114891</v>
      </c>
      <c r="H11" s="142">
        <f>'p&amp;l S1'!H32/1000</f>
        <v>232.54275926905885</v>
      </c>
      <c r="I11" s="142">
        <f>'p&amp;l S1'!I32/1000</f>
        <v>232.54635295713302</v>
      </c>
      <c r="J11" s="142">
        <f>'p&amp;l S1'!J32/1000</f>
        <v>232.55015539176887</v>
      </c>
      <c r="K11" s="142">
        <f>'p&amp;l S1'!K32/1000</f>
        <v>232.55417882277121</v>
      </c>
      <c r="L11" s="142">
        <f>'p&amp;l S1'!L32/1000</f>
        <v>232.55843622393351</v>
      </c>
      <c r="M11" s="142">
        <f>'p&amp;l S1'!M32/1000</f>
        <v>232.5629413360374</v>
      </c>
      <c r="N11" s="142">
        <f>'p&amp;l S1'!N32/1000</f>
        <v>232.5677087124142</v>
      </c>
      <c r="O11" s="142">
        <f>'p&amp;l S1'!O32/1000</f>
        <v>232.56144543450705</v>
      </c>
      <c r="P11" s="142">
        <f>'p&amp;l S1'!P32/1000</f>
        <v>232.56633216057747</v>
      </c>
      <c r="Q11" s="142">
        <f>'p&amp;l S1'!Q32/1000</f>
        <v>232.57151209021211</v>
      </c>
      <c r="R11" s="142">
        <f>'p&amp;l S1'!R32/1000</f>
        <v>232.57608769472273</v>
      </c>
      <c r="S11" s="142">
        <f>'p&amp;l S1'!S32/1000</f>
        <v>232.58185295640607</v>
      </c>
      <c r="T11" s="142">
        <f>'p&amp;l S1'!T32/1000</f>
        <v>232.48</v>
      </c>
      <c r="U11" s="142"/>
    </row>
    <row r="12" spans="1:21" s="3" customFormat="1" x14ac:dyDescent="0.25">
      <c r="B12" s="43" t="s">
        <v>232</v>
      </c>
      <c r="C12" s="182"/>
      <c r="D12" s="156">
        <f>D10+D11</f>
        <v>0</v>
      </c>
      <c r="E12" s="156">
        <f t="shared" ref="E12:T12" si="1">E10+E11</f>
        <v>370.54811141846767</v>
      </c>
      <c r="F12" s="156">
        <f t="shared" si="1"/>
        <v>232.86596180659717</v>
      </c>
      <c r="G12" s="156">
        <f t="shared" si="1"/>
        <v>232.88236442741197</v>
      </c>
      <c r="H12" s="156">
        <f t="shared" si="1"/>
        <v>232.89948100197242</v>
      </c>
      <c r="I12" s="156">
        <f t="shared" si="1"/>
        <v>232.91734355936313</v>
      </c>
      <c r="J12" s="156">
        <f t="shared" si="1"/>
        <v>232.93598561808818</v>
      </c>
      <c r="K12" s="156">
        <f t="shared" si="1"/>
        <v>232.95544225814331</v>
      </c>
      <c r="L12" s="156">
        <f t="shared" si="1"/>
        <v>232.9757501967205</v>
      </c>
      <c r="M12" s="156">
        <f t="shared" si="1"/>
        <v>232.99694786773586</v>
      </c>
      <c r="N12" s="156">
        <f t="shared" si="1"/>
        <v>233.01907550538061</v>
      </c>
      <c r="O12" s="156">
        <f t="shared" si="1"/>
        <v>233.03086689919212</v>
      </c>
      <c r="P12" s="156">
        <f t="shared" si="1"/>
        <v>233.05453048384993</v>
      </c>
      <c r="Q12" s="156">
        <f t="shared" si="1"/>
        <v>233.07923834641548</v>
      </c>
      <c r="R12" s="156">
        <f t="shared" si="1"/>
        <v>233.10412300117423</v>
      </c>
      <c r="S12" s="156">
        <f t="shared" si="1"/>
        <v>233.13100967511562</v>
      </c>
      <c r="T12" s="156">
        <f t="shared" si="1"/>
        <v>232.48</v>
      </c>
      <c r="U12" s="156"/>
    </row>
    <row r="13" spans="1:21" x14ac:dyDescent="0.25">
      <c r="B13" s="43"/>
      <c r="C13" s="182"/>
    </row>
    <row r="14" spans="1:21" ht="18.75" x14ac:dyDescent="0.3">
      <c r="B14" s="163" t="s">
        <v>234</v>
      </c>
      <c r="C14" s="185"/>
      <c r="E14" s="149"/>
    </row>
    <row r="15" spans="1:21" s="3" customFormat="1" x14ac:dyDescent="0.25">
      <c r="B15" s="43" t="s">
        <v>233</v>
      </c>
      <c r="C15" s="182"/>
      <c r="D15" s="156">
        <f>'p&amp;l S1'!D41</f>
        <v>0</v>
      </c>
      <c r="E15" s="156">
        <f>'p&amp;l S1'!E41</f>
        <v>32.441368975592852</v>
      </c>
      <c r="F15" s="156">
        <f>'p&amp;l S1'!F41/1000</f>
        <v>3.3739023734616562E-2</v>
      </c>
      <c r="G15" s="156">
        <f>'p&amp;l S1'!G41/1000</f>
        <v>3.508858468400123E-2</v>
      </c>
      <c r="H15" s="156">
        <f>'p&amp;l S1'!H41/1000</f>
        <v>3.6492128071361277E-2</v>
      </c>
      <c r="I15" s="156">
        <f>'p&amp;l S1'!I41/1000</f>
        <v>3.7951813194215728E-2</v>
      </c>
      <c r="J15" s="156">
        <f>'p&amp;l S1'!J41/1000</f>
        <v>3.9469885721984364E-2</v>
      </c>
      <c r="K15" s="156">
        <f>'p&amp;l S1'!K41/1000</f>
        <v>4.1048681150863735E-2</v>
      </c>
      <c r="L15" s="156">
        <f>'p&amp;l S1'!L41/1000</f>
        <v>4.2690628396898293E-2</v>
      </c>
      <c r="M15" s="156">
        <f>'p&amp;l S1'!M41/1000</f>
        <v>4.4398253532774219E-2</v>
      </c>
      <c r="N15" s="156">
        <f>'p&amp;l S1'!N41/1000</f>
        <v>4.6174183674085198E-2</v>
      </c>
      <c r="O15" s="156">
        <f>'p&amp;l S1'!O41/1000</f>
        <v>4.8021151021048612E-2</v>
      </c>
      <c r="P15" s="156">
        <f>'p&amp;l S1'!P41/1000</f>
        <v>4.9941997061890557E-2</v>
      </c>
      <c r="Q15" s="156">
        <f>'p&amp;l S1'!Q41/1000</f>
        <v>5.1939676944366187E-2</v>
      </c>
      <c r="R15" s="156">
        <f>'p&amp;l S1'!R41/1000</f>
        <v>5.4017264022140826E-2</v>
      </c>
      <c r="S15" s="156">
        <f>'p&amp;l S1'!S41/1000</f>
        <v>5.6177954583026463E-2</v>
      </c>
      <c r="T15" s="156">
        <f>'p&amp;l S1'!T41/1000</f>
        <v>0</v>
      </c>
    </row>
    <row r="16" spans="1:21" x14ac:dyDescent="0.25">
      <c r="B16" s="43" t="s">
        <v>362</v>
      </c>
      <c r="C16" s="182"/>
      <c r="D16" s="167">
        <f>D15+D12</f>
        <v>0</v>
      </c>
      <c r="E16" s="167">
        <f t="shared" ref="E16:T16" si="2">E15+E12</f>
        <v>402.98948039406054</v>
      </c>
      <c r="F16" s="167">
        <f t="shared" si="2"/>
        <v>232.8997008303318</v>
      </c>
      <c r="G16" s="167">
        <f t="shared" si="2"/>
        <v>232.91745301209596</v>
      </c>
      <c r="H16" s="167">
        <f t="shared" si="2"/>
        <v>232.93597313004378</v>
      </c>
      <c r="I16" s="167">
        <f t="shared" si="2"/>
        <v>232.95529537255734</v>
      </c>
      <c r="J16" s="167">
        <f t="shared" si="2"/>
        <v>232.97545550381017</v>
      </c>
      <c r="K16" s="167">
        <f t="shared" si="2"/>
        <v>232.99649093929418</v>
      </c>
      <c r="L16" s="167">
        <f t="shared" si="2"/>
        <v>233.01844082511741</v>
      </c>
      <c r="M16" s="167">
        <f t="shared" si="2"/>
        <v>233.04134612126862</v>
      </c>
      <c r="N16" s="167">
        <f t="shared" si="2"/>
        <v>233.0652496890547</v>
      </c>
      <c r="O16" s="167">
        <f t="shared" si="2"/>
        <v>233.07888805021318</v>
      </c>
      <c r="P16" s="167">
        <f t="shared" si="2"/>
        <v>233.10447248091182</v>
      </c>
      <c r="Q16" s="167">
        <f t="shared" si="2"/>
        <v>233.13117802335984</v>
      </c>
      <c r="R16" s="167">
        <f t="shared" si="2"/>
        <v>233.15814026519638</v>
      </c>
      <c r="S16" s="167">
        <f t="shared" si="2"/>
        <v>233.18718762969866</v>
      </c>
      <c r="T16" s="167">
        <f t="shared" si="2"/>
        <v>232.48</v>
      </c>
    </row>
    <row r="17" spans="1:20" x14ac:dyDescent="0.25">
      <c r="E17" s="164"/>
      <c r="F17" s="164"/>
      <c r="G17" s="164"/>
      <c r="H17" s="164"/>
      <c r="I17" s="164"/>
      <c r="J17" s="164"/>
      <c r="K17" s="164"/>
      <c r="L17" s="164"/>
      <c r="M17" s="164"/>
      <c r="N17" s="164"/>
      <c r="O17" s="164"/>
      <c r="P17" s="164"/>
      <c r="Q17" s="164"/>
      <c r="R17" s="164"/>
      <c r="S17" s="164"/>
      <c r="T17" s="164"/>
    </row>
    <row r="18" spans="1:20" s="3" customFormat="1" x14ac:dyDescent="0.25">
      <c r="B18" s="43" t="s">
        <v>365</v>
      </c>
      <c r="C18" s="182"/>
      <c r="D18" s="156">
        <f>+D7+D16</f>
        <v>0</v>
      </c>
      <c r="E18" s="156">
        <f t="shared" ref="E18:T18" si="3">+E7+E16</f>
        <v>407.47536039406054</v>
      </c>
      <c r="F18" s="156">
        <f t="shared" si="3"/>
        <v>232.8997008303318</v>
      </c>
      <c r="G18" s="156">
        <f t="shared" si="3"/>
        <v>232.91745301209596</v>
      </c>
      <c r="H18" s="156">
        <f t="shared" si="3"/>
        <v>232.93597313004378</v>
      </c>
      <c r="I18" s="156">
        <f t="shared" si="3"/>
        <v>232.95529537255734</v>
      </c>
      <c r="J18" s="156">
        <f t="shared" si="3"/>
        <v>232.97545550381017</v>
      </c>
      <c r="K18" s="156">
        <f t="shared" si="3"/>
        <v>232.99649093929418</v>
      </c>
      <c r="L18" s="156">
        <f t="shared" si="3"/>
        <v>233.01844082511741</v>
      </c>
      <c r="M18" s="156">
        <f t="shared" si="3"/>
        <v>233.04134612126862</v>
      </c>
      <c r="N18" s="156">
        <f t="shared" si="3"/>
        <v>233.0652496890547</v>
      </c>
      <c r="O18" s="156">
        <f t="shared" si="3"/>
        <v>233.07888805021318</v>
      </c>
      <c r="P18" s="156">
        <f t="shared" si="3"/>
        <v>233.10447248091182</v>
      </c>
      <c r="Q18" s="156">
        <f t="shared" si="3"/>
        <v>233.13117802335984</v>
      </c>
      <c r="R18" s="156">
        <f t="shared" si="3"/>
        <v>233.15814026519638</v>
      </c>
      <c r="S18" s="156">
        <f t="shared" si="3"/>
        <v>233.18718762969866</v>
      </c>
      <c r="T18" s="156">
        <f t="shared" si="3"/>
        <v>232.48</v>
      </c>
    </row>
    <row r="20" spans="1:20" x14ac:dyDescent="0.25">
      <c r="A20" s="3"/>
      <c r="B20" s="43" t="s">
        <v>81</v>
      </c>
      <c r="C20" s="182"/>
    </row>
    <row r="21" spans="1:20" s="3" customFormat="1" x14ac:dyDescent="0.25">
      <c r="B21" s="43" t="s">
        <v>366</v>
      </c>
      <c r="C21" s="182"/>
      <c r="D21" s="156">
        <f>'p&amp;l S1'!D51</f>
        <v>0</v>
      </c>
      <c r="E21" s="156">
        <f>'p&amp;l S1'!E51</f>
        <v>131.21409</v>
      </c>
      <c r="F21" s="156">
        <f>'p&amp;l S1'!F51/1000</f>
        <v>0.13777479449999999</v>
      </c>
      <c r="G21" s="156">
        <f>'p&amp;l S1'!G51/1000</f>
        <v>0.144663534225</v>
      </c>
      <c r="H21" s="156">
        <f>'p&amp;l S1'!H51/1000</f>
        <v>0.15189671093625001</v>
      </c>
      <c r="I21" s="156">
        <f>'p&amp;l S1'!I51/1000</f>
        <v>0.15949154648306252</v>
      </c>
      <c r="J21" s="156">
        <f>'p&amp;l S1'!J51/1000</f>
        <v>0.16746612380721568</v>
      </c>
      <c r="K21" s="156">
        <f>'p&amp;l S1'!K51/1000</f>
        <v>0.17583942999757646</v>
      </c>
      <c r="L21" s="156">
        <f>'p&amp;l S1'!L51/1000</f>
        <v>0.1846314014974553</v>
      </c>
      <c r="M21" s="156">
        <f>'p&amp;l S1'!M51/1000</f>
        <v>0.19386297157232807</v>
      </c>
      <c r="N21" s="156">
        <f>'p&amp;l S1'!N51/1000</f>
        <v>0.20355612015094451</v>
      </c>
      <c r="O21" s="156">
        <f>'p&amp;l S1'!O51/1000</f>
        <v>0.21373392615849171</v>
      </c>
      <c r="P21" s="156">
        <f>'p&amp;l S1'!P51/1000</f>
        <v>0.22442062246641628</v>
      </c>
      <c r="Q21" s="156">
        <f>'p&amp;l S1'!Q51/1000</f>
        <v>0.23564165358973715</v>
      </c>
      <c r="R21" s="156">
        <f>'p&amp;l S1'!R51/1000</f>
        <v>0.24742373626922404</v>
      </c>
      <c r="S21" s="156">
        <f>'p&amp;l S1'!S51/1000</f>
        <v>0.2597949230826852</v>
      </c>
      <c r="T21" s="156">
        <f>'p&amp;l S1'!T51/1000</f>
        <v>0</v>
      </c>
    </row>
    <row r="23" spans="1:20" s="124" customFormat="1" x14ac:dyDescent="0.25">
      <c r="B23" s="179" t="s">
        <v>268</v>
      </c>
      <c r="C23" s="182"/>
      <c r="D23" s="126">
        <f t="shared" ref="D23:T23" si="4">D21-D18</f>
        <v>0</v>
      </c>
      <c r="E23" s="126">
        <f t="shared" si="4"/>
        <v>-276.26127039406055</v>
      </c>
      <c r="F23" s="126">
        <f t="shared" si="4"/>
        <v>-232.76192603583181</v>
      </c>
      <c r="G23" s="126">
        <f t="shared" si="4"/>
        <v>-232.77278947787096</v>
      </c>
      <c r="H23" s="126">
        <f t="shared" si="4"/>
        <v>-232.78407641910752</v>
      </c>
      <c r="I23" s="126">
        <f t="shared" si="4"/>
        <v>-232.79580382607429</v>
      </c>
      <c r="J23" s="126">
        <f t="shared" si="4"/>
        <v>-232.80798938000297</v>
      </c>
      <c r="K23" s="126">
        <f t="shared" si="4"/>
        <v>-232.8206515092966</v>
      </c>
      <c r="L23" s="126">
        <f t="shared" si="4"/>
        <v>-232.83380942361995</v>
      </c>
      <c r="M23" s="126">
        <f t="shared" si="4"/>
        <v>-232.8474831496963</v>
      </c>
      <c r="N23" s="126">
        <f t="shared" si="4"/>
        <v>-232.86169356890375</v>
      </c>
      <c r="O23" s="126">
        <f t="shared" si="4"/>
        <v>-232.8651541240547</v>
      </c>
      <c r="P23" s="126">
        <f t="shared" si="4"/>
        <v>-232.8800518584454</v>
      </c>
      <c r="Q23" s="126">
        <f t="shared" si="4"/>
        <v>-232.8955363697701</v>
      </c>
      <c r="R23" s="126">
        <f t="shared" si="4"/>
        <v>-232.91071652892717</v>
      </c>
      <c r="S23" s="126">
        <f t="shared" si="4"/>
        <v>-232.92739270661596</v>
      </c>
      <c r="T23" s="126">
        <f t="shared" si="4"/>
        <v>-232.48</v>
      </c>
    </row>
    <row r="24" spans="1:20" s="124" customFormat="1" x14ac:dyDescent="0.25">
      <c r="B24" s="179" t="s">
        <v>269</v>
      </c>
      <c r="C24" s="182"/>
      <c r="D24" s="126">
        <f>D23</f>
        <v>0</v>
      </c>
      <c r="E24" s="126">
        <f>D24+E23</f>
        <v>-276.26127039406055</v>
      </c>
      <c r="F24" s="126">
        <f>E24+F23</f>
        <v>-509.02319642989232</v>
      </c>
      <c r="G24" s="126">
        <f t="shared" ref="G24:T24" si="5">F24+G23</f>
        <v>-741.79598590776322</v>
      </c>
      <c r="H24" s="126">
        <f t="shared" si="5"/>
        <v>-974.5800623268708</v>
      </c>
      <c r="I24" s="126">
        <f t="shared" si="5"/>
        <v>-1207.375866152945</v>
      </c>
      <c r="J24" s="126">
        <f t="shared" si="5"/>
        <v>-1440.183855532948</v>
      </c>
      <c r="K24" s="126">
        <f t="shared" si="5"/>
        <v>-1673.0045070422445</v>
      </c>
      <c r="L24" s="126">
        <f t="shared" si="5"/>
        <v>-1905.8383164658644</v>
      </c>
      <c r="M24" s="126">
        <f t="shared" si="5"/>
        <v>-2138.6857996155609</v>
      </c>
      <c r="N24" s="126">
        <f t="shared" si="5"/>
        <v>-2371.5474931844647</v>
      </c>
      <c r="O24" s="126">
        <f t="shared" si="5"/>
        <v>-2604.4126473085194</v>
      </c>
      <c r="P24" s="126">
        <f t="shared" si="5"/>
        <v>-2837.2926991669647</v>
      </c>
      <c r="Q24" s="126">
        <f t="shared" si="5"/>
        <v>-3070.1882355367347</v>
      </c>
      <c r="R24" s="126">
        <f t="shared" si="5"/>
        <v>-3303.0989520656617</v>
      </c>
      <c r="S24" s="126">
        <f t="shared" si="5"/>
        <v>-3536.0263447722778</v>
      </c>
      <c r="T24" s="126">
        <f t="shared" si="5"/>
        <v>-3768.5063447722778</v>
      </c>
    </row>
    <row r="26" spans="1:20" s="186" customFormat="1" x14ac:dyDescent="0.25">
      <c r="B26" s="180" t="s">
        <v>277</v>
      </c>
      <c r="C26" s="182">
        <f>C31</f>
        <v>0.05</v>
      </c>
      <c r="D26" s="166"/>
      <c r="E26" s="186">
        <f>105%</f>
        <v>1.05</v>
      </c>
      <c r="F26" s="186">
        <f t="shared" ref="F26:T26" si="6">E26*105%</f>
        <v>1.1025</v>
      </c>
      <c r="G26" s="186">
        <f t="shared" si="6"/>
        <v>1.1576250000000001</v>
      </c>
      <c r="H26" s="186">
        <f t="shared" si="6"/>
        <v>1.2155062500000002</v>
      </c>
      <c r="I26" s="186">
        <f t="shared" si="6"/>
        <v>1.2762815625000004</v>
      </c>
      <c r="J26" s="186">
        <f t="shared" si="6"/>
        <v>1.3400956406250004</v>
      </c>
      <c r="K26" s="186">
        <f t="shared" si="6"/>
        <v>1.4071004226562505</v>
      </c>
      <c r="L26" s="186">
        <f t="shared" si="6"/>
        <v>1.477455443789063</v>
      </c>
      <c r="M26" s="186">
        <f t="shared" si="6"/>
        <v>1.5513282159785162</v>
      </c>
      <c r="N26" s="186">
        <f t="shared" si="6"/>
        <v>1.628894626777442</v>
      </c>
      <c r="O26" s="186">
        <f t="shared" si="6"/>
        <v>1.7103393581163142</v>
      </c>
      <c r="P26" s="186">
        <f t="shared" si="6"/>
        <v>1.7958563260221301</v>
      </c>
      <c r="Q26" s="186">
        <f t="shared" si="6"/>
        <v>1.8856491423232367</v>
      </c>
      <c r="R26" s="186">
        <f t="shared" si="6"/>
        <v>1.9799315994393987</v>
      </c>
      <c r="S26" s="186">
        <f t="shared" si="6"/>
        <v>2.0789281794113688</v>
      </c>
      <c r="T26" s="186">
        <f t="shared" si="6"/>
        <v>2.1828745883819374</v>
      </c>
    </row>
    <row r="27" spans="1:20" s="241" customFormat="1" x14ac:dyDescent="0.25">
      <c r="B27" s="243" t="s">
        <v>369</v>
      </c>
      <c r="C27" s="183"/>
      <c r="D27" s="168"/>
      <c r="E27" s="242">
        <f t="shared" ref="E27:T27" si="7">1/E26</f>
        <v>0.95238095238095233</v>
      </c>
      <c r="F27" s="242">
        <f t="shared" si="7"/>
        <v>0.90702947845804982</v>
      </c>
      <c r="G27" s="242">
        <f t="shared" si="7"/>
        <v>0.86383759853147601</v>
      </c>
      <c r="H27" s="242">
        <f t="shared" si="7"/>
        <v>0.82270247479188185</v>
      </c>
      <c r="I27" s="242">
        <f t="shared" si="7"/>
        <v>0.78352616646845885</v>
      </c>
      <c r="J27" s="242">
        <f t="shared" si="7"/>
        <v>0.74621539663662739</v>
      </c>
      <c r="K27" s="242">
        <f t="shared" si="7"/>
        <v>0.71068133013012136</v>
      </c>
      <c r="L27" s="242">
        <f t="shared" si="7"/>
        <v>0.676839362028687</v>
      </c>
      <c r="M27" s="242">
        <f t="shared" si="7"/>
        <v>0.64460891621779715</v>
      </c>
      <c r="N27" s="242">
        <f t="shared" si="7"/>
        <v>0.6139132535407591</v>
      </c>
      <c r="O27" s="242">
        <f t="shared" si="7"/>
        <v>0.58467928908643729</v>
      </c>
      <c r="P27" s="242">
        <f t="shared" si="7"/>
        <v>0.55683741817755927</v>
      </c>
      <c r="Q27" s="242">
        <f t="shared" si="7"/>
        <v>0.53032135064529451</v>
      </c>
      <c r="R27" s="242">
        <f t="shared" si="7"/>
        <v>0.50506795299551854</v>
      </c>
      <c r="S27" s="242">
        <f t="shared" si="7"/>
        <v>0.48101709809096999</v>
      </c>
      <c r="T27" s="242">
        <f t="shared" si="7"/>
        <v>0.45811152199139993</v>
      </c>
    </row>
    <row r="28" spans="1:20" s="124" customFormat="1" ht="15.75" x14ac:dyDescent="0.25">
      <c r="B28" s="248" t="s">
        <v>280</v>
      </c>
      <c r="C28" s="187"/>
      <c r="D28" s="188"/>
      <c r="E28" s="124">
        <f>E23</f>
        <v>-276.26127039406055</v>
      </c>
      <c r="F28" s="124">
        <f t="shared" ref="F28:T28" si="8">F23/F26</f>
        <v>-211.12192837717171</v>
      </c>
      <c r="G28" s="124">
        <f t="shared" si="8"/>
        <v>-201.07788746603688</v>
      </c>
      <c r="H28" s="124">
        <f t="shared" si="8"/>
        <v>-191.51203576214229</v>
      </c>
      <c r="I28" s="124">
        <f t="shared" si="8"/>
        <v>-182.40160374178737</v>
      </c>
      <c r="J28" s="124">
        <f t="shared" si="8"/>
        <v>-173.72490613537465</v>
      </c>
      <c r="K28" s="124">
        <f t="shared" si="8"/>
        <v>-165.46129029638834</v>
      </c>
      <c r="L28" s="124">
        <f t="shared" si="8"/>
        <v>-157.59108702899181</v>
      </c>
      <c r="M28" s="124">
        <f t="shared" si="8"/>
        <v>-150.0955637571675</v>
      </c>
      <c r="N28" s="124">
        <f t="shared" si="8"/>
        <v>-142.95687992389696</v>
      </c>
      <c r="O28" s="124">
        <f t="shared" si="8"/>
        <v>-136.15143276625594</v>
      </c>
      <c r="P28" s="124">
        <f t="shared" si="8"/>
        <v>-129.67632682191285</v>
      </c>
      <c r="Q28" s="124">
        <f t="shared" si="8"/>
        <v>-123.50947540687679</v>
      </c>
      <c r="R28" s="124">
        <f t="shared" si="8"/>
        <v>-117.63573882798472</v>
      </c>
      <c r="S28" s="124">
        <f t="shared" si="8"/>
        <v>-112.04205850563217</v>
      </c>
      <c r="T28" s="124">
        <f t="shared" si="8"/>
        <v>-106.50176663256066</v>
      </c>
    </row>
    <row r="29" spans="1:20" s="124" customFormat="1" x14ac:dyDescent="0.25">
      <c r="B29" s="179" t="s">
        <v>281</v>
      </c>
      <c r="C29" s="187"/>
      <c r="D29" s="188">
        <f>D28</f>
        <v>0</v>
      </c>
      <c r="E29" s="124">
        <f t="shared" ref="E29:T29" si="9">D29+E28</f>
        <v>-276.26127039406055</v>
      </c>
      <c r="F29" s="124">
        <f t="shared" si="9"/>
        <v>-487.38319877123229</v>
      </c>
      <c r="G29" s="124">
        <f t="shared" si="9"/>
        <v>-688.46108623726923</v>
      </c>
      <c r="H29" s="124">
        <f t="shared" si="9"/>
        <v>-879.97312199941155</v>
      </c>
      <c r="I29" s="124">
        <f t="shared" si="9"/>
        <v>-1062.374725741199</v>
      </c>
      <c r="J29" s="124">
        <f t="shared" si="9"/>
        <v>-1236.0996318765735</v>
      </c>
      <c r="K29" s="124">
        <f t="shared" si="9"/>
        <v>-1401.5609221729619</v>
      </c>
      <c r="L29" s="124">
        <f t="shared" si="9"/>
        <v>-1559.1520092019537</v>
      </c>
      <c r="M29" s="124">
        <f t="shared" si="9"/>
        <v>-1709.247572959121</v>
      </c>
      <c r="N29" s="124">
        <f t="shared" si="9"/>
        <v>-1852.2044528830179</v>
      </c>
      <c r="O29" s="124">
        <f t="shared" si="9"/>
        <v>-1988.3558856492739</v>
      </c>
      <c r="P29" s="124">
        <f t="shared" si="9"/>
        <v>-2118.0322124711865</v>
      </c>
      <c r="Q29" s="124">
        <f t="shared" si="9"/>
        <v>-2241.5416878780634</v>
      </c>
      <c r="R29" s="124">
        <f t="shared" si="9"/>
        <v>-2359.1774267060482</v>
      </c>
      <c r="S29" s="124">
        <f t="shared" si="9"/>
        <v>-2471.2194852116804</v>
      </c>
      <c r="T29" s="124">
        <f t="shared" si="9"/>
        <v>-2577.7212518442411</v>
      </c>
    </row>
    <row r="31" spans="1:20" x14ac:dyDescent="0.25">
      <c r="B31" s="180" t="s">
        <v>277</v>
      </c>
      <c r="C31" s="182">
        <f>C32+C33</f>
        <v>0.05</v>
      </c>
    </row>
    <row r="32" spans="1:20" x14ac:dyDescent="0.25">
      <c r="B32" s="162" t="s">
        <v>278</v>
      </c>
      <c r="C32" s="184">
        <v>0.03</v>
      </c>
    </row>
    <row r="33" spans="1:21" x14ac:dyDescent="0.25">
      <c r="B33" s="162" t="s">
        <v>279</v>
      </c>
      <c r="C33" s="184">
        <v>0.02</v>
      </c>
    </row>
    <row r="34" spans="1:21" x14ac:dyDescent="0.25">
      <c r="B34" s="43" t="s">
        <v>367</v>
      </c>
    </row>
    <row r="36" spans="1:21" ht="15.75" x14ac:dyDescent="0.25">
      <c r="A36" s="244" t="s">
        <v>357</v>
      </c>
      <c r="D36" s="149" t="s">
        <v>254</v>
      </c>
      <c r="E36" s="149" t="s">
        <v>239</v>
      </c>
      <c r="F36" s="176" t="s">
        <v>240</v>
      </c>
      <c r="G36" s="176" t="s">
        <v>241</v>
      </c>
      <c r="H36" s="176" t="s">
        <v>242</v>
      </c>
      <c r="I36" s="176" t="s">
        <v>243</v>
      </c>
      <c r="J36" s="176" t="s">
        <v>244</v>
      </c>
      <c r="K36" s="176" t="s">
        <v>245</v>
      </c>
      <c r="L36" s="176" t="s">
        <v>246</v>
      </c>
      <c r="M36" s="176" t="s">
        <v>247</v>
      </c>
      <c r="N36" s="176" t="s">
        <v>248</v>
      </c>
      <c r="O36" s="176" t="s">
        <v>249</v>
      </c>
      <c r="P36" s="176" t="s">
        <v>250</v>
      </c>
      <c r="Q36" s="176" t="s">
        <v>251</v>
      </c>
      <c r="R36" s="176" t="s">
        <v>252</v>
      </c>
      <c r="S36" s="176" t="s">
        <v>253</v>
      </c>
      <c r="T36" s="176" t="s">
        <v>256</v>
      </c>
    </row>
    <row r="37" spans="1:21" s="173" customFormat="1" ht="18.75" x14ac:dyDescent="0.3">
      <c r="A37" s="246" t="s">
        <v>371</v>
      </c>
      <c r="B37" s="174"/>
      <c r="C37" s="182"/>
      <c r="D37" s="175">
        <v>2020</v>
      </c>
      <c r="E37" s="175">
        <v>2021</v>
      </c>
      <c r="F37" s="175">
        <v>2022</v>
      </c>
      <c r="G37" s="175">
        <v>2023</v>
      </c>
      <c r="H37" s="175">
        <v>2024</v>
      </c>
      <c r="I37" s="175">
        <v>2025</v>
      </c>
      <c r="J37" s="175">
        <v>2026</v>
      </c>
      <c r="K37" s="175">
        <v>2027</v>
      </c>
      <c r="L37" s="175">
        <v>2028</v>
      </c>
      <c r="M37" s="175">
        <v>2029</v>
      </c>
      <c r="N37" s="175">
        <v>2030</v>
      </c>
      <c r="O37" s="175">
        <v>2031</v>
      </c>
      <c r="P37" s="175">
        <v>2032</v>
      </c>
      <c r="Q37" s="175">
        <v>2033</v>
      </c>
      <c r="R37" s="175">
        <v>2034</v>
      </c>
      <c r="S37" s="175">
        <v>2035</v>
      </c>
      <c r="T37" s="175">
        <v>2036</v>
      </c>
    </row>
    <row r="38" spans="1:21" s="169" customFormat="1" x14ac:dyDescent="0.25">
      <c r="B38" s="172" t="s">
        <v>274</v>
      </c>
      <c r="C38" s="183"/>
      <c r="D38" s="168"/>
      <c r="E38" s="177">
        <v>1.04</v>
      </c>
      <c r="F38" s="177">
        <v>1.04</v>
      </c>
      <c r="G38" s="177">
        <f>F38</f>
        <v>1.04</v>
      </c>
      <c r="H38" s="177">
        <f t="shared" ref="H38:T40" si="10">G38</f>
        <v>1.04</v>
      </c>
      <c r="I38" s="177">
        <f t="shared" si="10"/>
        <v>1.04</v>
      </c>
      <c r="J38" s="177">
        <f t="shared" si="10"/>
        <v>1.04</v>
      </c>
      <c r="K38" s="177">
        <f t="shared" si="10"/>
        <v>1.04</v>
      </c>
      <c r="L38" s="177">
        <f t="shared" si="10"/>
        <v>1.04</v>
      </c>
      <c r="M38" s="177">
        <f t="shared" si="10"/>
        <v>1.04</v>
      </c>
      <c r="N38" s="177">
        <f t="shared" si="10"/>
        <v>1.04</v>
      </c>
      <c r="O38" s="177">
        <f t="shared" si="10"/>
        <v>1.04</v>
      </c>
      <c r="P38" s="177">
        <f t="shared" si="10"/>
        <v>1.04</v>
      </c>
      <c r="Q38" s="177">
        <f t="shared" si="10"/>
        <v>1.04</v>
      </c>
      <c r="R38" s="177">
        <f t="shared" si="10"/>
        <v>1.04</v>
      </c>
      <c r="S38" s="177">
        <f t="shared" si="10"/>
        <v>1.04</v>
      </c>
      <c r="T38" s="177">
        <f t="shared" si="10"/>
        <v>1.04</v>
      </c>
    </row>
    <row r="39" spans="1:21" s="169" customFormat="1" x14ac:dyDescent="0.25">
      <c r="B39" s="172" t="s">
        <v>275</v>
      </c>
      <c r="C39" s="183"/>
      <c r="D39" s="168"/>
      <c r="E39" s="177">
        <v>1.06</v>
      </c>
      <c r="F39" s="177">
        <v>1.06</v>
      </c>
      <c r="G39" s="177">
        <f>F39</f>
        <v>1.06</v>
      </c>
      <c r="H39" s="177">
        <f t="shared" si="10"/>
        <v>1.06</v>
      </c>
      <c r="I39" s="177">
        <f t="shared" si="10"/>
        <v>1.06</v>
      </c>
      <c r="J39" s="177">
        <f t="shared" si="10"/>
        <v>1.06</v>
      </c>
      <c r="K39" s="177">
        <f t="shared" si="10"/>
        <v>1.06</v>
      </c>
      <c r="L39" s="177">
        <f t="shared" si="10"/>
        <v>1.06</v>
      </c>
      <c r="M39" s="177">
        <f t="shared" si="10"/>
        <v>1.06</v>
      </c>
      <c r="N39" s="177">
        <f t="shared" si="10"/>
        <v>1.06</v>
      </c>
      <c r="O39" s="177">
        <f t="shared" si="10"/>
        <v>1.06</v>
      </c>
      <c r="P39" s="177">
        <f t="shared" si="10"/>
        <v>1.06</v>
      </c>
      <c r="Q39" s="177">
        <f t="shared" si="10"/>
        <v>1.06</v>
      </c>
      <c r="R39" s="177">
        <f t="shared" si="10"/>
        <v>1.06</v>
      </c>
      <c r="S39" s="177">
        <f t="shared" si="10"/>
        <v>1.06</v>
      </c>
      <c r="T39" s="177">
        <f t="shared" si="10"/>
        <v>1.06</v>
      </c>
    </row>
    <row r="40" spans="1:21" s="169" customFormat="1" x14ac:dyDescent="0.25">
      <c r="B40" s="172" t="s">
        <v>273</v>
      </c>
      <c r="C40" s="183"/>
      <c r="D40" s="168"/>
      <c r="E40" s="177">
        <v>1.05</v>
      </c>
      <c r="F40" s="177">
        <v>1.05</v>
      </c>
      <c r="G40" s="177">
        <f>F40</f>
        <v>1.05</v>
      </c>
      <c r="H40" s="177">
        <f t="shared" si="10"/>
        <v>1.05</v>
      </c>
      <c r="I40" s="177">
        <f t="shared" si="10"/>
        <v>1.05</v>
      </c>
      <c r="J40" s="177">
        <f t="shared" si="10"/>
        <v>1.05</v>
      </c>
      <c r="K40" s="177">
        <f t="shared" si="10"/>
        <v>1.05</v>
      </c>
      <c r="L40" s="177">
        <f t="shared" si="10"/>
        <v>1.05</v>
      </c>
      <c r="M40" s="177">
        <f t="shared" si="10"/>
        <v>1.05</v>
      </c>
      <c r="N40" s="177">
        <f t="shared" si="10"/>
        <v>1.05</v>
      </c>
      <c r="O40" s="177">
        <f t="shared" si="10"/>
        <v>1.05</v>
      </c>
      <c r="P40" s="177">
        <f t="shared" si="10"/>
        <v>1.05</v>
      </c>
      <c r="Q40" s="177">
        <f t="shared" si="10"/>
        <v>1.05</v>
      </c>
      <c r="R40" s="177">
        <f t="shared" si="10"/>
        <v>1.05</v>
      </c>
      <c r="S40" s="177">
        <f t="shared" si="10"/>
        <v>1.05</v>
      </c>
      <c r="T40" s="177">
        <f t="shared" si="10"/>
        <v>1.05</v>
      </c>
    </row>
    <row r="41" spans="1:21" s="169" customFormat="1" x14ac:dyDescent="0.25">
      <c r="B41" s="172"/>
      <c r="C41" s="183"/>
      <c r="D41" s="168"/>
      <c r="E41" s="177"/>
      <c r="F41" s="177"/>
      <c r="G41" s="177"/>
      <c r="H41" s="177"/>
      <c r="I41" s="177"/>
      <c r="J41" s="177"/>
      <c r="K41" s="177"/>
      <c r="L41" s="177"/>
      <c r="M41" s="177"/>
      <c r="N41" s="177"/>
      <c r="O41" s="177"/>
      <c r="P41" s="177"/>
      <c r="Q41" s="177"/>
      <c r="R41" s="177"/>
      <c r="S41" s="177"/>
      <c r="T41" s="177"/>
    </row>
    <row r="42" spans="1:21" x14ac:dyDescent="0.25">
      <c r="B42" s="43" t="s">
        <v>276</v>
      </c>
      <c r="C42" s="182"/>
      <c r="D42" s="142">
        <f>'p&amp;l S2'!D13</f>
        <v>0</v>
      </c>
      <c r="E42" s="142">
        <f>'p&amp;l S2'!E13</f>
        <v>4.4858799999999999</v>
      </c>
      <c r="F42" s="142">
        <f>'p&amp;l S2'!F13</f>
        <v>0</v>
      </c>
      <c r="G42" s="142">
        <f>'p&amp;l S2'!G13</f>
        <v>0</v>
      </c>
      <c r="H42" s="142">
        <f>'p&amp;l S2'!H13</f>
        <v>0</v>
      </c>
      <c r="I42" s="142">
        <f>'p&amp;l S2'!I13</f>
        <v>0</v>
      </c>
      <c r="J42" s="142">
        <f>'p&amp;l S2'!J13</f>
        <v>0</v>
      </c>
      <c r="K42" s="142">
        <f>'p&amp;l S2'!K13</f>
        <v>0</v>
      </c>
      <c r="L42" s="142">
        <f>'p&amp;l S2'!L13</f>
        <v>0</v>
      </c>
      <c r="M42" s="142">
        <f>'p&amp;l S2'!M13</f>
        <v>0</v>
      </c>
      <c r="N42" s="142">
        <f>'p&amp;l S2'!N13</f>
        <v>0</v>
      </c>
      <c r="O42" s="142">
        <f>'p&amp;l S2'!O13</f>
        <v>0</v>
      </c>
      <c r="P42" s="142">
        <f>'p&amp;l S2'!P13</f>
        <v>0</v>
      </c>
      <c r="Q42" s="142">
        <f>'p&amp;l S2'!Q13</f>
        <v>0</v>
      </c>
      <c r="R42" s="142">
        <f>'p&amp;l S2'!R13</f>
        <v>0</v>
      </c>
      <c r="S42" s="142">
        <f>'p&amp;l S2'!S13</f>
        <v>0</v>
      </c>
      <c r="T42" s="142">
        <f>'p&amp;l S2'!T13</f>
        <v>0</v>
      </c>
    </row>
    <row r="44" spans="1:21" x14ac:dyDescent="0.25">
      <c r="B44" s="43" t="s">
        <v>129</v>
      </c>
      <c r="C44" s="182"/>
    </row>
    <row r="45" spans="1:21" s="3" customFormat="1" x14ac:dyDescent="0.25">
      <c r="B45" s="43" t="s">
        <v>364</v>
      </c>
      <c r="C45" s="182"/>
      <c r="D45" s="149">
        <f>'p&amp;l S2'!D20</f>
        <v>0</v>
      </c>
      <c r="E45" s="149">
        <f>'p&amp;l S2'!E20</f>
        <v>317.1243216189506</v>
      </c>
      <c r="F45" s="149">
        <f>'p&amp;l S2'!F20/1000</f>
        <v>0.32980929448370866</v>
      </c>
      <c r="G45" s="149">
        <f>'p&amp;l S2'!G20/1000</f>
        <v>0.34300166626305695</v>
      </c>
      <c r="H45" s="149">
        <f>'p&amp;l S2'!H20/1000</f>
        <v>0.35672173291357923</v>
      </c>
      <c r="I45" s="149">
        <f>'p&amp;l S2'!I20/1000</f>
        <v>0.37099060223012237</v>
      </c>
      <c r="J45" s="149">
        <f>'p&amp;l S2'!J20/1000</f>
        <v>0.38583022631932734</v>
      </c>
      <c r="K45" s="149">
        <f>'p&amp;l S2'!K20/1000</f>
        <v>0.40126343537210041</v>
      </c>
      <c r="L45" s="149">
        <f>'p&amp;l S2'!L20/1000</f>
        <v>0.41731397278698446</v>
      </c>
      <c r="M45" s="149">
        <f>'p&amp;l S2'!M20/1000</f>
        <v>0.43400653169846387</v>
      </c>
      <c r="N45" s="149">
        <f>'p&amp;l S2'!N20/1000</f>
        <v>0.45136679296640236</v>
      </c>
      <c r="O45" s="149">
        <f>'p&amp;l S2'!O20/1000</f>
        <v>0.46942146468505846</v>
      </c>
      <c r="P45" s="149">
        <f>'p&amp;l S2'!P20/1000</f>
        <v>0.48819832327246082</v>
      </c>
      <c r="Q45" s="149">
        <f>'p&amp;l S2'!Q20/1000</f>
        <v>0.50772625620335932</v>
      </c>
      <c r="R45" s="149">
        <f>'p&amp;l S2'!R20/1000</f>
        <v>0.52803530645149366</v>
      </c>
      <c r="S45" s="149">
        <f>'p&amp;l S2'!S20/1000</f>
        <v>0.5491567187095534</v>
      </c>
      <c r="T45" s="149">
        <f>'p&amp;l S2'!T20/1000</f>
        <v>0</v>
      </c>
    </row>
    <row r="46" spans="1:21" x14ac:dyDescent="0.25">
      <c r="E46" s="141"/>
    </row>
    <row r="47" spans="1:21" x14ac:dyDescent="0.25">
      <c r="B47" s="43" t="s">
        <v>225</v>
      </c>
      <c r="C47" s="182"/>
      <c r="E47" s="149"/>
    </row>
    <row r="48" spans="1:21" s="3" customFormat="1" x14ac:dyDescent="0.25">
      <c r="B48" s="43" t="s">
        <v>229</v>
      </c>
      <c r="C48" s="182"/>
      <c r="D48" s="142">
        <f>'p&amp;l S2'!D32</f>
        <v>0</v>
      </c>
      <c r="E48" s="142">
        <f>'p&amp;l S2'!E32</f>
        <v>53.423789799517067</v>
      </c>
      <c r="F48" s="142">
        <f>'p&amp;l S2'!F32/1000</f>
        <v>232.53615251211346</v>
      </c>
      <c r="G48" s="142">
        <f>'p&amp;l S2'!G32/1000</f>
        <v>232.53936276114891</v>
      </c>
      <c r="H48" s="142">
        <f>'p&amp;l S2'!H32/1000</f>
        <v>232.54275926905885</v>
      </c>
      <c r="I48" s="142">
        <f>'p&amp;l S2'!I32/1000</f>
        <v>232.54635295713302</v>
      </c>
      <c r="J48" s="142">
        <f>'p&amp;l S2'!J32/1000</f>
        <v>232.55015539176887</v>
      </c>
      <c r="K48" s="142">
        <f>'p&amp;l S2'!K32/1000</f>
        <v>232.55417882277121</v>
      </c>
      <c r="L48" s="142">
        <f>'p&amp;l S2'!L32/1000</f>
        <v>232.55843622393351</v>
      </c>
      <c r="M48" s="142">
        <f>'p&amp;l S2'!M32/1000</f>
        <v>232.5629413360374</v>
      </c>
      <c r="N48" s="142">
        <f>'p&amp;l S2'!N32/1000</f>
        <v>232.5677087124142</v>
      </c>
      <c r="O48" s="142">
        <f>'p&amp;l S2'!O32/1000</f>
        <v>232.56144543450705</v>
      </c>
      <c r="P48" s="142">
        <f>'p&amp;l S2'!P32/1000</f>
        <v>232.56633216057747</v>
      </c>
      <c r="Q48" s="142">
        <f>'p&amp;l S2'!Q32/1000</f>
        <v>232.57151209021211</v>
      </c>
      <c r="R48" s="142">
        <f>'p&amp;l S2'!R32/1000</f>
        <v>232.57608769472273</v>
      </c>
      <c r="S48" s="142">
        <f>'p&amp;l S2'!S32/1000</f>
        <v>232.58185295640607</v>
      </c>
      <c r="T48" s="142">
        <f>'p&amp;l S2'!T32/1000</f>
        <v>232.48</v>
      </c>
      <c r="U48" s="142"/>
    </row>
    <row r="49" spans="1:21" s="3" customFormat="1" x14ac:dyDescent="0.25">
      <c r="B49" s="43" t="s">
        <v>232</v>
      </c>
      <c r="C49" s="182"/>
      <c r="D49" s="156">
        <f t="shared" ref="D49:T49" si="11">D45+D48</f>
        <v>0</v>
      </c>
      <c r="E49" s="156">
        <f t="shared" si="11"/>
        <v>370.54811141846767</v>
      </c>
      <c r="F49" s="156">
        <f t="shared" si="11"/>
        <v>232.86596180659717</v>
      </c>
      <c r="G49" s="156">
        <f t="shared" si="11"/>
        <v>232.88236442741197</v>
      </c>
      <c r="H49" s="156">
        <f t="shared" si="11"/>
        <v>232.89948100197242</v>
      </c>
      <c r="I49" s="156">
        <f t="shared" si="11"/>
        <v>232.91734355936313</v>
      </c>
      <c r="J49" s="156">
        <f t="shared" si="11"/>
        <v>232.93598561808818</v>
      </c>
      <c r="K49" s="156">
        <f t="shared" si="11"/>
        <v>232.95544225814331</v>
      </c>
      <c r="L49" s="156">
        <f t="shared" si="11"/>
        <v>232.9757501967205</v>
      </c>
      <c r="M49" s="156">
        <f t="shared" si="11"/>
        <v>232.99694786773586</v>
      </c>
      <c r="N49" s="156">
        <f t="shared" si="11"/>
        <v>233.01907550538061</v>
      </c>
      <c r="O49" s="156">
        <f t="shared" si="11"/>
        <v>233.03086689919212</v>
      </c>
      <c r="P49" s="156">
        <f t="shared" si="11"/>
        <v>233.05453048384993</v>
      </c>
      <c r="Q49" s="156">
        <f t="shared" si="11"/>
        <v>233.07923834641548</v>
      </c>
      <c r="R49" s="156">
        <f t="shared" si="11"/>
        <v>233.10412300117423</v>
      </c>
      <c r="S49" s="156">
        <f t="shared" si="11"/>
        <v>233.13100967511562</v>
      </c>
      <c r="T49" s="156">
        <f t="shared" si="11"/>
        <v>232.48</v>
      </c>
      <c r="U49" s="156"/>
    </row>
    <row r="50" spans="1:21" x14ac:dyDescent="0.25">
      <c r="B50" s="43"/>
      <c r="C50" s="182"/>
    </row>
    <row r="51" spans="1:21" ht="18.75" x14ac:dyDescent="0.3">
      <c r="B51" s="163" t="s">
        <v>234</v>
      </c>
      <c r="C51" s="185"/>
      <c r="E51" s="149"/>
    </row>
    <row r="52" spans="1:21" s="3" customFormat="1" x14ac:dyDescent="0.25">
      <c r="B52" s="43" t="s">
        <v>233</v>
      </c>
      <c r="C52" s="182"/>
      <c r="D52" s="156">
        <f>'p&amp;l S2'!D41</f>
        <v>0</v>
      </c>
      <c r="E52" s="156">
        <f>'p&amp;l S2'!E41</f>
        <v>32.441368975592852</v>
      </c>
      <c r="F52" s="156">
        <f>'p&amp;l S2'!F41/1000</f>
        <v>3.3739023734616562E-2</v>
      </c>
      <c r="G52" s="156">
        <f>'p&amp;l S2'!G41/1000</f>
        <v>3.508858468400123E-2</v>
      </c>
      <c r="H52" s="156">
        <f>'p&amp;l S2'!H41/1000</f>
        <v>3.6492128071361277E-2</v>
      </c>
      <c r="I52" s="156">
        <f>'p&amp;l S2'!I41/1000</f>
        <v>3.7951813194215728E-2</v>
      </c>
      <c r="J52" s="156">
        <f>'p&amp;l S2'!J41/1000</f>
        <v>3.9469885721984364E-2</v>
      </c>
      <c r="K52" s="156">
        <f>'p&amp;l S2'!K41/1000</f>
        <v>4.1048681150863735E-2</v>
      </c>
      <c r="L52" s="156">
        <f>'p&amp;l S2'!L41/1000</f>
        <v>4.2690628396898293E-2</v>
      </c>
      <c r="M52" s="156">
        <f>'p&amp;l S2'!M41/1000</f>
        <v>4.4398253532774219E-2</v>
      </c>
      <c r="N52" s="156">
        <f>'p&amp;l S2'!N41/1000</f>
        <v>4.6174183674085198E-2</v>
      </c>
      <c r="O52" s="156">
        <f>'p&amp;l S2'!O41/1000</f>
        <v>4.8021151021048612E-2</v>
      </c>
      <c r="P52" s="156">
        <f>'p&amp;l S2'!P41/1000</f>
        <v>4.9941997061890557E-2</v>
      </c>
      <c r="Q52" s="156">
        <f>'p&amp;l S2'!Q41/1000</f>
        <v>5.1939676944366187E-2</v>
      </c>
      <c r="R52" s="156">
        <f>'p&amp;l S2'!R41/1000</f>
        <v>5.4017264022140826E-2</v>
      </c>
      <c r="S52" s="156">
        <f>'p&amp;l S2'!S41/1000</f>
        <v>5.6177954583026463E-2</v>
      </c>
      <c r="T52" s="156">
        <f>'p&amp;l S2'!T41/1000</f>
        <v>0</v>
      </c>
    </row>
    <row r="53" spans="1:21" x14ac:dyDescent="0.25">
      <c r="B53" s="43" t="s">
        <v>362</v>
      </c>
      <c r="C53" s="182"/>
      <c r="D53" s="167">
        <f t="shared" ref="D53:T53" si="12">D52+D49</f>
        <v>0</v>
      </c>
      <c r="E53" s="167">
        <f t="shared" si="12"/>
        <v>402.98948039406054</v>
      </c>
      <c r="F53" s="167">
        <f t="shared" si="12"/>
        <v>232.8997008303318</v>
      </c>
      <c r="G53" s="167">
        <f t="shared" si="12"/>
        <v>232.91745301209596</v>
      </c>
      <c r="H53" s="167">
        <f t="shared" si="12"/>
        <v>232.93597313004378</v>
      </c>
      <c r="I53" s="167">
        <f t="shared" si="12"/>
        <v>232.95529537255734</v>
      </c>
      <c r="J53" s="167">
        <f t="shared" si="12"/>
        <v>232.97545550381017</v>
      </c>
      <c r="K53" s="167">
        <f t="shared" si="12"/>
        <v>232.99649093929418</v>
      </c>
      <c r="L53" s="167">
        <f t="shared" si="12"/>
        <v>233.01844082511741</v>
      </c>
      <c r="M53" s="167">
        <f t="shared" si="12"/>
        <v>233.04134612126862</v>
      </c>
      <c r="N53" s="167">
        <f t="shared" si="12"/>
        <v>233.0652496890547</v>
      </c>
      <c r="O53" s="167">
        <f t="shared" si="12"/>
        <v>233.07888805021318</v>
      </c>
      <c r="P53" s="167">
        <f t="shared" si="12"/>
        <v>233.10447248091182</v>
      </c>
      <c r="Q53" s="167">
        <f t="shared" si="12"/>
        <v>233.13117802335984</v>
      </c>
      <c r="R53" s="167">
        <f t="shared" si="12"/>
        <v>233.15814026519638</v>
      </c>
      <c r="S53" s="167">
        <f t="shared" si="12"/>
        <v>233.18718762969866</v>
      </c>
      <c r="T53" s="167">
        <f t="shared" si="12"/>
        <v>232.48</v>
      </c>
    </row>
    <row r="55" spans="1:21" s="3" customFormat="1" x14ac:dyDescent="0.25">
      <c r="B55" s="43" t="s">
        <v>365</v>
      </c>
      <c r="C55" s="182"/>
      <c r="D55" s="156">
        <f t="shared" ref="D55:T55" si="13">+D42+D53</f>
        <v>0</v>
      </c>
      <c r="E55" s="156">
        <f t="shared" si="13"/>
        <v>407.47536039406054</v>
      </c>
      <c r="F55" s="156">
        <f t="shared" si="13"/>
        <v>232.8997008303318</v>
      </c>
      <c r="G55" s="156">
        <f t="shared" si="13"/>
        <v>232.91745301209596</v>
      </c>
      <c r="H55" s="156">
        <f t="shared" si="13"/>
        <v>232.93597313004378</v>
      </c>
      <c r="I55" s="156">
        <f t="shared" si="13"/>
        <v>232.95529537255734</v>
      </c>
      <c r="J55" s="156">
        <f t="shared" si="13"/>
        <v>232.97545550381017</v>
      </c>
      <c r="K55" s="156">
        <f t="shared" si="13"/>
        <v>232.99649093929418</v>
      </c>
      <c r="L55" s="156">
        <f t="shared" si="13"/>
        <v>233.01844082511741</v>
      </c>
      <c r="M55" s="156">
        <f t="shared" si="13"/>
        <v>233.04134612126862</v>
      </c>
      <c r="N55" s="156">
        <f t="shared" si="13"/>
        <v>233.0652496890547</v>
      </c>
      <c r="O55" s="156">
        <f t="shared" si="13"/>
        <v>233.07888805021318</v>
      </c>
      <c r="P55" s="156">
        <f t="shared" si="13"/>
        <v>233.10447248091182</v>
      </c>
      <c r="Q55" s="156">
        <f t="shared" si="13"/>
        <v>233.13117802335984</v>
      </c>
      <c r="R55" s="156">
        <f t="shared" si="13"/>
        <v>233.15814026519638</v>
      </c>
      <c r="S55" s="156">
        <f t="shared" si="13"/>
        <v>233.18718762969866</v>
      </c>
      <c r="T55" s="156">
        <f t="shared" si="13"/>
        <v>232.48</v>
      </c>
    </row>
    <row r="57" spans="1:21" x14ac:dyDescent="0.25">
      <c r="A57" s="3"/>
      <c r="B57" s="43" t="s">
        <v>81</v>
      </c>
      <c r="C57" s="182"/>
    </row>
    <row r="58" spans="1:21" s="3" customFormat="1" x14ac:dyDescent="0.25">
      <c r="B58" s="43" t="s">
        <v>363</v>
      </c>
      <c r="C58" s="182"/>
      <c r="D58" s="156">
        <f>'p&amp;l S2'!D51</f>
        <v>0</v>
      </c>
      <c r="E58" s="156">
        <f>'p&amp;l S2'!E51</f>
        <v>131.21409</v>
      </c>
      <c r="F58" s="156">
        <f>'p&amp;l S2'!F51/1000</f>
        <v>0.13777479449999999</v>
      </c>
      <c r="G58" s="156">
        <f>'p&amp;l S2'!G51/1000</f>
        <v>0.144663534225</v>
      </c>
      <c r="H58" s="156">
        <f>'p&amp;l S2'!H51/1000</f>
        <v>0.15189671093625001</v>
      </c>
      <c r="I58" s="156">
        <f>'p&amp;l S2'!I51/1000</f>
        <v>0.15949154648306252</v>
      </c>
      <c r="J58" s="156">
        <f>'p&amp;l S2'!J51/1000</f>
        <v>0.16746612380721568</v>
      </c>
      <c r="K58" s="156">
        <f>'p&amp;l S2'!K51/1000</f>
        <v>0.17583942999757646</v>
      </c>
      <c r="L58" s="156">
        <f>'p&amp;l S2'!L51/1000</f>
        <v>0.1846314014974553</v>
      </c>
      <c r="M58" s="156">
        <f>'p&amp;l S2'!M51/1000</f>
        <v>0.19386297157232807</v>
      </c>
      <c r="N58" s="156">
        <f>'p&amp;l S2'!N51/1000</f>
        <v>0.20355612015094451</v>
      </c>
      <c r="O58" s="156">
        <f>'p&amp;l S2'!O51/1000</f>
        <v>0.21373392615849171</v>
      </c>
      <c r="P58" s="156">
        <f>'p&amp;l S2'!P51/1000</f>
        <v>0.22442062246641628</v>
      </c>
      <c r="Q58" s="156">
        <f>'p&amp;l S2'!Q51/1000</f>
        <v>0.23564165358973715</v>
      </c>
      <c r="R58" s="156">
        <f>'p&amp;l S2'!R51/1000</f>
        <v>0.24742373626922404</v>
      </c>
      <c r="S58" s="156">
        <f>'p&amp;l S2'!S51/1000</f>
        <v>0.2597949230826852</v>
      </c>
      <c r="T58" s="156">
        <f>'p&amp;l S2'!T51/1000</f>
        <v>0</v>
      </c>
    </row>
    <row r="60" spans="1:21" s="124" customFormat="1" x14ac:dyDescent="0.25">
      <c r="B60" s="179" t="s">
        <v>268</v>
      </c>
      <c r="C60" s="182"/>
      <c r="D60" s="126">
        <f t="shared" ref="D60:T60" si="14">D58-D55</f>
        <v>0</v>
      </c>
      <c r="E60" s="126">
        <f t="shared" si="14"/>
        <v>-276.26127039406055</v>
      </c>
      <c r="F60" s="126">
        <f t="shared" si="14"/>
        <v>-232.76192603583181</v>
      </c>
      <c r="G60" s="126">
        <f t="shared" si="14"/>
        <v>-232.77278947787096</v>
      </c>
      <c r="H60" s="126">
        <f t="shared" si="14"/>
        <v>-232.78407641910752</v>
      </c>
      <c r="I60" s="126">
        <f t="shared" si="14"/>
        <v>-232.79580382607429</v>
      </c>
      <c r="J60" s="126">
        <f t="shared" si="14"/>
        <v>-232.80798938000297</v>
      </c>
      <c r="K60" s="126">
        <f t="shared" si="14"/>
        <v>-232.8206515092966</v>
      </c>
      <c r="L60" s="126">
        <f t="shared" si="14"/>
        <v>-232.83380942361995</v>
      </c>
      <c r="M60" s="126">
        <f t="shared" si="14"/>
        <v>-232.8474831496963</v>
      </c>
      <c r="N60" s="126">
        <f t="shared" si="14"/>
        <v>-232.86169356890375</v>
      </c>
      <c r="O60" s="126">
        <f t="shared" si="14"/>
        <v>-232.8651541240547</v>
      </c>
      <c r="P60" s="126">
        <f t="shared" si="14"/>
        <v>-232.8800518584454</v>
      </c>
      <c r="Q60" s="126">
        <f t="shared" si="14"/>
        <v>-232.8955363697701</v>
      </c>
      <c r="R60" s="126">
        <f t="shared" si="14"/>
        <v>-232.91071652892717</v>
      </c>
      <c r="S60" s="126">
        <f t="shared" si="14"/>
        <v>-232.92739270661596</v>
      </c>
      <c r="T60" s="126">
        <f t="shared" si="14"/>
        <v>-232.48</v>
      </c>
    </row>
    <row r="61" spans="1:21" s="124" customFormat="1" x14ac:dyDescent="0.25">
      <c r="B61" s="179" t="s">
        <v>269</v>
      </c>
      <c r="C61" s="182"/>
      <c r="D61" s="126">
        <f>D60</f>
        <v>0</v>
      </c>
      <c r="E61" s="126">
        <f>D61+E60</f>
        <v>-276.26127039406055</v>
      </c>
      <c r="F61" s="126">
        <f t="shared" ref="F61:T61" si="15">E61+F60</f>
        <v>-509.02319642989232</v>
      </c>
      <c r="G61" s="126">
        <f t="shared" si="15"/>
        <v>-741.79598590776322</v>
      </c>
      <c r="H61" s="126">
        <f t="shared" si="15"/>
        <v>-974.5800623268708</v>
      </c>
      <c r="I61" s="126">
        <f t="shared" si="15"/>
        <v>-1207.375866152945</v>
      </c>
      <c r="J61" s="126">
        <f t="shared" si="15"/>
        <v>-1440.183855532948</v>
      </c>
      <c r="K61" s="126">
        <f t="shared" si="15"/>
        <v>-1673.0045070422445</v>
      </c>
      <c r="L61" s="126">
        <f t="shared" si="15"/>
        <v>-1905.8383164658644</v>
      </c>
      <c r="M61" s="126">
        <f t="shared" si="15"/>
        <v>-2138.6857996155609</v>
      </c>
      <c r="N61" s="126">
        <f t="shared" si="15"/>
        <v>-2371.5474931844647</v>
      </c>
      <c r="O61" s="126">
        <f t="shared" si="15"/>
        <v>-2604.4126473085194</v>
      </c>
      <c r="P61" s="126">
        <f t="shared" si="15"/>
        <v>-2837.2926991669647</v>
      </c>
      <c r="Q61" s="126">
        <f t="shared" si="15"/>
        <v>-3070.1882355367347</v>
      </c>
      <c r="R61" s="126">
        <f t="shared" si="15"/>
        <v>-3303.0989520656617</v>
      </c>
      <c r="S61" s="126">
        <f t="shared" si="15"/>
        <v>-3536.0263447722778</v>
      </c>
      <c r="T61" s="126">
        <f t="shared" si="15"/>
        <v>-3768.5063447722778</v>
      </c>
    </row>
    <row r="63" spans="1:21" s="186" customFormat="1" x14ac:dyDescent="0.25">
      <c r="B63" s="180" t="s">
        <v>277</v>
      </c>
      <c r="C63" s="182">
        <f>C68</f>
        <v>0.05</v>
      </c>
      <c r="D63" s="166"/>
      <c r="E63" s="186">
        <f>105%</f>
        <v>1.05</v>
      </c>
      <c r="F63" s="186">
        <f t="shared" ref="F63:T63" si="16">E63*105%</f>
        <v>1.1025</v>
      </c>
      <c r="G63" s="186">
        <f t="shared" si="16"/>
        <v>1.1576250000000001</v>
      </c>
      <c r="H63" s="186">
        <f t="shared" si="16"/>
        <v>1.2155062500000002</v>
      </c>
      <c r="I63" s="186">
        <f t="shared" si="16"/>
        <v>1.2762815625000004</v>
      </c>
      <c r="J63" s="186">
        <f t="shared" si="16"/>
        <v>1.3400956406250004</v>
      </c>
      <c r="K63" s="186">
        <f t="shared" si="16"/>
        <v>1.4071004226562505</v>
      </c>
      <c r="L63" s="186">
        <f t="shared" si="16"/>
        <v>1.477455443789063</v>
      </c>
      <c r="M63" s="186">
        <f t="shared" si="16"/>
        <v>1.5513282159785162</v>
      </c>
      <c r="N63" s="186">
        <f t="shared" si="16"/>
        <v>1.628894626777442</v>
      </c>
      <c r="O63" s="186">
        <f t="shared" si="16"/>
        <v>1.7103393581163142</v>
      </c>
      <c r="P63" s="186">
        <f t="shared" si="16"/>
        <v>1.7958563260221301</v>
      </c>
      <c r="Q63" s="186">
        <f t="shared" si="16"/>
        <v>1.8856491423232367</v>
      </c>
      <c r="R63" s="186">
        <f t="shared" si="16"/>
        <v>1.9799315994393987</v>
      </c>
      <c r="S63" s="186">
        <f t="shared" si="16"/>
        <v>2.0789281794113688</v>
      </c>
      <c r="T63" s="186">
        <f t="shared" si="16"/>
        <v>2.1828745883819374</v>
      </c>
    </row>
    <row r="64" spans="1:21" x14ac:dyDescent="0.25">
      <c r="B64" s="243" t="s">
        <v>369</v>
      </c>
      <c r="E64" s="242">
        <f t="shared" ref="E64:T64" si="17">1/E63</f>
        <v>0.95238095238095233</v>
      </c>
      <c r="F64" s="242">
        <f t="shared" si="17"/>
        <v>0.90702947845804982</v>
      </c>
      <c r="G64" s="242">
        <f t="shared" si="17"/>
        <v>0.86383759853147601</v>
      </c>
      <c r="H64" s="242">
        <f t="shared" si="17"/>
        <v>0.82270247479188185</v>
      </c>
      <c r="I64" s="242">
        <f t="shared" si="17"/>
        <v>0.78352616646845885</v>
      </c>
      <c r="J64" s="242">
        <f t="shared" si="17"/>
        <v>0.74621539663662739</v>
      </c>
      <c r="K64" s="242">
        <f t="shared" si="17"/>
        <v>0.71068133013012136</v>
      </c>
      <c r="L64" s="242">
        <f t="shared" si="17"/>
        <v>0.676839362028687</v>
      </c>
      <c r="M64" s="242">
        <f t="shared" si="17"/>
        <v>0.64460891621779715</v>
      </c>
      <c r="N64" s="242">
        <f t="shared" si="17"/>
        <v>0.6139132535407591</v>
      </c>
      <c r="O64" s="242">
        <f t="shared" si="17"/>
        <v>0.58467928908643729</v>
      </c>
      <c r="P64" s="242">
        <f t="shared" si="17"/>
        <v>0.55683741817755927</v>
      </c>
      <c r="Q64" s="242">
        <f t="shared" si="17"/>
        <v>0.53032135064529451</v>
      </c>
      <c r="R64" s="242">
        <f t="shared" si="17"/>
        <v>0.50506795299551854</v>
      </c>
      <c r="S64" s="242">
        <f t="shared" si="17"/>
        <v>0.48101709809096999</v>
      </c>
      <c r="T64" s="242">
        <f t="shared" si="17"/>
        <v>0.45811152199139993</v>
      </c>
    </row>
    <row r="65" spans="2:20" s="124" customFormat="1" x14ac:dyDescent="0.25">
      <c r="B65" s="179" t="s">
        <v>280</v>
      </c>
      <c r="C65" s="187"/>
      <c r="D65" s="188"/>
      <c r="E65" s="124">
        <f>E60</f>
        <v>-276.26127039406055</v>
      </c>
      <c r="F65" s="124">
        <f t="shared" ref="F65:T65" si="18">F60/F63</f>
        <v>-211.12192837717171</v>
      </c>
      <c r="G65" s="124">
        <f t="shared" si="18"/>
        <v>-201.07788746603688</v>
      </c>
      <c r="H65" s="124">
        <f t="shared" si="18"/>
        <v>-191.51203576214229</v>
      </c>
      <c r="I65" s="124">
        <f t="shared" si="18"/>
        <v>-182.40160374178737</v>
      </c>
      <c r="J65" s="124">
        <f t="shared" si="18"/>
        <v>-173.72490613537465</v>
      </c>
      <c r="K65" s="124">
        <f t="shared" si="18"/>
        <v>-165.46129029638834</v>
      </c>
      <c r="L65" s="124">
        <f t="shared" si="18"/>
        <v>-157.59108702899181</v>
      </c>
      <c r="M65" s="124">
        <f t="shared" si="18"/>
        <v>-150.0955637571675</v>
      </c>
      <c r="N65" s="124">
        <f t="shared" si="18"/>
        <v>-142.95687992389696</v>
      </c>
      <c r="O65" s="124">
        <f t="shared" si="18"/>
        <v>-136.15143276625594</v>
      </c>
      <c r="P65" s="124">
        <f t="shared" si="18"/>
        <v>-129.67632682191285</v>
      </c>
      <c r="Q65" s="124">
        <f t="shared" si="18"/>
        <v>-123.50947540687679</v>
      </c>
      <c r="R65" s="124">
        <f t="shared" si="18"/>
        <v>-117.63573882798472</v>
      </c>
      <c r="S65" s="124">
        <f t="shared" si="18"/>
        <v>-112.04205850563217</v>
      </c>
      <c r="T65" s="124">
        <f t="shared" si="18"/>
        <v>-106.50176663256066</v>
      </c>
    </row>
    <row r="66" spans="2:20" s="124" customFormat="1" x14ac:dyDescent="0.25">
      <c r="B66" s="179" t="s">
        <v>281</v>
      </c>
      <c r="C66" s="187"/>
      <c r="D66" s="188">
        <f>D65</f>
        <v>0</v>
      </c>
      <c r="E66" s="124">
        <f t="shared" ref="E66:T66" si="19">D66+E65</f>
        <v>-276.26127039406055</v>
      </c>
      <c r="F66" s="124">
        <f t="shared" si="19"/>
        <v>-487.38319877123229</v>
      </c>
      <c r="G66" s="124">
        <f t="shared" si="19"/>
        <v>-688.46108623726923</v>
      </c>
      <c r="H66" s="124">
        <f t="shared" si="19"/>
        <v>-879.97312199941155</v>
      </c>
      <c r="I66" s="124">
        <f t="shared" si="19"/>
        <v>-1062.374725741199</v>
      </c>
      <c r="J66" s="124">
        <f t="shared" si="19"/>
        <v>-1236.0996318765735</v>
      </c>
      <c r="K66" s="124">
        <f t="shared" si="19"/>
        <v>-1401.5609221729619</v>
      </c>
      <c r="L66" s="124">
        <f t="shared" si="19"/>
        <v>-1559.1520092019537</v>
      </c>
      <c r="M66" s="124">
        <f t="shared" si="19"/>
        <v>-1709.247572959121</v>
      </c>
      <c r="N66" s="124">
        <f t="shared" si="19"/>
        <v>-1852.2044528830179</v>
      </c>
      <c r="O66" s="124">
        <f t="shared" si="19"/>
        <v>-1988.3558856492739</v>
      </c>
      <c r="P66" s="124">
        <f t="shared" si="19"/>
        <v>-2118.0322124711865</v>
      </c>
      <c r="Q66" s="124">
        <f t="shared" si="19"/>
        <v>-2241.5416878780634</v>
      </c>
      <c r="R66" s="124">
        <f t="shared" si="19"/>
        <v>-2359.1774267060482</v>
      </c>
      <c r="S66" s="124">
        <f t="shared" si="19"/>
        <v>-2471.2194852116804</v>
      </c>
      <c r="T66" s="124">
        <f t="shared" si="19"/>
        <v>-2577.7212518442411</v>
      </c>
    </row>
    <row r="68" spans="2:20" x14ac:dyDescent="0.25">
      <c r="B68" s="180" t="s">
        <v>277</v>
      </c>
      <c r="C68" s="182">
        <f>C69+C70</f>
        <v>0.05</v>
      </c>
    </row>
    <row r="69" spans="2:20" x14ac:dyDescent="0.25">
      <c r="B69" s="162" t="s">
        <v>278</v>
      </c>
      <c r="C69" s="184">
        <v>0.03</v>
      </c>
    </row>
    <row r="70" spans="2:20" x14ac:dyDescent="0.25">
      <c r="B70" s="162" t="s">
        <v>279</v>
      </c>
      <c r="C70" s="184">
        <v>0.02</v>
      </c>
    </row>
    <row r="71" spans="2:20" s="3" customFormat="1" x14ac:dyDescent="0.25">
      <c r="B71" s="43" t="s">
        <v>367</v>
      </c>
      <c r="C71" s="182"/>
      <c r="D71" s="166"/>
      <c r="E71" s="14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FD6C1-75AF-4F74-BC3F-46A6971A89E6}">
  <sheetPr>
    <tabColor theme="1"/>
  </sheetPr>
  <dimension ref="A1:U69"/>
  <sheetViews>
    <sheetView zoomScale="60" zoomScaleNormal="60" workbookViewId="0">
      <pane xSplit="2" ySplit="2" topLeftCell="C42" activePane="bottomRight" state="frozen"/>
      <selection pane="topRight" activeCell="C1" sqref="C1"/>
      <selection pane="bottomLeft" activeCell="A3" sqref="A3"/>
      <selection pane="bottomRight" activeCell="A2" sqref="A2"/>
    </sheetView>
  </sheetViews>
  <sheetFormatPr defaultRowHeight="15" x14ac:dyDescent="0.25"/>
  <cols>
    <col min="1" max="1" width="3.28515625" customWidth="1"/>
    <col min="2" max="2" width="58" style="40" customWidth="1"/>
    <col min="3" max="3" width="6.7109375" style="181" customWidth="1"/>
    <col min="4" max="4" width="12" style="164" bestFit="1" customWidth="1"/>
    <col min="5" max="5" width="10.85546875" style="146" bestFit="1" customWidth="1"/>
    <col min="6" max="9" width="10.42578125" bestFit="1" customWidth="1"/>
    <col min="10" max="20" width="12" bestFit="1" customWidth="1"/>
  </cols>
  <sheetData>
    <row r="1" spans="1:20" x14ac:dyDescent="0.25">
      <c r="A1" s="161" t="s">
        <v>356</v>
      </c>
      <c r="D1" s="149" t="s">
        <v>254</v>
      </c>
      <c r="E1" s="149" t="s">
        <v>239</v>
      </c>
      <c r="F1" s="176" t="s">
        <v>240</v>
      </c>
      <c r="G1" s="176" t="s">
        <v>241</v>
      </c>
      <c r="H1" s="176" t="s">
        <v>242</v>
      </c>
      <c r="I1" s="176" t="s">
        <v>243</v>
      </c>
      <c r="J1" s="176" t="s">
        <v>244</v>
      </c>
      <c r="K1" s="176" t="s">
        <v>245</v>
      </c>
      <c r="L1" s="176" t="s">
        <v>246</v>
      </c>
      <c r="M1" s="176" t="s">
        <v>247</v>
      </c>
      <c r="N1" s="176" t="s">
        <v>248</v>
      </c>
      <c r="O1" s="176" t="s">
        <v>249</v>
      </c>
      <c r="P1" s="176" t="s">
        <v>250</v>
      </c>
      <c r="Q1" s="176" t="s">
        <v>251</v>
      </c>
      <c r="R1" s="176" t="s">
        <v>252</v>
      </c>
      <c r="S1" s="176" t="s">
        <v>253</v>
      </c>
      <c r="T1" s="176" t="s">
        <v>256</v>
      </c>
    </row>
    <row r="2" spans="1:20" s="173" customFormat="1" ht="18.75" x14ac:dyDescent="0.3">
      <c r="A2" s="246" t="s">
        <v>371</v>
      </c>
      <c r="B2" s="174"/>
      <c r="C2" s="182"/>
      <c r="D2" s="175">
        <v>2020</v>
      </c>
      <c r="E2" s="175">
        <v>2021</v>
      </c>
      <c r="F2" s="175">
        <v>2022</v>
      </c>
      <c r="G2" s="175">
        <v>2023</v>
      </c>
      <c r="H2" s="175">
        <v>2024</v>
      </c>
      <c r="I2" s="175">
        <v>2025</v>
      </c>
      <c r="J2" s="175">
        <v>2026</v>
      </c>
      <c r="K2" s="175">
        <v>2027</v>
      </c>
      <c r="L2" s="175">
        <v>2028</v>
      </c>
      <c r="M2" s="175">
        <v>2029</v>
      </c>
      <c r="N2" s="175">
        <v>2030</v>
      </c>
      <c r="O2" s="175">
        <v>2031</v>
      </c>
      <c r="P2" s="175">
        <v>2032</v>
      </c>
      <c r="Q2" s="175">
        <v>2033</v>
      </c>
      <c r="R2" s="175">
        <v>2034</v>
      </c>
      <c r="S2" s="175">
        <v>2035</v>
      </c>
      <c r="T2" s="175">
        <v>2036</v>
      </c>
    </row>
    <row r="3" spans="1:20" s="169" customFormat="1" x14ac:dyDescent="0.25">
      <c r="B3" s="172" t="s">
        <v>274</v>
      </c>
      <c r="C3" s="183"/>
      <c r="D3" s="168"/>
      <c r="E3" s="177">
        <v>1.04</v>
      </c>
      <c r="F3" s="177">
        <v>1.04</v>
      </c>
      <c r="G3" s="177">
        <f>F3</f>
        <v>1.04</v>
      </c>
      <c r="H3" s="177">
        <f t="shared" ref="H3:T3" si="0">G3</f>
        <v>1.04</v>
      </c>
      <c r="I3" s="177">
        <f t="shared" si="0"/>
        <v>1.04</v>
      </c>
      <c r="J3" s="177">
        <f t="shared" si="0"/>
        <v>1.04</v>
      </c>
      <c r="K3" s="177">
        <f t="shared" si="0"/>
        <v>1.04</v>
      </c>
      <c r="L3" s="177">
        <f t="shared" si="0"/>
        <v>1.04</v>
      </c>
      <c r="M3" s="177">
        <f t="shared" si="0"/>
        <v>1.04</v>
      </c>
      <c r="N3" s="177">
        <f t="shared" si="0"/>
        <v>1.04</v>
      </c>
      <c r="O3" s="177">
        <f t="shared" si="0"/>
        <v>1.04</v>
      </c>
      <c r="P3" s="177">
        <f t="shared" si="0"/>
        <v>1.04</v>
      </c>
      <c r="Q3" s="177">
        <f t="shared" si="0"/>
        <v>1.04</v>
      </c>
      <c r="R3" s="177">
        <f t="shared" si="0"/>
        <v>1.04</v>
      </c>
      <c r="S3" s="177">
        <f t="shared" si="0"/>
        <v>1.04</v>
      </c>
      <c r="T3" s="177">
        <f t="shared" si="0"/>
        <v>1.04</v>
      </c>
    </row>
    <row r="4" spans="1:20" s="169" customFormat="1" x14ac:dyDescent="0.25">
      <c r="B4" s="172" t="s">
        <v>275</v>
      </c>
      <c r="C4" s="183"/>
      <c r="D4" s="168"/>
      <c r="E4" s="177">
        <v>1.06</v>
      </c>
      <c r="F4" s="177">
        <v>1.06</v>
      </c>
      <c r="G4" s="177">
        <f>F4</f>
        <v>1.06</v>
      </c>
      <c r="H4" s="177">
        <f t="shared" ref="H4:T4" si="1">G4</f>
        <v>1.06</v>
      </c>
      <c r="I4" s="177">
        <f t="shared" si="1"/>
        <v>1.06</v>
      </c>
      <c r="J4" s="177">
        <f t="shared" si="1"/>
        <v>1.06</v>
      </c>
      <c r="K4" s="177">
        <f t="shared" si="1"/>
        <v>1.06</v>
      </c>
      <c r="L4" s="177">
        <f t="shared" si="1"/>
        <v>1.06</v>
      </c>
      <c r="M4" s="177">
        <f t="shared" si="1"/>
        <v>1.06</v>
      </c>
      <c r="N4" s="177">
        <f t="shared" si="1"/>
        <v>1.06</v>
      </c>
      <c r="O4" s="177">
        <f t="shared" si="1"/>
        <v>1.06</v>
      </c>
      <c r="P4" s="177">
        <f t="shared" si="1"/>
        <v>1.06</v>
      </c>
      <c r="Q4" s="177">
        <f t="shared" si="1"/>
        <v>1.06</v>
      </c>
      <c r="R4" s="177">
        <f t="shared" si="1"/>
        <v>1.06</v>
      </c>
      <c r="S4" s="177">
        <f t="shared" si="1"/>
        <v>1.06</v>
      </c>
      <c r="T4" s="177">
        <f t="shared" si="1"/>
        <v>1.06</v>
      </c>
    </row>
    <row r="5" spans="1:20" s="169" customFormat="1" x14ac:dyDescent="0.25">
      <c r="B5" s="172" t="s">
        <v>273</v>
      </c>
      <c r="C5" s="183"/>
      <c r="D5" s="168"/>
      <c r="E5" s="177">
        <v>1.05</v>
      </c>
      <c r="F5" s="177">
        <v>1.05</v>
      </c>
      <c r="G5" s="177">
        <f>F5</f>
        <v>1.05</v>
      </c>
      <c r="H5" s="177">
        <f t="shared" ref="H5:T5" si="2">G5</f>
        <v>1.05</v>
      </c>
      <c r="I5" s="177">
        <f t="shared" si="2"/>
        <v>1.05</v>
      </c>
      <c r="J5" s="177">
        <f t="shared" si="2"/>
        <v>1.05</v>
      </c>
      <c r="K5" s="177">
        <f t="shared" si="2"/>
        <v>1.05</v>
      </c>
      <c r="L5" s="177">
        <f t="shared" si="2"/>
        <v>1.05</v>
      </c>
      <c r="M5" s="177">
        <f t="shared" si="2"/>
        <v>1.05</v>
      </c>
      <c r="N5" s="177">
        <f t="shared" si="2"/>
        <v>1.05</v>
      </c>
      <c r="O5" s="177">
        <f t="shared" si="2"/>
        <v>1.05</v>
      </c>
      <c r="P5" s="177">
        <f t="shared" si="2"/>
        <v>1.05</v>
      </c>
      <c r="Q5" s="177">
        <f t="shared" si="2"/>
        <v>1.05</v>
      </c>
      <c r="R5" s="177">
        <f t="shared" si="2"/>
        <v>1.05</v>
      </c>
      <c r="S5" s="177">
        <f t="shared" si="2"/>
        <v>1.05</v>
      </c>
      <c r="T5" s="177">
        <f t="shared" si="2"/>
        <v>1.05</v>
      </c>
    </row>
    <row r="6" spans="1:20" x14ac:dyDescent="0.25">
      <c r="B6" s="43" t="s">
        <v>172</v>
      </c>
      <c r="C6" s="182"/>
      <c r="D6" s="165"/>
    </row>
    <row r="7" spans="1:20" x14ac:dyDescent="0.25">
      <c r="B7" s="162" t="s">
        <v>353</v>
      </c>
      <c r="C7" s="184"/>
      <c r="E7" s="146">
        <f>'cost summary'!E20/E69</f>
        <v>3</v>
      </c>
    </row>
    <row r="8" spans="1:20" x14ac:dyDescent="0.25">
      <c r="B8" s="162" t="s">
        <v>178</v>
      </c>
      <c r="C8" s="184"/>
      <c r="E8" s="146">
        <f>'cost summary'!E21/E69</f>
        <v>1.4858800000000001</v>
      </c>
    </row>
    <row r="9" spans="1:20" x14ac:dyDescent="0.25">
      <c r="B9" s="162" t="s">
        <v>221</v>
      </c>
      <c r="C9" s="184"/>
      <c r="D9" s="166"/>
      <c r="E9" s="146">
        <v>0</v>
      </c>
    </row>
    <row r="10" spans="1:20" x14ac:dyDescent="0.25">
      <c r="B10" s="162" t="s">
        <v>222</v>
      </c>
      <c r="C10" s="184"/>
      <c r="D10" s="166"/>
      <c r="E10" s="146">
        <v>0</v>
      </c>
    </row>
    <row r="11" spans="1:20" x14ac:dyDescent="0.25">
      <c r="B11" s="162" t="s">
        <v>176</v>
      </c>
      <c r="C11" s="184"/>
      <c r="D11" s="170"/>
      <c r="E11" s="155">
        <v>0</v>
      </c>
      <c r="F11" s="171"/>
      <c r="G11" s="171"/>
      <c r="H11" s="171"/>
      <c r="I11" s="171"/>
      <c r="J11" s="171"/>
      <c r="K11" s="171"/>
      <c r="L11" s="171"/>
      <c r="M11" s="171"/>
      <c r="N11" s="171"/>
      <c r="O11" s="171"/>
      <c r="P11" s="171"/>
      <c r="Q11" s="171"/>
      <c r="R11" s="171"/>
      <c r="S11" s="171"/>
      <c r="T11" s="171"/>
    </row>
    <row r="12" spans="1:20" x14ac:dyDescent="0.25">
      <c r="B12" s="162" t="s">
        <v>223</v>
      </c>
      <c r="C12" s="184"/>
      <c r="D12" s="154">
        <f>'cost summary'!D25</f>
        <v>0</v>
      </c>
      <c r="E12" s="154">
        <f>'cost summary'!E25</f>
        <v>0</v>
      </c>
      <c r="F12" s="154">
        <f>'cost summary'!F25</f>
        <v>0</v>
      </c>
      <c r="G12" s="154">
        <f>'cost summary'!H25</f>
        <v>0</v>
      </c>
      <c r="H12" s="154">
        <f>'cost summary'!I25</f>
        <v>0</v>
      </c>
      <c r="I12" s="154">
        <f>'cost summary'!J25</f>
        <v>0</v>
      </c>
      <c r="J12" s="154">
        <f>'cost summary'!K25</f>
        <v>0</v>
      </c>
      <c r="K12" s="154">
        <f>'cost summary'!L25</f>
        <v>0</v>
      </c>
      <c r="L12" s="154">
        <f>'cost summary'!M25</f>
        <v>0</v>
      </c>
      <c r="M12" s="154">
        <f>'cost summary'!N25</f>
        <v>0</v>
      </c>
      <c r="N12" s="154">
        <f>'cost summary'!O25</f>
        <v>0</v>
      </c>
      <c r="O12" s="154">
        <f>'cost summary'!P25</f>
        <v>0</v>
      </c>
      <c r="P12" s="154">
        <f>'cost summary'!Q25</f>
        <v>0</v>
      </c>
      <c r="Q12" s="154">
        <f>'cost summary'!R25</f>
        <v>0</v>
      </c>
      <c r="R12" s="154">
        <f>'cost summary'!S25</f>
        <v>0</v>
      </c>
      <c r="S12" s="154">
        <f>'cost summary'!T25</f>
        <v>0</v>
      </c>
      <c r="T12" s="154">
        <f>'cost summary'!U25</f>
        <v>0</v>
      </c>
    </row>
    <row r="13" spans="1:20" x14ac:dyDescent="0.25">
      <c r="B13" s="43" t="s">
        <v>276</v>
      </c>
      <c r="C13" s="182"/>
      <c r="D13" s="142">
        <f>SUM(D7:D12)</f>
        <v>0</v>
      </c>
      <c r="E13" s="142">
        <f>SUM(E7:E12)</f>
        <v>4.4858799999999999</v>
      </c>
      <c r="F13" s="142">
        <f t="shared" ref="F13:T13" si="3">SUM(F7:F12)</f>
        <v>0</v>
      </c>
      <c r="G13" s="142">
        <f t="shared" si="3"/>
        <v>0</v>
      </c>
      <c r="H13" s="142">
        <f t="shared" si="3"/>
        <v>0</v>
      </c>
      <c r="I13" s="142">
        <f t="shared" si="3"/>
        <v>0</v>
      </c>
      <c r="J13" s="142">
        <f t="shared" si="3"/>
        <v>0</v>
      </c>
      <c r="K13" s="142">
        <f t="shared" si="3"/>
        <v>0</v>
      </c>
      <c r="L13" s="142">
        <f t="shared" si="3"/>
        <v>0</v>
      </c>
      <c r="M13" s="142">
        <f t="shared" si="3"/>
        <v>0</v>
      </c>
      <c r="N13" s="142">
        <f t="shared" si="3"/>
        <v>0</v>
      </c>
      <c r="O13" s="142">
        <f t="shared" si="3"/>
        <v>0</v>
      </c>
      <c r="P13" s="142">
        <f t="shared" si="3"/>
        <v>0</v>
      </c>
      <c r="Q13" s="142">
        <f t="shared" si="3"/>
        <v>0</v>
      </c>
      <c r="R13" s="142">
        <f t="shared" si="3"/>
        <v>0</v>
      </c>
      <c r="S13" s="142">
        <f t="shared" si="3"/>
        <v>0</v>
      </c>
      <c r="T13" s="142">
        <f t="shared" si="3"/>
        <v>0</v>
      </c>
    </row>
    <row r="15" spans="1:20" x14ac:dyDescent="0.25">
      <c r="B15" s="43" t="s">
        <v>129</v>
      </c>
      <c r="C15" s="182"/>
    </row>
    <row r="16" spans="1:20" x14ac:dyDescent="0.25">
      <c r="B16" s="43" t="s">
        <v>224</v>
      </c>
      <c r="C16" s="182"/>
      <c r="E16" s="149"/>
    </row>
    <row r="17" spans="2:21" x14ac:dyDescent="0.25">
      <c r="B17" s="162" t="s">
        <v>146</v>
      </c>
      <c r="C17" s="184"/>
      <c r="E17" s="141">
        <f>'cost summary'!E32*E3/E69</f>
        <v>171.011836528</v>
      </c>
      <c r="F17" s="146">
        <f>E17*F3</f>
        <v>177.85230998912002</v>
      </c>
      <c r="G17" s="146">
        <f>F17*G3</f>
        <v>184.96640238868483</v>
      </c>
      <c r="H17" s="146">
        <f t="shared" ref="H17:S17" si="4">G17*H3</f>
        <v>192.36505848423224</v>
      </c>
      <c r="I17" s="146">
        <f t="shared" si="4"/>
        <v>200.05966082360152</v>
      </c>
      <c r="J17" s="146">
        <f t="shared" si="4"/>
        <v>208.06204725654558</v>
      </c>
      <c r="K17" s="146">
        <f t="shared" si="4"/>
        <v>216.38452914680741</v>
      </c>
      <c r="L17" s="146">
        <f t="shared" si="4"/>
        <v>225.03991031267972</v>
      </c>
      <c r="M17" s="146">
        <f t="shared" si="4"/>
        <v>234.04150672518691</v>
      </c>
      <c r="N17" s="146">
        <f t="shared" si="4"/>
        <v>243.40316699419438</v>
      </c>
      <c r="O17" s="146">
        <f t="shared" si="4"/>
        <v>253.13929367396216</v>
      </c>
      <c r="P17" s="146">
        <f t="shared" si="4"/>
        <v>263.26486542092067</v>
      </c>
      <c r="Q17" s="146">
        <f t="shared" si="4"/>
        <v>273.79546003775749</v>
      </c>
      <c r="R17" s="146">
        <f t="shared" si="4"/>
        <v>284.7472784392678</v>
      </c>
      <c r="S17" s="146">
        <f t="shared" si="4"/>
        <v>296.13716957683852</v>
      </c>
      <c r="T17" s="146"/>
    </row>
    <row r="18" spans="2:21" x14ac:dyDescent="0.25">
      <c r="B18" s="162" t="s">
        <v>152</v>
      </c>
      <c r="C18" s="184"/>
      <c r="E18" s="141">
        <f>'cost summary'!E33*E3/E69</f>
        <v>1.5652471121268803</v>
      </c>
      <c r="F18" s="146">
        <f>E18*F3</f>
        <v>1.6278569966119556</v>
      </c>
      <c r="G18" s="146">
        <f t="shared" ref="G18:S18" si="5">F18*G3</f>
        <v>1.692971276476434</v>
      </c>
      <c r="H18" s="146">
        <f t="shared" si="5"/>
        <v>1.7606901275354914</v>
      </c>
      <c r="I18" s="146">
        <f t="shared" si="5"/>
        <v>1.831117732636911</v>
      </c>
      <c r="J18" s="146">
        <f t="shared" si="5"/>
        <v>1.9043624419423875</v>
      </c>
      <c r="K18" s="146">
        <f t="shared" si="5"/>
        <v>1.9805369396200829</v>
      </c>
      <c r="L18" s="146">
        <f t="shared" si="5"/>
        <v>2.0597584172048862</v>
      </c>
      <c r="M18" s="146">
        <f t="shared" si="5"/>
        <v>2.1421487538930819</v>
      </c>
      <c r="N18" s="146">
        <f t="shared" si="5"/>
        <v>2.2278347040488051</v>
      </c>
      <c r="O18" s="146">
        <f t="shared" si="5"/>
        <v>2.3169480922107573</v>
      </c>
      <c r="P18" s="146">
        <f t="shared" si="5"/>
        <v>2.4096260158991876</v>
      </c>
      <c r="Q18" s="146">
        <f t="shared" si="5"/>
        <v>2.5060110565351552</v>
      </c>
      <c r="R18" s="146">
        <f t="shared" si="5"/>
        <v>2.6062514987965617</v>
      </c>
      <c r="S18" s="146">
        <f t="shared" si="5"/>
        <v>2.7105015587484242</v>
      </c>
      <c r="T18" s="146"/>
    </row>
    <row r="19" spans="2:21" x14ac:dyDescent="0.25">
      <c r="B19" s="43" t="s">
        <v>153</v>
      </c>
      <c r="C19" s="182"/>
      <c r="D19" s="147">
        <f>'cost summary'!D34</f>
        <v>0</v>
      </c>
      <c r="E19" s="147">
        <f>'cost summary'!E34*E3/E69</f>
        <v>144.54723797882369</v>
      </c>
      <c r="F19" s="154">
        <f>E19*F3</f>
        <v>150.32912749797663</v>
      </c>
      <c r="G19" s="154">
        <f t="shared" ref="G19:S19" si="6">F19*G3</f>
        <v>156.34229259789569</v>
      </c>
      <c r="H19" s="154">
        <f t="shared" si="6"/>
        <v>162.59598430181151</v>
      </c>
      <c r="I19" s="154">
        <f t="shared" si="6"/>
        <v>169.09982367388398</v>
      </c>
      <c r="J19" s="154">
        <f t="shared" si="6"/>
        <v>175.86381662083934</v>
      </c>
      <c r="K19" s="154">
        <f t="shared" si="6"/>
        <v>182.89836928567291</v>
      </c>
      <c r="L19" s="154">
        <f t="shared" si="6"/>
        <v>190.21430405709984</v>
      </c>
      <c r="M19" s="154">
        <f t="shared" si="6"/>
        <v>197.82287621938383</v>
      </c>
      <c r="N19" s="154">
        <f t="shared" si="6"/>
        <v>205.73579126815918</v>
      </c>
      <c r="O19" s="154">
        <f t="shared" si="6"/>
        <v>213.96522291888556</v>
      </c>
      <c r="P19" s="154">
        <f t="shared" si="6"/>
        <v>222.52383183564098</v>
      </c>
      <c r="Q19" s="154">
        <f t="shared" si="6"/>
        <v>231.42478510906662</v>
      </c>
      <c r="R19" s="154">
        <f t="shared" si="6"/>
        <v>240.6817765134293</v>
      </c>
      <c r="S19" s="154">
        <f t="shared" si="6"/>
        <v>250.30904757396647</v>
      </c>
      <c r="T19" s="154"/>
    </row>
    <row r="20" spans="2:21" s="3" customFormat="1" x14ac:dyDescent="0.25">
      <c r="B20" s="43" t="s">
        <v>228</v>
      </c>
      <c r="C20" s="182"/>
      <c r="D20" s="149">
        <f>SUM(D17:D19)</f>
        <v>0</v>
      </c>
      <c r="E20" s="149">
        <f>SUM(E17:E19)</f>
        <v>317.1243216189506</v>
      </c>
      <c r="F20" s="149">
        <f t="shared" ref="F20:T20" si="7">SUM(F17:F19)</f>
        <v>329.80929448370864</v>
      </c>
      <c r="G20" s="149">
        <f t="shared" si="7"/>
        <v>343.00166626305696</v>
      </c>
      <c r="H20" s="149">
        <f t="shared" si="7"/>
        <v>356.72173291357922</v>
      </c>
      <c r="I20" s="149">
        <f t="shared" si="7"/>
        <v>370.99060223012236</v>
      </c>
      <c r="J20" s="149">
        <f t="shared" si="7"/>
        <v>385.83022631932732</v>
      </c>
      <c r="K20" s="149">
        <f t="shared" si="7"/>
        <v>401.26343537210039</v>
      </c>
      <c r="L20" s="149">
        <f t="shared" si="7"/>
        <v>417.31397278698444</v>
      </c>
      <c r="M20" s="149">
        <f t="shared" si="7"/>
        <v>434.00653169846385</v>
      </c>
      <c r="N20" s="149">
        <f t="shared" si="7"/>
        <v>451.36679296640239</v>
      </c>
      <c r="O20" s="149">
        <f t="shared" si="7"/>
        <v>469.42146468505848</v>
      </c>
      <c r="P20" s="149">
        <f t="shared" si="7"/>
        <v>488.19832327246081</v>
      </c>
      <c r="Q20" s="149">
        <f t="shared" si="7"/>
        <v>507.7262562033593</v>
      </c>
      <c r="R20" s="149">
        <f t="shared" si="7"/>
        <v>528.03530645149362</v>
      </c>
      <c r="S20" s="149">
        <f t="shared" si="7"/>
        <v>549.15671870955339</v>
      </c>
      <c r="T20" s="149">
        <f t="shared" si="7"/>
        <v>0</v>
      </c>
    </row>
    <row r="21" spans="2:21" x14ac:dyDescent="0.25">
      <c r="E21" s="141"/>
    </row>
    <row r="22" spans="2:21" x14ac:dyDescent="0.25">
      <c r="B22" s="43" t="s">
        <v>225</v>
      </c>
      <c r="C22" s="182"/>
      <c r="E22" s="149"/>
    </row>
    <row r="23" spans="2:21" x14ac:dyDescent="0.25">
      <c r="B23" s="162" t="s">
        <v>160</v>
      </c>
      <c r="C23" s="184"/>
      <c r="E23" s="146">
        <f>'cost summary'!E38*E4/E69</f>
        <v>15.953480181293205</v>
      </c>
      <c r="F23" s="146">
        <f>E23*$F$4</f>
        <v>16.910688992170797</v>
      </c>
      <c r="G23" s="146">
        <f>F23*$G$4</f>
        <v>17.925330331701048</v>
      </c>
      <c r="H23" s="146">
        <f>G23*$H$4</f>
        <v>19.00085015160311</v>
      </c>
      <c r="I23" s="146">
        <f>H23*$I$4</f>
        <v>20.140901160699297</v>
      </c>
      <c r="J23" s="146">
        <f>I23*$J$4</f>
        <v>21.349355230341256</v>
      </c>
      <c r="K23" s="146">
        <f>J23*$K$4</f>
        <v>22.630316544161733</v>
      </c>
      <c r="L23" s="146">
        <f>K23*$L$4</f>
        <v>23.988135536811438</v>
      </c>
      <c r="M23" s="146">
        <f>L23*$M$4</f>
        <v>25.427423669020126</v>
      </c>
      <c r="N23" s="146">
        <f>M23*$N$4</f>
        <v>26.953069089161335</v>
      </c>
      <c r="O23" s="146">
        <f>N23*$O$4</f>
        <v>28.570253234511018</v>
      </c>
      <c r="P23" s="146">
        <f>O23*$P$4</f>
        <v>30.284468428581679</v>
      </c>
      <c r="Q23" s="146">
        <f>P23*$Q$4</f>
        <v>32.101536534296578</v>
      </c>
      <c r="R23" s="146">
        <f>Q23*$R$5</f>
        <v>33.706613361011406</v>
      </c>
      <c r="S23" s="146">
        <f>R23*$S$4</f>
        <v>35.72901016267209</v>
      </c>
      <c r="T23" s="146"/>
    </row>
    <row r="24" spans="2:21" x14ac:dyDescent="0.25">
      <c r="B24" s="162" t="s">
        <v>161</v>
      </c>
      <c r="C24" s="184"/>
      <c r="E24" s="146">
        <f>'cost summary'!E39*E4/E69</f>
        <v>16.081375912366976</v>
      </c>
      <c r="F24" s="146">
        <f t="shared" ref="F24:F27" si="8">E24*$F$4</f>
        <v>17.046258467108995</v>
      </c>
      <c r="G24" s="146">
        <f t="shared" ref="G24:G27" si="9">F24*$G$4</f>
        <v>18.069033975135536</v>
      </c>
      <c r="H24" s="146">
        <f t="shared" ref="H24:H27" si="10">G24*$H$4</f>
        <v>19.15317601364367</v>
      </c>
      <c r="I24" s="146">
        <f t="shared" ref="I24:I27" si="11">H24*$I$4</f>
        <v>20.30236657446229</v>
      </c>
      <c r="J24" s="146">
        <f t="shared" ref="J24:J27" si="12">I24*$J$4</f>
        <v>21.52050856893003</v>
      </c>
      <c r="K24" s="146">
        <f t="shared" ref="K24:K27" si="13">J24*$K$4</f>
        <v>22.811739083065834</v>
      </c>
      <c r="L24" s="146">
        <f t="shared" ref="L24:L27" si="14">K24*$L$4</f>
        <v>24.180443428049784</v>
      </c>
      <c r="M24" s="146">
        <f t="shared" ref="M24:M27" si="15">L24*$M$4</f>
        <v>25.631270033732772</v>
      </c>
      <c r="N24" s="146">
        <f t="shared" ref="N24:N27" si="16">M24*$N$4</f>
        <v>27.169146235756738</v>
      </c>
      <c r="O24" s="146">
        <f t="shared" ref="O24:O27" si="17">N24*$O$4</f>
        <v>28.799295009902146</v>
      </c>
      <c r="P24" s="146">
        <f t="shared" ref="P24:P27" si="18">O24*$P$4</f>
        <v>30.527252710496278</v>
      </c>
      <c r="Q24" s="146">
        <f t="shared" ref="Q24:Q27" si="19">P24*$Q$4</f>
        <v>32.358887873126058</v>
      </c>
      <c r="R24" s="146">
        <f t="shared" ref="R24:R27" si="20">Q24*$R$5</f>
        <v>33.97683226678236</v>
      </c>
      <c r="S24" s="146">
        <f t="shared" ref="S24:S27" si="21">R24*$S$4</f>
        <v>36.015442202789302</v>
      </c>
      <c r="T24" s="146"/>
    </row>
    <row r="25" spans="2:21" x14ac:dyDescent="0.25">
      <c r="B25" s="162" t="s">
        <v>162</v>
      </c>
      <c r="C25" s="184"/>
      <c r="E25" s="146">
        <f>'cost summary'!E40*E4/E69</f>
        <v>3.2162751824733955</v>
      </c>
      <c r="F25" s="146">
        <f t="shared" si="8"/>
        <v>3.4092516934217993</v>
      </c>
      <c r="G25" s="146">
        <f t="shared" si="9"/>
        <v>3.6138067950271076</v>
      </c>
      <c r="H25" s="146">
        <f t="shared" si="10"/>
        <v>3.8306352027287343</v>
      </c>
      <c r="I25" s="146">
        <f t="shared" si="11"/>
        <v>4.0604733148924588</v>
      </c>
      <c r="J25" s="146">
        <f t="shared" si="12"/>
        <v>4.3041017137860065</v>
      </c>
      <c r="K25" s="146">
        <f t="shared" si="13"/>
        <v>4.5623478166131672</v>
      </c>
      <c r="L25" s="146">
        <f t="shared" si="14"/>
        <v>4.8360886856099574</v>
      </c>
      <c r="M25" s="146">
        <f t="shared" si="15"/>
        <v>5.1262540067465547</v>
      </c>
      <c r="N25" s="146">
        <f t="shared" si="16"/>
        <v>5.4338292471513485</v>
      </c>
      <c r="O25" s="146">
        <f t="shared" si="17"/>
        <v>5.7598590019804297</v>
      </c>
      <c r="P25" s="146">
        <f t="shared" si="18"/>
        <v>6.1054505420992555</v>
      </c>
      <c r="Q25" s="146">
        <f t="shared" si="19"/>
        <v>6.4717775746252109</v>
      </c>
      <c r="R25" s="146">
        <f t="shared" si="20"/>
        <v>6.7953664533564719</v>
      </c>
      <c r="S25" s="146">
        <f t="shared" si="21"/>
        <v>7.2030884405578606</v>
      </c>
      <c r="T25" s="146"/>
    </row>
    <row r="26" spans="2:21" x14ac:dyDescent="0.25">
      <c r="B26" s="162" t="s">
        <v>163</v>
      </c>
      <c r="C26" s="184"/>
      <c r="E26" s="146">
        <f>'cost summary'!E41*E4/E69</f>
        <v>2.1868859999999999</v>
      </c>
      <c r="F26" s="146">
        <f t="shared" si="8"/>
        <v>2.31809916</v>
      </c>
      <c r="G26" s="146">
        <f t="shared" si="9"/>
        <v>2.4571851096000001</v>
      </c>
      <c r="H26" s="146">
        <f t="shared" si="10"/>
        <v>2.6046162161760003</v>
      </c>
      <c r="I26" s="146">
        <f t="shared" si="11"/>
        <v>2.7608931891465605</v>
      </c>
      <c r="J26" s="146">
        <f t="shared" si="12"/>
        <v>2.9265467804953542</v>
      </c>
      <c r="K26" s="146">
        <f t="shared" si="13"/>
        <v>3.1021395873250754</v>
      </c>
      <c r="L26" s="146">
        <f t="shared" si="14"/>
        <v>3.2882679625645803</v>
      </c>
      <c r="M26" s="146">
        <f t="shared" si="15"/>
        <v>3.4855640403184553</v>
      </c>
      <c r="N26" s="146">
        <f t="shared" si="16"/>
        <v>3.6946978827375627</v>
      </c>
      <c r="O26" s="146">
        <f t="shared" si="17"/>
        <v>3.9163797557018167</v>
      </c>
      <c r="P26" s="146">
        <f t="shared" si="18"/>
        <v>4.1513625410439259</v>
      </c>
      <c r="Q26" s="146">
        <f t="shared" si="19"/>
        <v>4.4004442935065615</v>
      </c>
      <c r="R26" s="146">
        <f t="shared" si="20"/>
        <v>4.6204665081818899</v>
      </c>
      <c r="S26" s="146">
        <f t="shared" si="21"/>
        <v>4.8976944986728039</v>
      </c>
      <c r="T26" s="146"/>
    </row>
    <row r="27" spans="2:21" x14ac:dyDescent="0.25">
      <c r="B27" s="162" t="s">
        <v>164</v>
      </c>
      <c r="C27" s="184"/>
      <c r="E27" s="146">
        <f>'cost summary'!E42*E4/E69</f>
        <v>8.0406879561834881</v>
      </c>
      <c r="F27" s="146">
        <f t="shared" si="8"/>
        <v>8.5231292335544975</v>
      </c>
      <c r="G27" s="146">
        <f t="shared" si="9"/>
        <v>9.034516987567768</v>
      </c>
      <c r="H27" s="146">
        <f t="shared" si="10"/>
        <v>9.5765880068218348</v>
      </c>
      <c r="I27" s="146">
        <f t="shared" si="11"/>
        <v>10.151183287231145</v>
      </c>
      <c r="J27" s="146">
        <f t="shared" si="12"/>
        <v>10.760254284465015</v>
      </c>
      <c r="K27" s="146">
        <f t="shared" si="13"/>
        <v>11.405869541532917</v>
      </c>
      <c r="L27" s="146">
        <f t="shared" si="14"/>
        <v>12.090221714024892</v>
      </c>
      <c r="M27" s="146">
        <f t="shared" si="15"/>
        <v>12.815635016866386</v>
      </c>
      <c r="N27" s="146">
        <f t="shared" si="16"/>
        <v>13.584573117878369</v>
      </c>
      <c r="O27" s="146">
        <f t="shared" si="17"/>
        <v>14.399647504951073</v>
      </c>
      <c r="P27" s="146">
        <f t="shared" si="18"/>
        <v>15.263626355248139</v>
      </c>
      <c r="Q27" s="146">
        <f t="shared" si="19"/>
        <v>16.179443936563029</v>
      </c>
      <c r="R27" s="146">
        <f t="shared" si="20"/>
        <v>16.98841613339118</v>
      </c>
      <c r="S27" s="146">
        <f t="shared" si="21"/>
        <v>18.007721101394651</v>
      </c>
      <c r="T27" s="146"/>
    </row>
    <row r="28" spans="2:21" x14ac:dyDescent="0.25">
      <c r="B28" s="162" t="s">
        <v>226</v>
      </c>
      <c r="C28" s="184"/>
      <c r="E28" s="146">
        <f>'cost summary'!E43/E69</f>
        <v>0.72228041520000008</v>
      </c>
      <c r="F28" s="146">
        <f>E28</f>
        <v>0.72228041520000008</v>
      </c>
      <c r="G28" s="146">
        <f t="shared" ref="G28:G29" si="22">F28*$G$3</f>
        <v>0.75117163180800006</v>
      </c>
      <c r="H28" s="146">
        <f t="shared" ref="H28:H29" si="23">G28*$H$3</f>
        <v>0.7812184970803201</v>
      </c>
      <c r="I28" s="146">
        <f t="shared" ref="I28:I29" si="24">H28*$I$3</f>
        <v>0.81246723696353296</v>
      </c>
      <c r="J28" s="146">
        <f t="shared" ref="J28:J29" si="25">I28*$J$3</f>
        <v>0.84496592644207436</v>
      </c>
      <c r="K28" s="146">
        <f t="shared" ref="K28:K29" si="26">J28*$K$3</f>
        <v>0.8787645634997574</v>
      </c>
      <c r="L28" s="146">
        <f t="shared" ref="L28:L29" si="27">K28*$L$3</f>
        <v>0.91391514603974777</v>
      </c>
      <c r="M28" s="146">
        <f t="shared" ref="M28:M29" si="28">L28*$M$3</f>
        <v>0.9504717518813377</v>
      </c>
      <c r="N28" s="146">
        <f t="shared" ref="N28:N29" si="29">M28*$N$3</f>
        <v>0.98849062195659121</v>
      </c>
      <c r="O28" s="146">
        <v>0</v>
      </c>
      <c r="P28" s="146">
        <f t="shared" ref="P28:P29" si="30">O28*$P$3</f>
        <v>0</v>
      </c>
      <c r="Q28" s="146">
        <f t="shared" ref="Q28:Q29" si="31">P28*$Q$3</f>
        <v>0</v>
      </c>
      <c r="R28" s="146">
        <f t="shared" ref="R28:R29" si="32">Q28*$R$3</f>
        <v>0</v>
      </c>
      <c r="S28" s="146">
        <f t="shared" ref="S28:S29" si="33">R28*$S$3</f>
        <v>0</v>
      </c>
      <c r="T28" s="146"/>
    </row>
    <row r="29" spans="2:21" x14ac:dyDescent="0.25">
      <c r="B29" s="162" t="s">
        <v>227</v>
      </c>
      <c r="C29" s="184"/>
      <c r="E29" s="146">
        <f>'cost summary'!E44/E69</f>
        <v>7.2228041520000001</v>
      </c>
      <c r="F29" s="146">
        <f>E29</f>
        <v>7.2228041520000001</v>
      </c>
      <c r="G29" s="146">
        <f t="shared" si="22"/>
        <v>7.5117163180800004</v>
      </c>
      <c r="H29" s="146">
        <f t="shared" si="23"/>
        <v>7.8121849708032007</v>
      </c>
      <c r="I29" s="146">
        <f t="shared" si="24"/>
        <v>8.1246723696353289</v>
      </c>
      <c r="J29" s="146">
        <f t="shared" si="25"/>
        <v>8.4496592644207418</v>
      </c>
      <c r="K29" s="146">
        <f t="shared" si="26"/>
        <v>8.7876456349975722</v>
      </c>
      <c r="L29" s="146">
        <f t="shared" si="27"/>
        <v>9.1391514603974748</v>
      </c>
      <c r="M29" s="146">
        <f t="shared" si="28"/>
        <v>9.5047175188133739</v>
      </c>
      <c r="N29" s="146">
        <f t="shared" si="29"/>
        <v>9.8849062195659094</v>
      </c>
      <c r="O29" s="146">
        <v>0</v>
      </c>
      <c r="P29" s="146">
        <f t="shared" si="30"/>
        <v>0</v>
      </c>
      <c r="Q29" s="146">
        <f t="shared" si="31"/>
        <v>0</v>
      </c>
      <c r="R29" s="146">
        <f t="shared" si="32"/>
        <v>0</v>
      </c>
      <c r="S29" s="146">
        <f t="shared" si="33"/>
        <v>0</v>
      </c>
    </row>
    <row r="30" spans="2:21" x14ac:dyDescent="0.25">
      <c r="B30" s="162" t="s">
        <v>230</v>
      </c>
      <c r="E30" s="146">
        <v>0</v>
      </c>
      <c r="F30" s="146">
        <f>'cost summary'!E45</f>
        <v>232480</v>
      </c>
      <c r="G30" s="146">
        <f>F30</f>
        <v>232480</v>
      </c>
      <c r="H30" s="146">
        <f t="shared" ref="H30:T30" si="34">G30</f>
        <v>232480</v>
      </c>
      <c r="I30" s="146">
        <f t="shared" si="34"/>
        <v>232480</v>
      </c>
      <c r="J30" s="146">
        <f t="shared" si="34"/>
        <v>232480</v>
      </c>
      <c r="K30" s="146">
        <f t="shared" si="34"/>
        <v>232480</v>
      </c>
      <c r="L30" s="146">
        <f t="shared" si="34"/>
        <v>232480</v>
      </c>
      <c r="M30" s="146">
        <f t="shared" si="34"/>
        <v>232480</v>
      </c>
      <c r="N30" s="146">
        <f t="shared" si="34"/>
        <v>232480</v>
      </c>
      <c r="O30" s="146">
        <f t="shared" si="34"/>
        <v>232480</v>
      </c>
      <c r="P30" s="146">
        <f t="shared" si="34"/>
        <v>232480</v>
      </c>
      <c r="Q30" s="146">
        <f t="shared" si="34"/>
        <v>232480</v>
      </c>
      <c r="R30" s="146">
        <f t="shared" si="34"/>
        <v>232480</v>
      </c>
      <c r="S30" s="146">
        <f t="shared" si="34"/>
        <v>232480</v>
      </c>
      <c r="T30" s="146">
        <f t="shared" si="34"/>
        <v>232480</v>
      </c>
    </row>
    <row r="31" spans="2:21" x14ac:dyDescent="0.25">
      <c r="B31" s="162" t="s">
        <v>231</v>
      </c>
      <c r="C31" s="184"/>
      <c r="D31" s="240"/>
      <c r="E31" s="154">
        <f>'cost summary'!E46</f>
        <v>0</v>
      </c>
      <c r="F31" s="154">
        <f>E31</f>
        <v>0</v>
      </c>
      <c r="G31" s="154">
        <f t="shared" ref="G31:T31" si="35">F31</f>
        <v>0</v>
      </c>
      <c r="H31" s="154">
        <f t="shared" si="35"/>
        <v>0</v>
      </c>
      <c r="I31" s="154">
        <f t="shared" si="35"/>
        <v>0</v>
      </c>
      <c r="J31" s="154">
        <f t="shared" si="35"/>
        <v>0</v>
      </c>
      <c r="K31" s="154">
        <f t="shared" si="35"/>
        <v>0</v>
      </c>
      <c r="L31" s="154">
        <f t="shared" si="35"/>
        <v>0</v>
      </c>
      <c r="M31" s="154">
        <f t="shared" si="35"/>
        <v>0</v>
      </c>
      <c r="N31" s="154">
        <f t="shared" si="35"/>
        <v>0</v>
      </c>
      <c r="O31" s="154">
        <f t="shared" si="35"/>
        <v>0</v>
      </c>
      <c r="P31" s="154">
        <f t="shared" si="35"/>
        <v>0</v>
      </c>
      <c r="Q31" s="154">
        <f t="shared" si="35"/>
        <v>0</v>
      </c>
      <c r="R31" s="154">
        <f t="shared" si="35"/>
        <v>0</v>
      </c>
      <c r="S31" s="154">
        <f t="shared" si="35"/>
        <v>0</v>
      </c>
      <c r="T31" s="154">
        <f t="shared" si="35"/>
        <v>0</v>
      </c>
    </row>
    <row r="32" spans="2:21" s="3" customFormat="1" x14ac:dyDescent="0.25">
      <c r="B32" s="43" t="s">
        <v>229</v>
      </c>
      <c r="C32" s="182"/>
      <c r="D32" s="142">
        <f>SUM(D23:D31)</f>
        <v>0</v>
      </c>
      <c r="E32" s="142">
        <f>SUM(E23:E31)</f>
        <v>53.423789799517067</v>
      </c>
      <c r="F32" s="142">
        <f t="shared" ref="F32:T32" si="36">SUM(F23:F31)</f>
        <v>232536.15251211345</v>
      </c>
      <c r="G32" s="142">
        <f t="shared" si="36"/>
        <v>232539.36276114892</v>
      </c>
      <c r="H32" s="142">
        <f t="shared" si="36"/>
        <v>232542.75926905885</v>
      </c>
      <c r="I32" s="142">
        <f t="shared" si="36"/>
        <v>232546.35295713303</v>
      </c>
      <c r="J32" s="142">
        <f t="shared" si="36"/>
        <v>232550.15539176887</v>
      </c>
      <c r="K32" s="142">
        <f t="shared" si="36"/>
        <v>232554.17882277121</v>
      </c>
      <c r="L32" s="142">
        <f t="shared" si="36"/>
        <v>232558.4362239335</v>
      </c>
      <c r="M32" s="142">
        <f t="shared" si="36"/>
        <v>232562.94133603739</v>
      </c>
      <c r="N32" s="142">
        <f t="shared" si="36"/>
        <v>232567.7087124142</v>
      </c>
      <c r="O32" s="142">
        <f t="shared" si="36"/>
        <v>232561.44543450704</v>
      </c>
      <c r="P32" s="142">
        <f t="shared" si="36"/>
        <v>232566.33216057747</v>
      </c>
      <c r="Q32" s="142">
        <f t="shared" si="36"/>
        <v>232571.51209021211</v>
      </c>
      <c r="R32" s="142">
        <f t="shared" si="36"/>
        <v>232576.08769472272</v>
      </c>
      <c r="S32" s="142">
        <f t="shared" si="36"/>
        <v>232581.85295640607</v>
      </c>
      <c r="T32" s="142">
        <f t="shared" si="36"/>
        <v>232480</v>
      </c>
      <c r="U32" s="142"/>
    </row>
    <row r="33" spans="1:21" s="3" customFormat="1" x14ac:dyDescent="0.25">
      <c r="B33" s="43" t="s">
        <v>232</v>
      </c>
      <c r="C33" s="182"/>
      <c r="D33" s="156">
        <f t="shared" ref="D33:T33" si="37">D20+D32</f>
        <v>0</v>
      </c>
      <c r="E33" s="156">
        <f t="shared" si="37"/>
        <v>370.54811141846767</v>
      </c>
      <c r="F33" s="156">
        <f t="shared" si="37"/>
        <v>232865.96180659716</v>
      </c>
      <c r="G33" s="156">
        <f t="shared" si="37"/>
        <v>232882.36442741199</v>
      </c>
      <c r="H33" s="156">
        <f t="shared" si="37"/>
        <v>232899.48100197242</v>
      </c>
      <c r="I33" s="156">
        <f t="shared" si="37"/>
        <v>232917.34355936316</v>
      </c>
      <c r="J33" s="156">
        <f t="shared" si="37"/>
        <v>232935.98561808819</v>
      </c>
      <c r="K33" s="156">
        <f t="shared" si="37"/>
        <v>232955.4422581433</v>
      </c>
      <c r="L33" s="156">
        <f t="shared" si="37"/>
        <v>232975.75019672047</v>
      </c>
      <c r="M33" s="156">
        <f t="shared" si="37"/>
        <v>232996.94786773584</v>
      </c>
      <c r="N33" s="156">
        <f t="shared" si="37"/>
        <v>233019.07550538061</v>
      </c>
      <c r="O33" s="156">
        <f t="shared" si="37"/>
        <v>233030.8668991921</v>
      </c>
      <c r="P33" s="156">
        <f t="shared" si="37"/>
        <v>233054.53048384993</v>
      </c>
      <c r="Q33" s="156">
        <f t="shared" si="37"/>
        <v>233079.23834641548</v>
      </c>
      <c r="R33" s="156">
        <f t="shared" si="37"/>
        <v>233104.12300117422</v>
      </c>
      <c r="S33" s="156">
        <f t="shared" si="37"/>
        <v>233131.00967511564</v>
      </c>
      <c r="T33" s="156">
        <f t="shared" si="37"/>
        <v>232480</v>
      </c>
      <c r="U33" s="156"/>
    </row>
    <row r="34" spans="1:21" x14ac:dyDescent="0.25">
      <c r="B34" s="43"/>
      <c r="C34" s="182"/>
    </row>
    <row r="35" spans="1:21" ht="18.75" x14ac:dyDescent="0.3">
      <c r="B35" s="163" t="s">
        <v>234</v>
      </c>
      <c r="C35" s="185"/>
      <c r="E35" s="149"/>
    </row>
    <row r="36" spans="1:21" x14ac:dyDescent="0.25">
      <c r="B36" s="162" t="s">
        <v>169</v>
      </c>
      <c r="C36" s="184"/>
      <c r="E36" s="146">
        <f>'cost summary'!E52*E3/E69</f>
        <v>15.856216080947531</v>
      </c>
      <c r="F36" s="146">
        <f>E36*$F$3</f>
        <v>16.490464724185433</v>
      </c>
      <c r="G36" s="146">
        <f>F36*$G$3</f>
        <v>17.150083313152852</v>
      </c>
      <c r="H36" s="146">
        <f>G36*$H$3</f>
        <v>17.836086645678968</v>
      </c>
      <c r="I36" s="146">
        <f>H36*$I$3</f>
        <v>18.549530111506126</v>
      </c>
      <c r="J36" s="146">
        <f>I36*$J$3</f>
        <v>19.291511315966371</v>
      </c>
      <c r="K36" s="146">
        <f>J36*$K$3</f>
        <v>20.063171768605027</v>
      </c>
      <c r="L36" s="146">
        <f>K36*$L$3</f>
        <v>20.86569863934923</v>
      </c>
      <c r="M36" s="146">
        <f>L36*$M$3</f>
        <v>21.7003265849232</v>
      </c>
      <c r="N36" s="146">
        <f>M36*$N$3</f>
        <v>22.56833964832013</v>
      </c>
      <c r="O36" s="146">
        <f>N36*$O$3</f>
        <v>23.471073234252938</v>
      </c>
      <c r="P36" s="146">
        <f>O36*$P$3</f>
        <v>24.409916163623055</v>
      </c>
      <c r="Q36" s="146">
        <f>P36*$Q$3</f>
        <v>25.386312810167979</v>
      </c>
      <c r="R36" s="146">
        <f>Q36*$R$3</f>
        <v>26.4017653225747</v>
      </c>
      <c r="S36" s="146">
        <f>R36*$S$3</f>
        <v>27.457835935477689</v>
      </c>
    </row>
    <row r="37" spans="1:21" x14ac:dyDescent="0.25">
      <c r="B37" s="162" t="s">
        <v>166</v>
      </c>
      <c r="C37" s="184"/>
      <c r="E37" s="146">
        <f>'cost summary'!E53*E3/E69</f>
        <v>4.4721346060767999</v>
      </c>
      <c r="F37" s="146">
        <f t="shared" ref="F37:S38" si="38">E37*$F$3</f>
        <v>4.6510199903198721</v>
      </c>
      <c r="G37" s="146">
        <f t="shared" si="38"/>
        <v>4.837060789932667</v>
      </c>
      <c r="H37" s="146">
        <f t="shared" si="38"/>
        <v>5.0305432215299737</v>
      </c>
      <c r="I37" s="146">
        <f t="shared" si="38"/>
        <v>5.231764950391173</v>
      </c>
      <c r="J37" s="146">
        <f t="shared" si="38"/>
        <v>5.4410355484068198</v>
      </c>
      <c r="K37" s="146">
        <f t="shared" si="38"/>
        <v>5.6586769703430928</v>
      </c>
      <c r="L37" s="146">
        <f t="shared" si="38"/>
        <v>5.8850240491568169</v>
      </c>
      <c r="M37" s="146">
        <f t="shared" si="38"/>
        <v>6.12042501112309</v>
      </c>
      <c r="N37" s="146">
        <f t="shared" si="38"/>
        <v>6.3652420115680135</v>
      </c>
      <c r="O37" s="146">
        <f t="shared" si="38"/>
        <v>6.6198516920307346</v>
      </c>
      <c r="P37" s="146">
        <f t="shared" si="38"/>
        <v>6.8846457597119644</v>
      </c>
      <c r="Q37" s="146">
        <f t="shared" si="38"/>
        <v>7.1600315901004432</v>
      </c>
      <c r="R37" s="146">
        <f t="shared" si="38"/>
        <v>7.4464328537044615</v>
      </c>
      <c r="S37" s="146">
        <f t="shared" si="38"/>
        <v>7.7442901678526406</v>
      </c>
    </row>
    <row r="38" spans="1:21" x14ac:dyDescent="0.25">
      <c r="B38" s="162" t="s">
        <v>343</v>
      </c>
      <c r="C38" s="184"/>
      <c r="E38" s="146">
        <f>'cost summary'!E54*E3/E69</f>
        <v>2.5992886400000002</v>
      </c>
      <c r="F38" s="146">
        <f t="shared" si="38"/>
        <v>2.7032601856</v>
      </c>
      <c r="G38" s="146">
        <f t="shared" si="38"/>
        <v>2.811390593024</v>
      </c>
      <c r="H38" s="146">
        <f t="shared" si="38"/>
        <v>2.9238462167449599</v>
      </c>
      <c r="I38" s="146">
        <f t="shared" si="38"/>
        <v>3.0408000654147584</v>
      </c>
      <c r="J38" s="146">
        <f t="shared" si="38"/>
        <v>3.1624320680313489</v>
      </c>
      <c r="K38" s="146">
        <f t="shared" si="38"/>
        <v>3.288929350752603</v>
      </c>
      <c r="L38" s="146">
        <f t="shared" si="38"/>
        <v>3.420486524782707</v>
      </c>
      <c r="M38" s="146">
        <f t="shared" si="38"/>
        <v>3.5573059857740152</v>
      </c>
      <c r="N38" s="146">
        <f t="shared" si="38"/>
        <v>3.6995982252049759</v>
      </c>
      <c r="O38" s="146">
        <f t="shared" si="38"/>
        <v>3.8475821542131752</v>
      </c>
      <c r="P38" s="146">
        <f t="shared" si="38"/>
        <v>4.0014854403817024</v>
      </c>
      <c r="Q38" s="146">
        <f t="shared" si="38"/>
        <v>4.1615448579969705</v>
      </c>
      <c r="R38" s="146">
        <f t="shared" si="38"/>
        <v>4.3280066523168497</v>
      </c>
      <c r="S38" s="146">
        <f t="shared" si="38"/>
        <v>4.5011269184095237</v>
      </c>
    </row>
    <row r="39" spans="1:21" x14ac:dyDescent="0.25">
      <c r="B39" s="162" t="s">
        <v>170</v>
      </c>
      <c r="C39" s="184"/>
      <c r="E39" s="146">
        <f>'cost summary'!E55*E3/E69</f>
        <v>9.5137296485685159</v>
      </c>
      <c r="F39" s="146">
        <f t="shared" ref="F39:F40" si="39">E39*$F$3</f>
        <v>9.8942788345112564</v>
      </c>
      <c r="G39" s="146">
        <f t="shared" ref="G39:G40" si="40">F39*$G$3</f>
        <v>10.290049987891708</v>
      </c>
      <c r="H39" s="146">
        <f t="shared" ref="H39:H40" si="41">G39*$H$3</f>
        <v>10.701651987407377</v>
      </c>
      <c r="I39" s="146">
        <f t="shared" ref="I39:I40" si="42">H39*$I$3</f>
        <v>11.129718066903672</v>
      </c>
      <c r="J39" s="146">
        <f t="shared" ref="J39:J40" si="43">I39*$J$3</f>
        <v>11.574906789579821</v>
      </c>
      <c r="K39" s="146">
        <f t="shared" ref="K39:K40" si="44">J39*$K$3</f>
        <v>12.037903061163014</v>
      </c>
      <c r="L39" s="146">
        <f t="shared" ref="L39:L40" si="45">K39*$L$3</f>
        <v>12.519419183609536</v>
      </c>
      <c r="M39" s="146">
        <f t="shared" ref="M39:M40" si="46">L39*$M$3</f>
        <v>13.020195950953918</v>
      </c>
      <c r="N39" s="146">
        <f t="shared" ref="N39:N40" si="47">M39*$N$3</f>
        <v>13.541003788992075</v>
      </c>
      <c r="O39" s="146">
        <f t="shared" ref="O39:O40" si="48">N39*$O$3</f>
        <v>14.082643940551758</v>
      </c>
      <c r="P39" s="146">
        <f t="shared" ref="P39:P40" si="49">O39*$P$3</f>
        <v>14.64594969817383</v>
      </c>
      <c r="Q39" s="146">
        <f t="shared" ref="Q39:Q40" si="50">P39*$Q$3</f>
        <v>15.231787686100784</v>
      </c>
      <c r="R39" s="146">
        <f t="shared" ref="R39:R40" si="51">Q39*$R$3</f>
        <v>15.841059193544815</v>
      </c>
      <c r="S39" s="146">
        <f t="shared" ref="S39:S40" si="52">R39*$S$3</f>
        <v>16.474701561286608</v>
      </c>
    </row>
    <row r="40" spans="1:21" x14ac:dyDescent="0.25">
      <c r="B40" s="162" t="s">
        <v>171</v>
      </c>
      <c r="C40" s="184"/>
      <c r="E40" s="155">
        <f>'cost summary'!E56*E3</f>
        <v>0</v>
      </c>
      <c r="F40" s="146">
        <f t="shared" si="39"/>
        <v>0</v>
      </c>
      <c r="G40" s="146">
        <f t="shared" si="40"/>
        <v>0</v>
      </c>
      <c r="H40" s="146">
        <f t="shared" si="41"/>
        <v>0</v>
      </c>
      <c r="I40" s="146">
        <f t="shared" si="42"/>
        <v>0</v>
      </c>
      <c r="J40" s="146">
        <f t="shared" si="43"/>
        <v>0</v>
      </c>
      <c r="K40" s="146">
        <f t="shared" si="44"/>
        <v>0</v>
      </c>
      <c r="L40" s="146">
        <f t="shared" si="45"/>
        <v>0</v>
      </c>
      <c r="M40" s="146">
        <f t="shared" si="46"/>
        <v>0</v>
      </c>
      <c r="N40" s="146">
        <f t="shared" si="47"/>
        <v>0</v>
      </c>
      <c r="O40" s="146">
        <f t="shared" si="48"/>
        <v>0</v>
      </c>
      <c r="P40" s="146">
        <f t="shared" si="49"/>
        <v>0</v>
      </c>
      <c r="Q40" s="146">
        <f t="shared" si="50"/>
        <v>0</v>
      </c>
      <c r="R40" s="146">
        <f t="shared" si="51"/>
        <v>0</v>
      </c>
      <c r="S40" s="146">
        <f t="shared" si="52"/>
        <v>0</v>
      </c>
    </row>
    <row r="41" spans="1:21" s="3" customFormat="1" x14ac:dyDescent="0.25">
      <c r="B41" s="43" t="s">
        <v>233</v>
      </c>
      <c r="C41" s="182"/>
      <c r="D41" s="156">
        <f>SUM(D36:D40)</f>
        <v>0</v>
      </c>
      <c r="E41" s="156">
        <f>SUM(E36:E40)</f>
        <v>32.441368975592852</v>
      </c>
      <c r="F41" s="156">
        <f t="shared" ref="F41:T41" si="53">SUM(F36:F40)</f>
        <v>33.739023734616559</v>
      </c>
      <c r="G41" s="156">
        <f t="shared" si="53"/>
        <v>35.088584684001226</v>
      </c>
      <c r="H41" s="156">
        <f t="shared" si="53"/>
        <v>36.492128071361279</v>
      </c>
      <c r="I41" s="156">
        <f t="shared" si="53"/>
        <v>37.951813194215731</v>
      </c>
      <c r="J41" s="156">
        <f t="shared" si="53"/>
        <v>39.469885721984362</v>
      </c>
      <c r="K41" s="156">
        <f t="shared" si="53"/>
        <v>41.048681150863736</v>
      </c>
      <c r="L41" s="156">
        <f t="shared" si="53"/>
        <v>42.69062839689829</v>
      </c>
      <c r="M41" s="156">
        <f t="shared" si="53"/>
        <v>44.39825353277422</v>
      </c>
      <c r="N41" s="156">
        <f t="shared" si="53"/>
        <v>46.174183674085199</v>
      </c>
      <c r="O41" s="156">
        <f t="shared" si="53"/>
        <v>48.02115102104861</v>
      </c>
      <c r="P41" s="156">
        <f t="shared" si="53"/>
        <v>49.941997061890554</v>
      </c>
      <c r="Q41" s="156">
        <f t="shared" si="53"/>
        <v>51.939676944366184</v>
      </c>
      <c r="R41" s="156">
        <f t="shared" si="53"/>
        <v>54.017264022140829</v>
      </c>
      <c r="S41" s="156">
        <f t="shared" si="53"/>
        <v>56.177954583026462</v>
      </c>
      <c r="T41" s="156">
        <f t="shared" si="53"/>
        <v>0</v>
      </c>
    </row>
    <row r="42" spans="1:21" x14ac:dyDescent="0.25">
      <c r="B42" s="43" t="s">
        <v>362</v>
      </c>
      <c r="C42" s="182"/>
      <c r="D42" s="167">
        <f>D41+D33</f>
        <v>0</v>
      </c>
      <c r="E42" s="167">
        <f>E41+E33</f>
        <v>402.98948039406054</v>
      </c>
      <c r="F42" s="167">
        <f t="shared" ref="F42:T42" si="54">F41+F33</f>
        <v>232899.70083033177</v>
      </c>
      <c r="G42" s="167">
        <f t="shared" si="54"/>
        <v>232917.453012096</v>
      </c>
      <c r="H42" s="167">
        <f t="shared" si="54"/>
        <v>232935.9731300438</v>
      </c>
      <c r="I42" s="167">
        <f t="shared" si="54"/>
        <v>232955.29537255736</v>
      </c>
      <c r="J42" s="167">
        <f t="shared" si="54"/>
        <v>232975.45550381017</v>
      </c>
      <c r="K42" s="167">
        <f t="shared" si="54"/>
        <v>232996.49093929416</v>
      </c>
      <c r="L42" s="167">
        <f t="shared" si="54"/>
        <v>233018.44082511737</v>
      </c>
      <c r="M42" s="167">
        <f t="shared" si="54"/>
        <v>233041.34612126861</v>
      </c>
      <c r="N42" s="167">
        <f t="shared" si="54"/>
        <v>233065.2496890547</v>
      </c>
      <c r="O42" s="167">
        <f t="shared" si="54"/>
        <v>233078.88805021314</v>
      </c>
      <c r="P42" s="167">
        <f t="shared" si="54"/>
        <v>233104.47248091182</v>
      </c>
      <c r="Q42" s="167">
        <f t="shared" si="54"/>
        <v>233131.17802335985</v>
      </c>
      <c r="R42" s="167">
        <f t="shared" si="54"/>
        <v>233158.14026519636</v>
      </c>
      <c r="S42" s="167">
        <f t="shared" si="54"/>
        <v>233187.18762969866</v>
      </c>
      <c r="T42" s="167">
        <f t="shared" si="54"/>
        <v>232480</v>
      </c>
    </row>
    <row r="44" spans="1:21" s="3" customFormat="1" x14ac:dyDescent="0.25">
      <c r="B44" s="43" t="s">
        <v>365</v>
      </c>
      <c r="C44" s="182"/>
      <c r="D44" s="156">
        <f t="shared" ref="D44:T44" si="55">+D13+D42</f>
        <v>0</v>
      </c>
      <c r="E44" s="156">
        <f t="shared" si="55"/>
        <v>407.47536039406054</v>
      </c>
      <c r="F44" s="156">
        <f t="shared" si="55"/>
        <v>232899.70083033177</v>
      </c>
      <c r="G44" s="156">
        <f t="shared" si="55"/>
        <v>232917.453012096</v>
      </c>
      <c r="H44" s="156">
        <f t="shared" si="55"/>
        <v>232935.9731300438</v>
      </c>
      <c r="I44" s="156">
        <f t="shared" si="55"/>
        <v>232955.29537255736</v>
      </c>
      <c r="J44" s="156">
        <f t="shared" si="55"/>
        <v>232975.45550381017</v>
      </c>
      <c r="K44" s="156">
        <f t="shared" si="55"/>
        <v>232996.49093929416</v>
      </c>
      <c r="L44" s="156">
        <f t="shared" si="55"/>
        <v>233018.44082511737</v>
      </c>
      <c r="M44" s="156">
        <f t="shared" si="55"/>
        <v>233041.34612126861</v>
      </c>
      <c r="N44" s="156">
        <f t="shared" si="55"/>
        <v>233065.2496890547</v>
      </c>
      <c r="O44" s="156">
        <f t="shared" si="55"/>
        <v>233078.88805021314</v>
      </c>
      <c r="P44" s="156">
        <f t="shared" si="55"/>
        <v>233104.47248091182</v>
      </c>
      <c r="Q44" s="156">
        <f t="shared" si="55"/>
        <v>233131.17802335985</v>
      </c>
      <c r="R44" s="156">
        <f t="shared" si="55"/>
        <v>233158.14026519636</v>
      </c>
      <c r="S44" s="156">
        <f t="shared" si="55"/>
        <v>233187.18762969866</v>
      </c>
      <c r="T44" s="156">
        <f t="shared" si="55"/>
        <v>232480</v>
      </c>
    </row>
    <row r="46" spans="1:21" x14ac:dyDescent="0.25">
      <c r="A46" s="3"/>
      <c r="B46" s="43" t="s">
        <v>81</v>
      </c>
      <c r="C46" s="182"/>
    </row>
    <row r="47" spans="1:21" x14ac:dyDescent="0.25">
      <c r="B47" s="162" t="str">
        <f>sales!B4</f>
        <v>BUTANOL</v>
      </c>
      <c r="C47" s="184"/>
      <c r="E47" s="146">
        <f>sales!C4*E5/E69</f>
        <v>107.1</v>
      </c>
      <c r="F47" s="146">
        <f>E47*F5</f>
        <v>112.455</v>
      </c>
      <c r="G47" s="146">
        <f t="shared" ref="G47:S47" si="56">F47*G5</f>
        <v>118.07775000000001</v>
      </c>
      <c r="H47" s="146">
        <f t="shared" si="56"/>
        <v>123.98163750000002</v>
      </c>
      <c r="I47" s="146">
        <f t="shared" si="56"/>
        <v>130.18071937500002</v>
      </c>
      <c r="J47" s="146">
        <f t="shared" si="56"/>
        <v>136.68975534375002</v>
      </c>
      <c r="K47" s="146">
        <f t="shared" si="56"/>
        <v>143.52424311093753</v>
      </c>
      <c r="L47" s="146">
        <f t="shared" si="56"/>
        <v>150.70045526648443</v>
      </c>
      <c r="M47" s="146">
        <f t="shared" si="56"/>
        <v>158.23547802980866</v>
      </c>
      <c r="N47" s="146">
        <f t="shared" si="56"/>
        <v>166.14725193129911</v>
      </c>
      <c r="O47" s="146">
        <f t="shared" si="56"/>
        <v>174.45461452786407</v>
      </c>
      <c r="P47" s="146">
        <f t="shared" si="56"/>
        <v>183.17734525425729</v>
      </c>
      <c r="Q47" s="146">
        <f t="shared" si="56"/>
        <v>192.33621251697016</v>
      </c>
      <c r="R47" s="146">
        <f t="shared" si="56"/>
        <v>201.95302314281869</v>
      </c>
      <c r="S47" s="146">
        <f t="shared" si="56"/>
        <v>212.05067429995964</v>
      </c>
      <c r="T47" s="146"/>
    </row>
    <row r="48" spans="1:21" x14ac:dyDescent="0.25">
      <c r="B48" s="162" t="str">
        <f>sales!B5</f>
        <v>ETHANOL</v>
      </c>
      <c r="C48" s="184"/>
      <c r="E48" s="146">
        <f>sales!C5*E5/E69</f>
        <v>8.41995</v>
      </c>
      <c r="F48" s="146">
        <f>E48*F5</f>
        <v>8.8409475000000004</v>
      </c>
      <c r="G48" s="146">
        <f t="shared" ref="G48:S48" si="57">F48*G5</f>
        <v>9.282994875</v>
      </c>
      <c r="H48" s="146">
        <f t="shared" si="57"/>
        <v>9.747144618750001</v>
      </c>
      <c r="I48" s="146">
        <f t="shared" si="57"/>
        <v>10.234501849687501</v>
      </c>
      <c r="J48" s="146">
        <f t="shared" si="57"/>
        <v>10.746226942171877</v>
      </c>
      <c r="K48" s="146">
        <f t="shared" si="57"/>
        <v>11.283538289280472</v>
      </c>
      <c r="L48" s="146">
        <f t="shared" si="57"/>
        <v>11.847715203744496</v>
      </c>
      <c r="M48" s="146">
        <f t="shared" si="57"/>
        <v>12.440100963931721</v>
      </c>
      <c r="N48" s="146">
        <f t="shared" si="57"/>
        <v>13.062106012128307</v>
      </c>
      <c r="O48" s="146">
        <f t="shared" si="57"/>
        <v>13.715211312734723</v>
      </c>
      <c r="P48" s="146">
        <f t="shared" si="57"/>
        <v>14.400971878371461</v>
      </c>
      <c r="Q48" s="146">
        <f t="shared" si="57"/>
        <v>15.121020472290034</v>
      </c>
      <c r="R48" s="146">
        <f t="shared" si="57"/>
        <v>15.877071495904536</v>
      </c>
      <c r="S48" s="146">
        <f t="shared" si="57"/>
        <v>16.670925070699763</v>
      </c>
      <c r="T48" s="146"/>
    </row>
    <row r="49" spans="2:20" x14ac:dyDescent="0.25">
      <c r="B49" s="162" t="str">
        <f>sales!B6</f>
        <v>ACETONE</v>
      </c>
      <c r="C49" s="184"/>
      <c r="E49" s="146">
        <f>sales!C6*E5/E69</f>
        <v>14.84784</v>
      </c>
      <c r="F49" s="146">
        <f>E49*F5</f>
        <v>15.590232</v>
      </c>
      <c r="G49" s="146">
        <f t="shared" ref="G49:S49" si="58">F49*G5</f>
        <v>16.3697436</v>
      </c>
      <c r="H49" s="146">
        <f t="shared" si="58"/>
        <v>17.188230780000001</v>
      </c>
      <c r="I49" s="146">
        <f t="shared" si="58"/>
        <v>18.047642319000001</v>
      </c>
      <c r="J49" s="146">
        <f t="shared" si="58"/>
        <v>18.950024434950002</v>
      </c>
      <c r="K49" s="146">
        <f t="shared" si="58"/>
        <v>19.897525656697503</v>
      </c>
      <c r="L49" s="146">
        <f t="shared" si="58"/>
        <v>20.89240193953238</v>
      </c>
      <c r="M49" s="146">
        <f t="shared" si="58"/>
        <v>21.937022036508999</v>
      </c>
      <c r="N49" s="146">
        <f t="shared" si="58"/>
        <v>23.033873138334449</v>
      </c>
      <c r="O49" s="146">
        <f t="shared" si="58"/>
        <v>24.185566795251173</v>
      </c>
      <c r="P49" s="146">
        <f t="shared" si="58"/>
        <v>25.394845135013732</v>
      </c>
      <c r="Q49" s="146">
        <f t="shared" si="58"/>
        <v>26.664587391764421</v>
      </c>
      <c r="R49" s="146">
        <f t="shared" si="58"/>
        <v>27.997816761352642</v>
      </c>
      <c r="S49" s="146">
        <f t="shared" si="58"/>
        <v>29.397707599420276</v>
      </c>
      <c r="T49" s="146"/>
    </row>
    <row r="50" spans="2:20" x14ac:dyDescent="0.25">
      <c r="B50" s="162" t="str">
        <f>sales!B7</f>
        <v>HYDROGEN</v>
      </c>
      <c r="C50" s="184"/>
      <c r="D50" s="178"/>
      <c r="E50" s="155">
        <f>sales!C7*E5/E69</f>
        <v>0.84630000000000005</v>
      </c>
      <c r="F50" s="146">
        <f>E50*F5</f>
        <v>0.88861500000000004</v>
      </c>
      <c r="G50" s="146">
        <f t="shared" ref="G50:S50" si="59">F50*G5</f>
        <v>0.93304575000000012</v>
      </c>
      <c r="H50" s="146">
        <f t="shared" si="59"/>
        <v>0.97969803750000017</v>
      </c>
      <c r="I50" s="146">
        <f t="shared" si="59"/>
        <v>1.0286829393750003</v>
      </c>
      <c r="J50" s="146">
        <f t="shared" si="59"/>
        <v>1.0801170863437504</v>
      </c>
      <c r="K50" s="146">
        <f t="shared" si="59"/>
        <v>1.1341229406609379</v>
      </c>
      <c r="L50" s="146">
        <f t="shared" si="59"/>
        <v>1.1908290876939849</v>
      </c>
      <c r="M50" s="146">
        <f t="shared" si="59"/>
        <v>1.2503705420786841</v>
      </c>
      <c r="N50" s="146">
        <f t="shared" si="59"/>
        <v>1.3128890691826185</v>
      </c>
      <c r="O50" s="146">
        <f t="shared" si="59"/>
        <v>1.3785335226417494</v>
      </c>
      <c r="P50" s="146">
        <f t="shared" si="59"/>
        <v>1.4474601987738369</v>
      </c>
      <c r="Q50" s="146">
        <f t="shared" si="59"/>
        <v>1.5198332087125288</v>
      </c>
      <c r="R50" s="146">
        <f t="shared" si="59"/>
        <v>1.5958248691481554</v>
      </c>
      <c r="S50" s="146">
        <f t="shared" si="59"/>
        <v>1.6756161126055631</v>
      </c>
      <c r="T50" s="146"/>
    </row>
    <row r="51" spans="2:20" s="3" customFormat="1" x14ac:dyDescent="0.25">
      <c r="B51" s="43" t="s">
        <v>363</v>
      </c>
      <c r="C51" s="182"/>
      <c r="D51" s="156">
        <f>SUM(D47:D50)</f>
        <v>0</v>
      </c>
      <c r="E51" s="156">
        <f>SUM(E47:E50)</f>
        <v>131.21409</v>
      </c>
      <c r="F51" s="156">
        <f t="shared" ref="F51:T51" si="60">SUM(F47:F50)</f>
        <v>137.77479449999998</v>
      </c>
      <c r="G51" s="156">
        <f t="shared" si="60"/>
        <v>144.66353422500001</v>
      </c>
      <c r="H51" s="156">
        <f t="shared" si="60"/>
        <v>151.89671093625</v>
      </c>
      <c r="I51" s="156">
        <f t="shared" si="60"/>
        <v>159.49154648306251</v>
      </c>
      <c r="J51" s="156">
        <f t="shared" si="60"/>
        <v>167.46612380721567</v>
      </c>
      <c r="K51" s="156">
        <f t="shared" si="60"/>
        <v>175.83942999757645</v>
      </c>
      <c r="L51" s="156">
        <f t="shared" si="60"/>
        <v>184.6314014974553</v>
      </c>
      <c r="M51" s="156">
        <f t="shared" si="60"/>
        <v>193.86297157232806</v>
      </c>
      <c r="N51" s="156">
        <f t="shared" si="60"/>
        <v>203.55612015094451</v>
      </c>
      <c r="O51" s="156">
        <f t="shared" si="60"/>
        <v>213.7339261584917</v>
      </c>
      <c r="P51" s="156">
        <f t="shared" si="60"/>
        <v>224.42062246641629</v>
      </c>
      <c r="Q51" s="156">
        <f t="shared" si="60"/>
        <v>235.64165358973716</v>
      </c>
      <c r="R51" s="156">
        <f t="shared" si="60"/>
        <v>247.42373626922404</v>
      </c>
      <c r="S51" s="156">
        <f t="shared" si="60"/>
        <v>259.79492308268522</v>
      </c>
      <c r="T51" s="156">
        <f t="shared" si="60"/>
        <v>0</v>
      </c>
    </row>
    <row r="53" spans="2:20" s="124" customFormat="1" x14ac:dyDescent="0.25">
      <c r="B53" s="179" t="s">
        <v>268</v>
      </c>
      <c r="C53" s="182"/>
      <c r="D53" s="126">
        <f>D51-D44</f>
        <v>0</v>
      </c>
      <c r="E53" s="126">
        <f t="shared" ref="E53:T53" si="61">E51-E44</f>
        <v>-276.26127039406055</v>
      </c>
      <c r="F53" s="126">
        <f t="shared" si="61"/>
        <v>-232761.92603583177</v>
      </c>
      <c r="G53" s="126">
        <f t="shared" si="61"/>
        <v>-232772.789477871</v>
      </c>
      <c r="H53" s="126">
        <f t="shared" si="61"/>
        <v>-232784.07641910756</v>
      </c>
      <c r="I53" s="126">
        <f t="shared" si="61"/>
        <v>-232795.80382607429</v>
      </c>
      <c r="J53" s="126">
        <f t="shared" si="61"/>
        <v>-232807.98938000295</v>
      </c>
      <c r="K53" s="126">
        <f t="shared" si="61"/>
        <v>-232820.65150929659</v>
      </c>
      <c r="L53" s="126">
        <f t="shared" si="61"/>
        <v>-232833.80942361991</v>
      </c>
      <c r="M53" s="126">
        <f t="shared" si="61"/>
        <v>-232847.48314969629</v>
      </c>
      <c r="N53" s="126">
        <f t="shared" si="61"/>
        <v>-232861.69356890375</v>
      </c>
      <c r="O53" s="126">
        <f t="shared" si="61"/>
        <v>-232865.15412405465</v>
      </c>
      <c r="P53" s="126">
        <f t="shared" si="61"/>
        <v>-232880.0518584454</v>
      </c>
      <c r="Q53" s="126">
        <f t="shared" si="61"/>
        <v>-232895.53636977013</v>
      </c>
      <c r="R53" s="126">
        <f t="shared" si="61"/>
        <v>-232910.71652892712</v>
      </c>
      <c r="S53" s="126">
        <f t="shared" si="61"/>
        <v>-232927.39270661597</v>
      </c>
      <c r="T53" s="126">
        <f t="shared" si="61"/>
        <v>-232480</v>
      </c>
    </row>
    <row r="54" spans="2:20" s="124" customFormat="1" x14ac:dyDescent="0.25">
      <c r="B54" s="179" t="s">
        <v>269</v>
      </c>
      <c r="C54" s="182"/>
      <c r="D54" s="126">
        <f>D53</f>
        <v>0</v>
      </c>
      <c r="E54" s="126">
        <f>D54+E53</f>
        <v>-276.26127039406055</v>
      </c>
      <c r="F54" s="126">
        <f t="shared" ref="F54:T54" si="62">E54+F53</f>
        <v>-233038.18730622582</v>
      </c>
      <c r="G54" s="126">
        <f t="shared" si="62"/>
        <v>-465810.9767840968</v>
      </c>
      <c r="H54" s="126">
        <f t="shared" si="62"/>
        <v>-698595.05320320441</v>
      </c>
      <c r="I54" s="126">
        <f t="shared" si="62"/>
        <v>-931390.85702927876</v>
      </c>
      <c r="J54" s="126">
        <f t="shared" si="62"/>
        <v>-1164198.8464092817</v>
      </c>
      <c r="K54" s="126">
        <f t="shared" si="62"/>
        <v>-1397019.4979185783</v>
      </c>
      <c r="L54" s="126">
        <f t="shared" si="62"/>
        <v>-1629853.3073421982</v>
      </c>
      <c r="M54" s="126">
        <f t="shared" si="62"/>
        <v>-1862700.7904918946</v>
      </c>
      <c r="N54" s="126">
        <f t="shared" si="62"/>
        <v>-2095562.4840607983</v>
      </c>
      <c r="O54" s="126">
        <f t="shared" si="62"/>
        <v>-2328427.6381848529</v>
      </c>
      <c r="P54" s="126">
        <f t="shared" si="62"/>
        <v>-2561307.6900432985</v>
      </c>
      <c r="Q54" s="126">
        <f t="shared" si="62"/>
        <v>-2794203.2264130688</v>
      </c>
      <c r="R54" s="126">
        <f t="shared" si="62"/>
        <v>-3027113.9429419958</v>
      </c>
      <c r="S54" s="126">
        <f t="shared" si="62"/>
        <v>-3260041.3356486117</v>
      </c>
      <c r="T54" s="126">
        <f t="shared" si="62"/>
        <v>-3492521.3356486117</v>
      </c>
    </row>
    <row r="56" spans="2:20" s="186" customFormat="1" x14ac:dyDescent="0.25">
      <c r="B56" s="180" t="s">
        <v>277</v>
      </c>
      <c r="C56" s="182">
        <f>C61</f>
        <v>0.05</v>
      </c>
      <c r="D56" s="166"/>
      <c r="E56" s="186">
        <f>105%</f>
        <v>1.05</v>
      </c>
      <c r="F56" s="186">
        <f t="shared" ref="F56:T56" si="63">E56*105%</f>
        <v>1.1025</v>
      </c>
      <c r="G56" s="186">
        <f t="shared" si="63"/>
        <v>1.1576250000000001</v>
      </c>
      <c r="H56" s="186">
        <f t="shared" si="63"/>
        <v>1.2155062500000002</v>
      </c>
      <c r="I56" s="186">
        <f t="shared" si="63"/>
        <v>1.2762815625000004</v>
      </c>
      <c r="J56" s="186">
        <f t="shared" si="63"/>
        <v>1.3400956406250004</v>
      </c>
      <c r="K56" s="186">
        <f t="shared" si="63"/>
        <v>1.4071004226562505</v>
      </c>
      <c r="L56" s="186">
        <f t="shared" si="63"/>
        <v>1.477455443789063</v>
      </c>
      <c r="M56" s="186">
        <f t="shared" si="63"/>
        <v>1.5513282159785162</v>
      </c>
      <c r="N56" s="186">
        <f t="shared" si="63"/>
        <v>1.628894626777442</v>
      </c>
      <c r="O56" s="186">
        <f t="shared" si="63"/>
        <v>1.7103393581163142</v>
      </c>
      <c r="P56" s="186">
        <f t="shared" si="63"/>
        <v>1.7958563260221301</v>
      </c>
      <c r="Q56" s="186">
        <f t="shared" si="63"/>
        <v>1.8856491423232367</v>
      </c>
      <c r="R56" s="186">
        <f t="shared" si="63"/>
        <v>1.9799315994393987</v>
      </c>
      <c r="S56" s="186">
        <f t="shared" si="63"/>
        <v>2.0789281794113688</v>
      </c>
      <c r="T56" s="186">
        <f t="shared" si="63"/>
        <v>2.1828745883819374</v>
      </c>
    </row>
    <row r="57" spans="2:20" s="241" customFormat="1" x14ac:dyDescent="0.25">
      <c r="B57" s="243" t="s">
        <v>369</v>
      </c>
      <c r="C57" s="183"/>
      <c r="D57" s="168"/>
      <c r="E57" s="242">
        <f t="shared" ref="E57:T57" si="64">1/E56</f>
        <v>0.95238095238095233</v>
      </c>
      <c r="F57" s="242">
        <f t="shared" si="64"/>
        <v>0.90702947845804982</v>
      </c>
      <c r="G57" s="242">
        <f t="shared" si="64"/>
        <v>0.86383759853147601</v>
      </c>
      <c r="H57" s="242">
        <f t="shared" si="64"/>
        <v>0.82270247479188185</v>
      </c>
      <c r="I57" s="242">
        <f t="shared" si="64"/>
        <v>0.78352616646845885</v>
      </c>
      <c r="J57" s="242">
        <f t="shared" si="64"/>
        <v>0.74621539663662739</v>
      </c>
      <c r="K57" s="242">
        <f t="shared" si="64"/>
        <v>0.71068133013012136</v>
      </c>
      <c r="L57" s="242">
        <f t="shared" si="64"/>
        <v>0.676839362028687</v>
      </c>
      <c r="M57" s="242">
        <f t="shared" si="64"/>
        <v>0.64460891621779715</v>
      </c>
      <c r="N57" s="242">
        <f t="shared" si="64"/>
        <v>0.6139132535407591</v>
      </c>
      <c r="O57" s="242">
        <f t="shared" si="64"/>
        <v>0.58467928908643729</v>
      </c>
      <c r="P57" s="242">
        <f t="shared" si="64"/>
        <v>0.55683741817755927</v>
      </c>
      <c r="Q57" s="242">
        <f t="shared" si="64"/>
        <v>0.53032135064529451</v>
      </c>
      <c r="R57" s="242">
        <f t="shared" si="64"/>
        <v>0.50506795299551854</v>
      </c>
      <c r="S57" s="242">
        <f t="shared" si="64"/>
        <v>0.48101709809096999</v>
      </c>
      <c r="T57" s="242">
        <f t="shared" si="64"/>
        <v>0.45811152199139993</v>
      </c>
    </row>
    <row r="58" spans="2:20" s="124" customFormat="1" x14ac:dyDescent="0.25">
      <c r="B58" s="179" t="s">
        <v>280</v>
      </c>
      <c r="C58" s="187"/>
      <c r="D58" s="188"/>
      <c r="E58" s="124">
        <f>E53</f>
        <v>-276.26127039406055</v>
      </c>
      <c r="F58" s="124">
        <f t="shared" ref="F58:T58" si="65">F53/E56</f>
        <v>-221678.02479603025</v>
      </c>
      <c r="G58" s="124">
        <f t="shared" si="65"/>
        <v>-211131.78183933877</v>
      </c>
      <c r="H58" s="124">
        <f t="shared" si="65"/>
        <v>-201087.63755024946</v>
      </c>
      <c r="I58" s="124">
        <f t="shared" si="65"/>
        <v>-191521.68392887674</v>
      </c>
      <c r="J58" s="124">
        <f t="shared" si="65"/>
        <v>-182411.1514421434</v>
      </c>
      <c r="K58" s="124">
        <f t="shared" si="65"/>
        <v>-173734.35481120777</v>
      </c>
      <c r="L58" s="124">
        <f t="shared" si="65"/>
        <v>-165470.64138044138</v>
      </c>
      <c r="M58" s="124">
        <f t="shared" si="65"/>
        <v>-157600.34194502587</v>
      </c>
      <c r="N58" s="124">
        <f t="shared" si="65"/>
        <v>-150104.72392009181</v>
      </c>
      <c r="O58" s="124">
        <f t="shared" si="65"/>
        <v>-142959.00440456872</v>
      </c>
      <c r="P58" s="124">
        <f t="shared" si="65"/>
        <v>-136160.1431630085</v>
      </c>
      <c r="Q58" s="124">
        <f t="shared" si="65"/>
        <v>-129684.94917722064</v>
      </c>
      <c r="R58" s="124">
        <f t="shared" si="65"/>
        <v>-123517.52576938395</v>
      </c>
      <c r="S58" s="124">
        <f t="shared" si="65"/>
        <v>-117644.16143091379</v>
      </c>
      <c r="T58" s="124">
        <f t="shared" si="65"/>
        <v>-111826.85496418871</v>
      </c>
    </row>
    <row r="59" spans="2:20" s="124" customFormat="1" x14ac:dyDescent="0.25">
      <c r="B59" s="179" t="s">
        <v>281</v>
      </c>
      <c r="C59" s="187"/>
      <c r="D59" s="188">
        <f>D58</f>
        <v>0</v>
      </c>
      <c r="E59" s="124">
        <f t="shared" ref="E59:N59" si="66">D59+E58</f>
        <v>-276.26127039406055</v>
      </c>
      <c r="F59" s="124">
        <f t="shared" si="66"/>
        <v>-221954.28606642431</v>
      </c>
      <c r="G59" s="124">
        <f t="shared" si="66"/>
        <v>-433086.06790576305</v>
      </c>
      <c r="H59" s="124">
        <f t="shared" si="66"/>
        <v>-634173.70545601251</v>
      </c>
      <c r="I59" s="124">
        <f t="shared" si="66"/>
        <v>-825695.38938488928</v>
      </c>
      <c r="J59" s="124">
        <f t="shared" si="66"/>
        <v>-1008106.5408270326</v>
      </c>
      <c r="K59" s="124">
        <f t="shared" si="66"/>
        <v>-1181840.8956382405</v>
      </c>
      <c r="L59" s="124">
        <f t="shared" si="66"/>
        <v>-1347311.5370186819</v>
      </c>
      <c r="M59" s="124">
        <f t="shared" si="66"/>
        <v>-1504911.8789637077</v>
      </c>
      <c r="N59" s="124">
        <f t="shared" si="66"/>
        <v>-1655016.6028837995</v>
      </c>
      <c r="O59" s="124">
        <f t="shared" ref="O59:T59" si="67">N59+O58</f>
        <v>-1797975.6072883683</v>
      </c>
      <c r="P59" s="124">
        <f t="shared" si="67"/>
        <v>-1934135.7504513767</v>
      </c>
      <c r="Q59" s="124">
        <f t="shared" si="67"/>
        <v>-2063820.6996285974</v>
      </c>
      <c r="R59" s="124">
        <f t="shared" si="67"/>
        <v>-2187338.2253979812</v>
      </c>
      <c r="S59" s="124">
        <f t="shared" si="67"/>
        <v>-2304982.3868288952</v>
      </c>
      <c r="T59" s="124">
        <f t="shared" si="67"/>
        <v>-2416809.241793084</v>
      </c>
    </row>
    <row r="61" spans="2:20" x14ac:dyDescent="0.25">
      <c r="B61" s="180" t="s">
        <v>277</v>
      </c>
      <c r="C61" s="182">
        <f>C62+C63</f>
        <v>0.05</v>
      </c>
    </row>
    <row r="62" spans="2:20" x14ac:dyDescent="0.25">
      <c r="B62" s="162" t="s">
        <v>278</v>
      </c>
      <c r="C62" s="184">
        <v>0.03</v>
      </c>
    </row>
    <row r="63" spans="2:20" x14ac:dyDescent="0.25">
      <c r="B63" s="162" t="s">
        <v>279</v>
      </c>
      <c r="C63" s="184">
        <v>0.02</v>
      </c>
    </row>
    <row r="64" spans="2:20" s="3" customFormat="1" x14ac:dyDescent="0.25">
      <c r="B64" s="43" t="s">
        <v>367</v>
      </c>
      <c r="C64" s="182"/>
      <c r="D64" s="166"/>
      <c r="E64" s="142"/>
    </row>
    <row r="69" spans="4:5" x14ac:dyDescent="0.25">
      <c r="D69" s="250" t="s">
        <v>370</v>
      </c>
      <c r="E69" s="249">
        <v>1000000</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0B369-A2B1-4F83-821A-C208971270CA}">
  <sheetPr>
    <tabColor theme="2" tint="-9.9978637043366805E-2"/>
  </sheetPr>
  <dimension ref="A1:U68"/>
  <sheetViews>
    <sheetView zoomScale="60" zoomScaleNormal="60" workbookViewId="0">
      <pane xSplit="2" ySplit="2" topLeftCell="C33" activePane="bottomRight" state="frozen"/>
      <selection pane="topRight" activeCell="C1" sqref="C1"/>
      <selection pane="bottomLeft" activeCell="A3" sqref="A3"/>
      <selection pane="bottomRight" activeCell="A2" sqref="A2"/>
    </sheetView>
  </sheetViews>
  <sheetFormatPr defaultRowHeight="15" x14ac:dyDescent="0.25"/>
  <cols>
    <col min="1" max="1" width="3.28515625" customWidth="1"/>
    <col min="2" max="2" width="58" style="40" customWidth="1"/>
    <col min="3" max="3" width="6.7109375" style="181" customWidth="1"/>
    <col min="4" max="4" width="12" style="164" bestFit="1" customWidth="1"/>
    <col min="5" max="5" width="10.85546875" style="146" bestFit="1" customWidth="1"/>
    <col min="6" max="9" width="10.42578125" bestFit="1" customWidth="1"/>
    <col min="10" max="20" width="12" bestFit="1" customWidth="1"/>
  </cols>
  <sheetData>
    <row r="1" spans="1:20" x14ac:dyDescent="0.25">
      <c r="A1" s="161" t="s">
        <v>357</v>
      </c>
      <c r="D1" s="149" t="s">
        <v>254</v>
      </c>
      <c r="E1" s="149" t="s">
        <v>239</v>
      </c>
      <c r="F1" s="176" t="s">
        <v>240</v>
      </c>
      <c r="G1" s="176" t="s">
        <v>241</v>
      </c>
      <c r="H1" s="176" t="s">
        <v>242</v>
      </c>
      <c r="I1" s="176" t="s">
        <v>243</v>
      </c>
      <c r="J1" s="176" t="s">
        <v>244</v>
      </c>
      <c r="K1" s="176" t="s">
        <v>245</v>
      </c>
      <c r="L1" s="176" t="s">
        <v>246</v>
      </c>
      <c r="M1" s="176" t="s">
        <v>247</v>
      </c>
      <c r="N1" s="176" t="s">
        <v>248</v>
      </c>
      <c r="O1" s="176" t="s">
        <v>249</v>
      </c>
      <c r="P1" s="176" t="s">
        <v>250</v>
      </c>
      <c r="Q1" s="176" t="s">
        <v>251</v>
      </c>
      <c r="R1" s="176" t="s">
        <v>252</v>
      </c>
      <c r="S1" s="176" t="s">
        <v>253</v>
      </c>
      <c r="T1" s="176" t="s">
        <v>256</v>
      </c>
    </row>
    <row r="2" spans="1:20" s="173" customFormat="1" ht="18.75" x14ac:dyDescent="0.3">
      <c r="A2" s="246" t="s">
        <v>371</v>
      </c>
      <c r="B2" s="174"/>
      <c r="C2" s="182"/>
      <c r="D2" s="175">
        <v>2020</v>
      </c>
      <c r="E2" s="175">
        <v>2021</v>
      </c>
      <c r="F2" s="175">
        <v>2022</v>
      </c>
      <c r="G2" s="175">
        <v>2023</v>
      </c>
      <c r="H2" s="175">
        <v>2024</v>
      </c>
      <c r="I2" s="175">
        <v>2025</v>
      </c>
      <c r="J2" s="175">
        <v>2026</v>
      </c>
      <c r="K2" s="175">
        <v>2027</v>
      </c>
      <c r="L2" s="175">
        <v>2028</v>
      </c>
      <c r="M2" s="175">
        <v>2029</v>
      </c>
      <c r="N2" s="175">
        <v>2030</v>
      </c>
      <c r="O2" s="175">
        <v>2031</v>
      </c>
      <c r="P2" s="175">
        <v>2032</v>
      </c>
      <c r="Q2" s="175">
        <v>2033</v>
      </c>
      <c r="R2" s="175">
        <v>2034</v>
      </c>
      <c r="S2" s="175">
        <v>2035</v>
      </c>
      <c r="T2" s="175">
        <v>2036</v>
      </c>
    </row>
    <row r="3" spans="1:20" s="169" customFormat="1" x14ac:dyDescent="0.25">
      <c r="B3" s="172" t="s">
        <v>274</v>
      </c>
      <c r="C3" s="183"/>
      <c r="D3" s="168"/>
      <c r="E3" s="177">
        <v>1.04</v>
      </c>
      <c r="F3" s="177">
        <v>1.04</v>
      </c>
      <c r="G3" s="177">
        <f>F3</f>
        <v>1.04</v>
      </c>
      <c r="H3" s="177">
        <f t="shared" ref="H3:T5" si="0">G3</f>
        <v>1.04</v>
      </c>
      <c r="I3" s="177">
        <f t="shared" si="0"/>
        <v>1.04</v>
      </c>
      <c r="J3" s="177">
        <f t="shared" si="0"/>
        <v>1.04</v>
      </c>
      <c r="K3" s="177">
        <f t="shared" si="0"/>
        <v>1.04</v>
      </c>
      <c r="L3" s="177">
        <f t="shared" si="0"/>
        <v>1.04</v>
      </c>
      <c r="M3" s="177">
        <f t="shared" si="0"/>
        <v>1.04</v>
      </c>
      <c r="N3" s="177">
        <f t="shared" si="0"/>
        <v>1.04</v>
      </c>
      <c r="O3" s="177">
        <f t="shared" si="0"/>
        <v>1.04</v>
      </c>
      <c r="P3" s="177">
        <f t="shared" si="0"/>
        <v>1.04</v>
      </c>
      <c r="Q3" s="177">
        <f t="shared" si="0"/>
        <v>1.04</v>
      </c>
      <c r="R3" s="177">
        <f t="shared" si="0"/>
        <v>1.04</v>
      </c>
      <c r="S3" s="177">
        <f t="shared" si="0"/>
        <v>1.04</v>
      </c>
      <c r="T3" s="177">
        <f t="shared" si="0"/>
        <v>1.04</v>
      </c>
    </row>
    <row r="4" spans="1:20" s="169" customFormat="1" x14ac:dyDescent="0.25">
      <c r="B4" s="172" t="s">
        <v>275</v>
      </c>
      <c r="C4" s="183"/>
      <c r="D4" s="168"/>
      <c r="E4" s="177">
        <v>1.06</v>
      </c>
      <c r="F4" s="177">
        <v>1.06</v>
      </c>
      <c r="G4" s="177">
        <f>F4</f>
        <v>1.06</v>
      </c>
      <c r="H4" s="177">
        <f t="shared" si="0"/>
        <v>1.06</v>
      </c>
      <c r="I4" s="177">
        <f t="shared" si="0"/>
        <v>1.06</v>
      </c>
      <c r="J4" s="177">
        <f t="shared" si="0"/>
        <v>1.06</v>
      </c>
      <c r="K4" s="177">
        <f t="shared" si="0"/>
        <v>1.06</v>
      </c>
      <c r="L4" s="177">
        <f t="shared" si="0"/>
        <v>1.06</v>
      </c>
      <c r="M4" s="177">
        <f t="shared" si="0"/>
        <v>1.06</v>
      </c>
      <c r="N4" s="177">
        <f t="shared" si="0"/>
        <v>1.06</v>
      </c>
      <c r="O4" s="177">
        <f t="shared" si="0"/>
        <v>1.06</v>
      </c>
      <c r="P4" s="177">
        <f t="shared" si="0"/>
        <v>1.06</v>
      </c>
      <c r="Q4" s="177">
        <f t="shared" si="0"/>
        <v>1.06</v>
      </c>
      <c r="R4" s="177">
        <f t="shared" si="0"/>
        <v>1.06</v>
      </c>
      <c r="S4" s="177">
        <f t="shared" si="0"/>
        <v>1.06</v>
      </c>
      <c r="T4" s="177">
        <f t="shared" si="0"/>
        <v>1.06</v>
      </c>
    </row>
    <row r="5" spans="1:20" s="169" customFormat="1" x14ac:dyDescent="0.25">
      <c r="B5" s="172" t="s">
        <v>273</v>
      </c>
      <c r="C5" s="183"/>
      <c r="D5" s="168"/>
      <c r="E5" s="177">
        <v>1.05</v>
      </c>
      <c r="F5" s="177">
        <v>1.05</v>
      </c>
      <c r="G5" s="177">
        <f>F5</f>
        <v>1.05</v>
      </c>
      <c r="H5" s="177">
        <f t="shared" si="0"/>
        <v>1.05</v>
      </c>
      <c r="I5" s="177">
        <f t="shared" si="0"/>
        <v>1.05</v>
      </c>
      <c r="J5" s="177">
        <f t="shared" si="0"/>
        <v>1.05</v>
      </c>
      <c r="K5" s="177">
        <f t="shared" si="0"/>
        <v>1.05</v>
      </c>
      <c r="L5" s="177">
        <f t="shared" si="0"/>
        <v>1.05</v>
      </c>
      <c r="M5" s="177">
        <f t="shared" si="0"/>
        <v>1.05</v>
      </c>
      <c r="N5" s="177">
        <f t="shared" si="0"/>
        <v>1.05</v>
      </c>
      <c r="O5" s="177">
        <f t="shared" si="0"/>
        <v>1.05</v>
      </c>
      <c r="P5" s="177">
        <f t="shared" si="0"/>
        <v>1.05</v>
      </c>
      <c r="Q5" s="177">
        <f t="shared" si="0"/>
        <v>1.05</v>
      </c>
      <c r="R5" s="177">
        <f t="shared" si="0"/>
        <v>1.05</v>
      </c>
      <c r="S5" s="177">
        <f t="shared" si="0"/>
        <v>1.05</v>
      </c>
      <c r="T5" s="177">
        <f t="shared" si="0"/>
        <v>1.05</v>
      </c>
    </row>
    <row r="6" spans="1:20" x14ac:dyDescent="0.25">
      <c r="B6" s="43" t="s">
        <v>172</v>
      </c>
      <c r="C6" s="182"/>
      <c r="D6" s="165"/>
    </row>
    <row r="7" spans="1:20" x14ac:dyDescent="0.25">
      <c r="B7" s="162" t="s">
        <v>353</v>
      </c>
      <c r="C7" s="184"/>
      <c r="E7" s="146">
        <f>'cost summary'!E20/E68</f>
        <v>3</v>
      </c>
    </row>
    <row r="8" spans="1:20" x14ac:dyDescent="0.25">
      <c r="B8" s="162" t="s">
        <v>178</v>
      </c>
      <c r="C8" s="184"/>
      <c r="E8" s="146">
        <f>'cost summary'!E21/E68</f>
        <v>1.4858800000000001</v>
      </c>
    </row>
    <row r="9" spans="1:20" x14ac:dyDescent="0.25">
      <c r="B9" s="162" t="s">
        <v>221</v>
      </c>
      <c r="C9" s="184"/>
      <c r="D9" s="166"/>
      <c r="E9" s="146">
        <v>0</v>
      </c>
    </row>
    <row r="10" spans="1:20" x14ac:dyDescent="0.25">
      <c r="B10" s="162" t="s">
        <v>222</v>
      </c>
      <c r="C10" s="184"/>
      <c r="D10" s="166"/>
      <c r="E10" s="146">
        <v>0</v>
      </c>
    </row>
    <row r="11" spans="1:20" x14ac:dyDescent="0.25">
      <c r="B11" s="162" t="s">
        <v>176</v>
      </c>
      <c r="C11" s="184"/>
      <c r="D11" s="170"/>
      <c r="E11" s="155">
        <v>0</v>
      </c>
      <c r="F11" s="171"/>
      <c r="G11" s="171"/>
      <c r="H11" s="171"/>
      <c r="I11" s="171"/>
      <c r="J11" s="171"/>
      <c r="K11" s="171"/>
      <c r="L11" s="171"/>
      <c r="M11" s="171"/>
      <c r="N11" s="171"/>
      <c r="O11" s="171"/>
      <c r="P11" s="171"/>
      <c r="Q11" s="171"/>
      <c r="R11" s="171"/>
      <c r="S11" s="171"/>
      <c r="T11" s="171"/>
    </row>
    <row r="12" spans="1:20" x14ac:dyDescent="0.25">
      <c r="B12" s="162" t="s">
        <v>223</v>
      </c>
      <c r="C12" s="184"/>
      <c r="D12" s="154">
        <f>'cost summary'!D25</f>
        <v>0</v>
      </c>
      <c r="E12" s="154">
        <f>'cost summary'!E25</f>
        <v>0</v>
      </c>
      <c r="F12" s="154">
        <f>'cost summary'!F25</f>
        <v>0</v>
      </c>
      <c r="G12" s="154">
        <f>'cost summary'!H25</f>
        <v>0</v>
      </c>
      <c r="H12" s="154">
        <f>'cost summary'!I25</f>
        <v>0</v>
      </c>
      <c r="I12" s="154">
        <f>'cost summary'!J25</f>
        <v>0</v>
      </c>
      <c r="J12" s="154">
        <f>'cost summary'!K25</f>
        <v>0</v>
      </c>
      <c r="K12" s="154">
        <f>'cost summary'!L25</f>
        <v>0</v>
      </c>
      <c r="L12" s="154">
        <f>'cost summary'!M25</f>
        <v>0</v>
      </c>
      <c r="M12" s="154">
        <f>'cost summary'!N25</f>
        <v>0</v>
      </c>
      <c r="N12" s="154">
        <f>'cost summary'!O25</f>
        <v>0</v>
      </c>
      <c r="O12" s="154">
        <f>'cost summary'!P25</f>
        <v>0</v>
      </c>
      <c r="P12" s="154">
        <f>'cost summary'!Q25</f>
        <v>0</v>
      </c>
      <c r="Q12" s="154">
        <f>'cost summary'!R25</f>
        <v>0</v>
      </c>
      <c r="R12" s="154">
        <f>'cost summary'!S25</f>
        <v>0</v>
      </c>
      <c r="S12" s="154">
        <f>'cost summary'!T25</f>
        <v>0</v>
      </c>
      <c r="T12" s="154">
        <f>'cost summary'!U25</f>
        <v>0</v>
      </c>
    </row>
    <row r="13" spans="1:20" x14ac:dyDescent="0.25">
      <c r="B13" s="43" t="s">
        <v>276</v>
      </c>
      <c r="C13" s="182"/>
      <c r="D13" s="142">
        <f>SUM(D7:D12)</f>
        <v>0</v>
      </c>
      <c r="E13" s="142">
        <f>SUM(E7:E12)</f>
        <v>4.4858799999999999</v>
      </c>
      <c r="F13" s="142">
        <f t="shared" ref="F13:T13" si="1">SUM(F7:F12)</f>
        <v>0</v>
      </c>
      <c r="G13" s="142">
        <f t="shared" si="1"/>
        <v>0</v>
      </c>
      <c r="H13" s="142">
        <f t="shared" si="1"/>
        <v>0</v>
      </c>
      <c r="I13" s="142">
        <f t="shared" si="1"/>
        <v>0</v>
      </c>
      <c r="J13" s="142">
        <f t="shared" si="1"/>
        <v>0</v>
      </c>
      <c r="K13" s="142">
        <f t="shared" si="1"/>
        <v>0</v>
      </c>
      <c r="L13" s="142">
        <f t="shared" si="1"/>
        <v>0</v>
      </c>
      <c r="M13" s="142">
        <f t="shared" si="1"/>
        <v>0</v>
      </c>
      <c r="N13" s="142">
        <f t="shared" si="1"/>
        <v>0</v>
      </c>
      <c r="O13" s="142">
        <f t="shared" si="1"/>
        <v>0</v>
      </c>
      <c r="P13" s="142">
        <f t="shared" si="1"/>
        <v>0</v>
      </c>
      <c r="Q13" s="142">
        <f t="shared" si="1"/>
        <v>0</v>
      </c>
      <c r="R13" s="142">
        <f t="shared" si="1"/>
        <v>0</v>
      </c>
      <c r="S13" s="142">
        <f t="shared" si="1"/>
        <v>0</v>
      </c>
      <c r="T13" s="142">
        <f t="shared" si="1"/>
        <v>0</v>
      </c>
    </row>
    <row r="15" spans="1:20" x14ac:dyDescent="0.25">
      <c r="B15" s="43" t="s">
        <v>129</v>
      </c>
      <c r="C15" s="182"/>
    </row>
    <row r="16" spans="1:20" x14ac:dyDescent="0.25">
      <c r="B16" s="43" t="s">
        <v>224</v>
      </c>
      <c r="C16" s="182"/>
      <c r="E16" s="149"/>
    </row>
    <row r="17" spans="2:21" x14ac:dyDescent="0.25">
      <c r="B17" s="162" t="s">
        <v>146</v>
      </c>
      <c r="C17" s="184"/>
      <c r="E17" s="141">
        <f>'cost summary'!E32*E3/E68</f>
        <v>171.011836528</v>
      </c>
      <c r="F17" s="146">
        <f>E17*F3</f>
        <v>177.85230998912002</v>
      </c>
      <c r="G17" s="146">
        <f>F17*G3</f>
        <v>184.96640238868483</v>
      </c>
      <c r="H17" s="146">
        <f t="shared" ref="H17:S17" si="2">G17*H3</f>
        <v>192.36505848423224</v>
      </c>
      <c r="I17" s="146">
        <f t="shared" si="2"/>
        <v>200.05966082360152</v>
      </c>
      <c r="J17" s="146">
        <f t="shared" si="2"/>
        <v>208.06204725654558</v>
      </c>
      <c r="K17" s="146">
        <f t="shared" si="2"/>
        <v>216.38452914680741</v>
      </c>
      <c r="L17" s="146">
        <f t="shared" si="2"/>
        <v>225.03991031267972</v>
      </c>
      <c r="M17" s="146">
        <f t="shared" si="2"/>
        <v>234.04150672518691</v>
      </c>
      <c r="N17" s="146">
        <f t="shared" si="2"/>
        <v>243.40316699419438</v>
      </c>
      <c r="O17" s="146">
        <f t="shared" si="2"/>
        <v>253.13929367396216</v>
      </c>
      <c r="P17" s="146">
        <f t="shared" si="2"/>
        <v>263.26486542092067</v>
      </c>
      <c r="Q17" s="146">
        <f t="shared" si="2"/>
        <v>273.79546003775749</v>
      </c>
      <c r="R17" s="146">
        <f t="shared" si="2"/>
        <v>284.7472784392678</v>
      </c>
      <c r="S17" s="146">
        <f t="shared" si="2"/>
        <v>296.13716957683852</v>
      </c>
      <c r="T17" s="146"/>
    </row>
    <row r="18" spans="2:21" x14ac:dyDescent="0.25">
      <c r="B18" s="162" t="s">
        <v>152</v>
      </c>
      <c r="C18" s="184"/>
      <c r="E18" s="141">
        <f>'cost summary'!E33*E3/E68</f>
        <v>1.5652471121268803</v>
      </c>
      <c r="F18" s="146">
        <f>E18*F3</f>
        <v>1.6278569966119556</v>
      </c>
      <c r="G18" s="146">
        <f t="shared" ref="G18:S18" si="3">F18*G3</f>
        <v>1.692971276476434</v>
      </c>
      <c r="H18" s="146">
        <f t="shared" si="3"/>
        <v>1.7606901275354914</v>
      </c>
      <c r="I18" s="146">
        <f t="shared" si="3"/>
        <v>1.831117732636911</v>
      </c>
      <c r="J18" s="146">
        <f t="shared" si="3"/>
        <v>1.9043624419423875</v>
      </c>
      <c r="K18" s="146">
        <f t="shared" si="3"/>
        <v>1.9805369396200829</v>
      </c>
      <c r="L18" s="146">
        <f t="shared" si="3"/>
        <v>2.0597584172048862</v>
      </c>
      <c r="M18" s="146">
        <f t="shared" si="3"/>
        <v>2.1421487538930819</v>
      </c>
      <c r="N18" s="146">
        <f t="shared" si="3"/>
        <v>2.2278347040488051</v>
      </c>
      <c r="O18" s="146">
        <f t="shared" si="3"/>
        <v>2.3169480922107573</v>
      </c>
      <c r="P18" s="146">
        <f t="shared" si="3"/>
        <v>2.4096260158991876</v>
      </c>
      <c r="Q18" s="146">
        <f t="shared" si="3"/>
        <v>2.5060110565351552</v>
      </c>
      <c r="R18" s="146">
        <f t="shared" si="3"/>
        <v>2.6062514987965617</v>
      </c>
      <c r="S18" s="146">
        <f t="shared" si="3"/>
        <v>2.7105015587484242</v>
      </c>
      <c r="T18" s="146"/>
    </row>
    <row r="19" spans="2:21" x14ac:dyDescent="0.25">
      <c r="B19" s="43" t="s">
        <v>153</v>
      </c>
      <c r="C19" s="182"/>
      <c r="D19" s="147">
        <f>'cost summary'!D34</f>
        <v>0</v>
      </c>
      <c r="E19" s="147">
        <f>'cost summary'!E34*E3/E68</f>
        <v>144.54723797882369</v>
      </c>
      <c r="F19" s="154">
        <f>E19*F3</f>
        <v>150.32912749797663</v>
      </c>
      <c r="G19" s="154">
        <f t="shared" ref="G19:S19" si="4">F19*G3</f>
        <v>156.34229259789569</v>
      </c>
      <c r="H19" s="154">
        <f t="shared" si="4"/>
        <v>162.59598430181151</v>
      </c>
      <c r="I19" s="154">
        <f t="shared" si="4"/>
        <v>169.09982367388398</v>
      </c>
      <c r="J19" s="154">
        <f t="shared" si="4"/>
        <v>175.86381662083934</v>
      </c>
      <c r="K19" s="154">
        <f t="shared" si="4"/>
        <v>182.89836928567291</v>
      </c>
      <c r="L19" s="154">
        <f t="shared" si="4"/>
        <v>190.21430405709984</v>
      </c>
      <c r="M19" s="154">
        <f t="shared" si="4"/>
        <v>197.82287621938383</v>
      </c>
      <c r="N19" s="154">
        <f t="shared" si="4"/>
        <v>205.73579126815918</v>
      </c>
      <c r="O19" s="154">
        <f t="shared" si="4"/>
        <v>213.96522291888556</v>
      </c>
      <c r="P19" s="154">
        <f t="shared" si="4"/>
        <v>222.52383183564098</v>
      </c>
      <c r="Q19" s="154">
        <f t="shared" si="4"/>
        <v>231.42478510906662</v>
      </c>
      <c r="R19" s="154">
        <f t="shared" si="4"/>
        <v>240.6817765134293</v>
      </c>
      <c r="S19" s="154">
        <f t="shared" si="4"/>
        <v>250.30904757396647</v>
      </c>
      <c r="T19" s="154"/>
    </row>
    <row r="20" spans="2:21" s="3" customFormat="1" x14ac:dyDescent="0.25">
      <c r="B20" s="43" t="s">
        <v>364</v>
      </c>
      <c r="C20" s="182"/>
      <c r="D20" s="149">
        <f>SUM(D17:D19)</f>
        <v>0</v>
      </c>
      <c r="E20" s="149">
        <f>SUM(E17:E19)</f>
        <v>317.1243216189506</v>
      </c>
      <c r="F20" s="149">
        <f t="shared" ref="F20:T20" si="5">SUM(F17:F19)</f>
        <v>329.80929448370864</v>
      </c>
      <c r="G20" s="149">
        <f t="shared" si="5"/>
        <v>343.00166626305696</v>
      </c>
      <c r="H20" s="149">
        <f t="shared" si="5"/>
        <v>356.72173291357922</v>
      </c>
      <c r="I20" s="149">
        <f t="shared" si="5"/>
        <v>370.99060223012236</v>
      </c>
      <c r="J20" s="149">
        <f t="shared" si="5"/>
        <v>385.83022631932732</v>
      </c>
      <c r="K20" s="149">
        <f t="shared" si="5"/>
        <v>401.26343537210039</v>
      </c>
      <c r="L20" s="149">
        <f t="shared" si="5"/>
        <v>417.31397278698444</v>
      </c>
      <c r="M20" s="149">
        <f t="shared" si="5"/>
        <v>434.00653169846385</v>
      </c>
      <c r="N20" s="149">
        <f t="shared" si="5"/>
        <v>451.36679296640239</v>
      </c>
      <c r="O20" s="149">
        <f t="shared" si="5"/>
        <v>469.42146468505848</v>
      </c>
      <c r="P20" s="149">
        <f t="shared" si="5"/>
        <v>488.19832327246081</v>
      </c>
      <c r="Q20" s="149">
        <f t="shared" si="5"/>
        <v>507.7262562033593</v>
      </c>
      <c r="R20" s="149">
        <f t="shared" si="5"/>
        <v>528.03530645149362</v>
      </c>
      <c r="S20" s="149">
        <f t="shared" si="5"/>
        <v>549.15671870955339</v>
      </c>
      <c r="T20" s="149">
        <f t="shared" si="5"/>
        <v>0</v>
      </c>
    </row>
    <row r="21" spans="2:21" x14ac:dyDescent="0.25">
      <c r="E21" s="141"/>
    </row>
    <row r="22" spans="2:21" x14ac:dyDescent="0.25">
      <c r="B22" s="43" t="s">
        <v>225</v>
      </c>
      <c r="C22" s="182"/>
      <c r="E22" s="149"/>
    </row>
    <row r="23" spans="2:21" x14ac:dyDescent="0.25">
      <c r="B23" s="162" t="s">
        <v>160</v>
      </c>
      <c r="C23" s="184"/>
      <c r="E23" s="146">
        <f>'cost summary'!E38*E4/E68</f>
        <v>15.953480181293205</v>
      </c>
      <c r="F23" s="146">
        <f>E23*$F$4</f>
        <v>16.910688992170797</v>
      </c>
      <c r="G23" s="146">
        <f>F23*$G$4</f>
        <v>17.925330331701048</v>
      </c>
      <c r="H23" s="146">
        <f>G23*$H$4</f>
        <v>19.00085015160311</v>
      </c>
      <c r="I23" s="146">
        <f>H23*$I$4</f>
        <v>20.140901160699297</v>
      </c>
      <c r="J23" s="146">
        <f>I23*$J$4</f>
        <v>21.349355230341256</v>
      </c>
      <c r="K23" s="146">
        <f>J23*$K$4</f>
        <v>22.630316544161733</v>
      </c>
      <c r="L23" s="146">
        <f>K23*$L$4</f>
        <v>23.988135536811438</v>
      </c>
      <c r="M23" s="146">
        <f>L23*$M$4</f>
        <v>25.427423669020126</v>
      </c>
      <c r="N23" s="146">
        <f>M23*$N$4</f>
        <v>26.953069089161335</v>
      </c>
      <c r="O23" s="146">
        <f>N23*$O$4</f>
        <v>28.570253234511018</v>
      </c>
      <c r="P23" s="146">
        <f>O23*$P$4</f>
        <v>30.284468428581679</v>
      </c>
      <c r="Q23" s="146">
        <f>P23*$Q$4</f>
        <v>32.101536534296578</v>
      </c>
      <c r="R23" s="146">
        <f>Q23*$R$5</f>
        <v>33.706613361011406</v>
      </c>
      <c r="S23" s="146">
        <f>R23*$S$4</f>
        <v>35.72901016267209</v>
      </c>
      <c r="T23" s="146"/>
    </row>
    <row r="24" spans="2:21" x14ac:dyDescent="0.25">
      <c r="B24" s="162" t="s">
        <v>161</v>
      </c>
      <c r="C24" s="184"/>
      <c r="E24" s="146">
        <f>'cost summary'!E39*E4/E68</f>
        <v>16.081375912366976</v>
      </c>
      <c r="F24" s="146">
        <f t="shared" ref="F24:F27" si="6">E24*$F$4</f>
        <v>17.046258467108995</v>
      </c>
      <c r="G24" s="146">
        <f t="shared" ref="G24:G27" si="7">F24*$G$4</f>
        <v>18.069033975135536</v>
      </c>
      <c r="H24" s="146">
        <f t="shared" ref="H24:H27" si="8">G24*$H$4</f>
        <v>19.15317601364367</v>
      </c>
      <c r="I24" s="146">
        <f t="shared" ref="I24:I27" si="9">H24*$I$4</f>
        <v>20.30236657446229</v>
      </c>
      <c r="J24" s="146">
        <f t="shared" ref="J24:J27" si="10">I24*$J$4</f>
        <v>21.52050856893003</v>
      </c>
      <c r="K24" s="146">
        <f t="shared" ref="K24:K27" si="11">J24*$K$4</f>
        <v>22.811739083065834</v>
      </c>
      <c r="L24" s="146">
        <f t="shared" ref="L24:L27" si="12">K24*$L$4</f>
        <v>24.180443428049784</v>
      </c>
      <c r="M24" s="146">
        <f t="shared" ref="M24:M27" si="13">L24*$M$4</f>
        <v>25.631270033732772</v>
      </c>
      <c r="N24" s="146">
        <f t="shared" ref="N24:N27" si="14">M24*$N$4</f>
        <v>27.169146235756738</v>
      </c>
      <c r="O24" s="146">
        <f t="shared" ref="O24:O27" si="15">N24*$O$4</f>
        <v>28.799295009902146</v>
      </c>
      <c r="P24" s="146">
        <f t="shared" ref="P24:P27" si="16">O24*$P$4</f>
        <v>30.527252710496278</v>
      </c>
      <c r="Q24" s="146">
        <f t="shared" ref="Q24:Q27" si="17">P24*$Q$4</f>
        <v>32.358887873126058</v>
      </c>
      <c r="R24" s="146">
        <f t="shared" ref="R24:R27" si="18">Q24*$R$5</f>
        <v>33.97683226678236</v>
      </c>
      <c r="S24" s="146">
        <f t="shared" ref="S24:S27" si="19">R24*$S$4</f>
        <v>36.015442202789302</v>
      </c>
      <c r="T24" s="146"/>
    </row>
    <row r="25" spans="2:21" x14ac:dyDescent="0.25">
      <c r="B25" s="162" t="s">
        <v>162</v>
      </c>
      <c r="C25" s="184"/>
      <c r="E25" s="146">
        <f>'cost summary'!E40*E4/E68</f>
        <v>3.2162751824733955</v>
      </c>
      <c r="F25" s="146">
        <f t="shared" si="6"/>
        <v>3.4092516934217993</v>
      </c>
      <c r="G25" s="146">
        <f t="shared" si="7"/>
        <v>3.6138067950271076</v>
      </c>
      <c r="H25" s="146">
        <f t="shared" si="8"/>
        <v>3.8306352027287343</v>
      </c>
      <c r="I25" s="146">
        <f t="shared" si="9"/>
        <v>4.0604733148924588</v>
      </c>
      <c r="J25" s="146">
        <f t="shared" si="10"/>
        <v>4.3041017137860065</v>
      </c>
      <c r="K25" s="146">
        <f t="shared" si="11"/>
        <v>4.5623478166131672</v>
      </c>
      <c r="L25" s="146">
        <f t="shared" si="12"/>
        <v>4.8360886856099574</v>
      </c>
      <c r="M25" s="146">
        <f t="shared" si="13"/>
        <v>5.1262540067465547</v>
      </c>
      <c r="N25" s="146">
        <f t="shared" si="14"/>
        <v>5.4338292471513485</v>
      </c>
      <c r="O25" s="146">
        <f t="shared" si="15"/>
        <v>5.7598590019804297</v>
      </c>
      <c r="P25" s="146">
        <f t="shared" si="16"/>
        <v>6.1054505420992555</v>
      </c>
      <c r="Q25" s="146">
        <f t="shared" si="17"/>
        <v>6.4717775746252109</v>
      </c>
      <c r="R25" s="146">
        <f t="shared" si="18"/>
        <v>6.7953664533564719</v>
      </c>
      <c r="S25" s="146">
        <f t="shared" si="19"/>
        <v>7.2030884405578606</v>
      </c>
      <c r="T25" s="146"/>
    </row>
    <row r="26" spans="2:21" x14ac:dyDescent="0.25">
      <c r="B26" s="162" t="s">
        <v>163</v>
      </c>
      <c r="C26" s="184"/>
      <c r="E26" s="146">
        <f>'cost summary'!E41*E4/E68</f>
        <v>2.1868859999999999</v>
      </c>
      <c r="F26" s="146">
        <f t="shared" si="6"/>
        <v>2.31809916</v>
      </c>
      <c r="G26" s="146">
        <f t="shared" si="7"/>
        <v>2.4571851096000001</v>
      </c>
      <c r="H26" s="146">
        <f t="shared" si="8"/>
        <v>2.6046162161760003</v>
      </c>
      <c r="I26" s="146">
        <f t="shared" si="9"/>
        <v>2.7608931891465605</v>
      </c>
      <c r="J26" s="146">
        <f t="shared" si="10"/>
        <v>2.9265467804953542</v>
      </c>
      <c r="K26" s="146">
        <f t="shared" si="11"/>
        <v>3.1021395873250754</v>
      </c>
      <c r="L26" s="146">
        <f t="shared" si="12"/>
        <v>3.2882679625645803</v>
      </c>
      <c r="M26" s="146">
        <f t="shared" si="13"/>
        <v>3.4855640403184553</v>
      </c>
      <c r="N26" s="146">
        <f t="shared" si="14"/>
        <v>3.6946978827375627</v>
      </c>
      <c r="O26" s="146">
        <f t="shared" si="15"/>
        <v>3.9163797557018167</v>
      </c>
      <c r="P26" s="146">
        <f t="shared" si="16"/>
        <v>4.1513625410439259</v>
      </c>
      <c r="Q26" s="146">
        <f t="shared" si="17"/>
        <v>4.4004442935065615</v>
      </c>
      <c r="R26" s="146">
        <f t="shared" si="18"/>
        <v>4.6204665081818899</v>
      </c>
      <c r="S26" s="146">
        <f t="shared" si="19"/>
        <v>4.8976944986728039</v>
      </c>
      <c r="T26" s="146"/>
    </row>
    <row r="27" spans="2:21" x14ac:dyDescent="0.25">
      <c r="B27" s="162" t="s">
        <v>164</v>
      </c>
      <c r="C27" s="184"/>
      <c r="E27" s="146">
        <f>'cost summary'!E42*E4/E68</f>
        <v>8.0406879561834881</v>
      </c>
      <c r="F27" s="146">
        <f t="shared" si="6"/>
        <v>8.5231292335544975</v>
      </c>
      <c r="G27" s="146">
        <f t="shared" si="7"/>
        <v>9.034516987567768</v>
      </c>
      <c r="H27" s="146">
        <f t="shared" si="8"/>
        <v>9.5765880068218348</v>
      </c>
      <c r="I27" s="146">
        <f t="shared" si="9"/>
        <v>10.151183287231145</v>
      </c>
      <c r="J27" s="146">
        <f t="shared" si="10"/>
        <v>10.760254284465015</v>
      </c>
      <c r="K27" s="146">
        <f t="shared" si="11"/>
        <v>11.405869541532917</v>
      </c>
      <c r="L27" s="146">
        <f t="shared" si="12"/>
        <v>12.090221714024892</v>
      </c>
      <c r="M27" s="146">
        <f t="shared" si="13"/>
        <v>12.815635016866386</v>
      </c>
      <c r="N27" s="146">
        <f t="shared" si="14"/>
        <v>13.584573117878369</v>
      </c>
      <c r="O27" s="146">
        <f t="shared" si="15"/>
        <v>14.399647504951073</v>
      </c>
      <c r="P27" s="146">
        <f t="shared" si="16"/>
        <v>15.263626355248139</v>
      </c>
      <c r="Q27" s="146">
        <f t="shared" si="17"/>
        <v>16.179443936563029</v>
      </c>
      <c r="R27" s="146">
        <f t="shared" si="18"/>
        <v>16.98841613339118</v>
      </c>
      <c r="S27" s="146">
        <f t="shared" si="19"/>
        <v>18.007721101394651</v>
      </c>
      <c r="T27" s="146"/>
    </row>
    <row r="28" spans="2:21" x14ac:dyDescent="0.25">
      <c r="B28" s="162" t="s">
        <v>226</v>
      </c>
      <c r="C28" s="184"/>
      <c r="E28" s="146">
        <f>'cost summary'!E43/E68</f>
        <v>0.72228041520000008</v>
      </c>
      <c r="F28" s="146">
        <f>E28</f>
        <v>0.72228041520000008</v>
      </c>
      <c r="G28" s="146">
        <f t="shared" ref="G28:G29" si="20">F28*$G$3</f>
        <v>0.75117163180800006</v>
      </c>
      <c r="H28" s="146">
        <f t="shared" ref="H28:H29" si="21">G28*$H$3</f>
        <v>0.7812184970803201</v>
      </c>
      <c r="I28" s="146">
        <f t="shared" ref="I28:I29" si="22">H28*$I$3</f>
        <v>0.81246723696353296</v>
      </c>
      <c r="J28" s="146">
        <f t="shared" ref="J28:J29" si="23">I28*$J$3</f>
        <v>0.84496592644207436</v>
      </c>
      <c r="K28" s="146">
        <f t="shared" ref="K28:K29" si="24">J28*$K$3</f>
        <v>0.8787645634997574</v>
      </c>
      <c r="L28" s="146">
        <f t="shared" ref="L28:L29" si="25">K28*$L$3</f>
        <v>0.91391514603974777</v>
      </c>
      <c r="M28" s="146">
        <f t="shared" ref="M28:M29" si="26">L28*$M$3</f>
        <v>0.9504717518813377</v>
      </c>
      <c r="N28" s="146">
        <f t="shared" ref="N28:N29" si="27">M28*$N$3</f>
        <v>0.98849062195659121</v>
      </c>
      <c r="O28" s="146">
        <v>0</v>
      </c>
      <c r="P28" s="146">
        <f t="shared" ref="P28:P29" si="28">O28*$P$3</f>
        <v>0</v>
      </c>
      <c r="Q28" s="146">
        <f t="shared" ref="Q28:Q29" si="29">P28*$Q$3</f>
        <v>0</v>
      </c>
      <c r="R28" s="146">
        <f t="shared" ref="R28:R29" si="30">Q28*$R$3</f>
        <v>0</v>
      </c>
      <c r="S28" s="146">
        <f t="shared" ref="S28:S29" si="31">R28*$S$3</f>
        <v>0</v>
      </c>
      <c r="T28" s="146"/>
    </row>
    <row r="29" spans="2:21" x14ac:dyDescent="0.25">
      <c r="B29" s="162" t="s">
        <v>227</v>
      </c>
      <c r="C29" s="184"/>
      <c r="E29" s="146">
        <f>'cost summary'!E44/E68</f>
        <v>7.2228041520000001</v>
      </c>
      <c r="F29" s="146">
        <f>E29</f>
        <v>7.2228041520000001</v>
      </c>
      <c r="G29" s="146">
        <f t="shared" si="20"/>
        <v>7.5117163180800004</v>
      </c>
      <c r="H29" s="146">
        <f t="shared" si="21"/>
        <v>7.8121849708032007</v>
      </c>
      <c r="I29" s="146">
        <f t="shared" si="22"/>
        <v>8.1246723696353289</v>
      </c>
      <c r="J29" s="146">
        <f t="shared" si="23"/>
        <v>8.4496592644207418</v>
      </c>
      <c r="K29" s="146">
        <f t="shared" si="24"/>
        <v>8.7876456349975722</v>
      </c>
      <c r="L29" s="146">
        <f t="shared" si="25"/>
        <v>9.1391514603974748</v>
      </c>
      <c r="M29" s="146">
        <f t="shared" si="26"/>
        <v>9.5047175188133739</v>
      </c>
      <c r="N29" s="146">
        <f t="shared" si="27"/>
        <v>9.8849062195659094</v>
      </c>
      <c r="O29" s="146">
        <v>0</v>
      </c>
      <c r="P29" s="146">
        <f t="shared" si="28"/>
        <v>0</v>
      </c>
      <c r="Q29" s="146">
        <f t="shared" si="29"/>
        <v>0</v>
      </c>
      <c r="R29" s="146">
        <f t="shared" si="30"/>
        <v>0</v>
      </c>
      <c r="S29" s="146">
        <f t="shared" si="31"/>
        <v>0</v>
      </c>
    </row>
    <row r="30" spans="2:21" x14ac:dyDescent="0.25">
      <c r="B30" s="162" t="s">
        <v>230</v>
      </c>
      <c r="E30" s="146">
        <v>0</v>
      </c>
      <c r="F30" s="146">
        <f>'cost summary'!E45</f>
        <v>232480</v>
      </c>
      <c r="G30" s="146">
        <f>F30</f>
        <v>232480</v>
      </c>
      <c r="H30" s="146">
        <f t="shared" ref="H30:T30" si="32">G30</f>
        <v>232480</v>
      </c>
      <c r="I30" s="146">
        <f t="shared" si="32"/>
        <v>232480</v>
      </c>
      <c r="J30" s="146">
        <f t="shared" si="32"/>
        <v>232480</v>
      </c>
      <c r="K30" s="146">
        <f t="shared" si="32"/>
        <v>232480</v>
      </c>
      <c r="L30" s="146">
        <f t="shared" si="32"/>
        <v>232480</v>
      </c>
      <c r="M30" s="146">
        <f t="shared" si="32"/>
        <v>232480</v>
      </c>
      <c r="N30" s="146">
        <f t="shared" si="32"/>
        <v>232480</v>
      </c>
      <c r="O30" s="146">
        <f t="shared" si="32"/>
        <v>232480</v>
      </c>
      <c r="P30" s="146">
        <f t="shared" si="32"/>
        <v>232480</v>
      </c>
      <c r="Q30" s="146">
        <f t="shared" si="32"/>
        <v>232480</v>
      </c>
      <c r="R30" s="146">
        <f t="shared" si="32"/>
        <v>232480</v>
      </c>
      <c r="S30" s="146">
        <f t="shared" si="32"/>
        <v>232480</v>
      </c>
      <c r="T30" s="146">
        <f t="shared" si="32"/>
        <v>232480</v>
      </c>
    </row>
    <row r="31" spans="2:21" x14ac:dyDescent="0.25">
      <c r="B31" s="162" t="s">
        <v>231</v>
      </c>
      <c r="C31" s="184"/>
      <c r="D31" s="240"/>
      <c r="E31" s="154">
        <f>'cost summary'!E46</f>
        <v>0</v>
      </c>
      <c r="F31" s="154">
        <f>E31</f>
        <v>0</v>
      </c>
      <c r="G31" s="154">
        <f t="shared" ref="G31:T31" si="33">F31</f>
        <v>0</v>
      </c>
      <c r="H31" s="154">
        <f t="shared" si="33"/>
        <v>0</v>
      </c>
      <c r="I31" s="154">
        <f t="shared" si="33"/>
        <v>0</v>
      </c>
      <c r="J31" s="154">
        <f t="shared" si="33"/>
        <v>0</v>
      </c>
      <c r="K31" s="154">
        <f t="shared" si="33"/>
        <v>0</v>
      </c>
      <c r="L31" s="154">
        <f t="shared" si="33"/>
        <v>0</v>
      </c>
      <c r="M31" s="154">
        <f t="shared" si="33"/>
        <v>0</v>
      </c>
      <c r="N31" s="154">
        <f t="shared" si="33"/>
        <v>0</v>
      </c>
      <c r="O31" s="154">
        <f t="shared" si="33"/>
        <v>0</v>
      </c>
      <c r="P31" s="154">
        <f t="shared" si="33"/>
        <v>0</v>
      </c>
      <c r="Q31" s="154">
        <f t="shared" si="33"/>
        <v>0</v>
      </c>
      <c r="R31" s="154">
        <f t="shared" si="33"/>
        <v>0</v>
      </c>
      <c r="S31" s="154">
        <f t="shared" si="33"/>
        <v>0</v>
      </c>
      <c r="T31" s="154">
        <f t="shared" si="33"/>
        <v>0</v>
      </c>
    </row>
    <row r="32" spans="2:21" s="3" customFormat="1" x14ac:dyDescent="0.25">
      <c r="B32" s="43" t="s">
        <v>229</v>
      </c>
      <c r="C32" s="182"/>
      <c r="D32" s="142">
        <f>SUM(D23:D31)</f>
        <v>0</v>
      </c>
      <c r="E32" s="142">
        <f>SUM(E23:E31)</f>
        <v>53.423789799517067</v>
      </c>
      <c r="F32" s="142">
        <f t="shared" ref="F32:T32" si="34">SUM(F23:F31)</f>
        <v>232536.15251211345</v>
      </c>
      <c r="G32" s="142">
        <f t="shared" si="34"/>
        <v>232539.36276114892</v>
      </c>
      <c r="H32" s="142">
        <f t="shared" si="34"/>
        <v>232542.75926905885</v>
      </c>
      <c r="I32" s="142">
        <f t="shared" si="34"/>
        <v>232546.35295713303</v>
      </c>
      <c r="J32" s="142">
        <f t="shared" si="34"/>
        <v>232550.15539176887</v>
      </c>
      <c r="K32" s="142">
        <f t="shared" si="34"/>
        <v>232554.17882277121</v>
      </c>
      <c r="L32" s="142">
        <f t="shared" si="34"/>
        <v>232558.4362239335</v>
      </c>
      <c r="M32" s="142">
        <f t="shared" si="34"/>
        <v>232562.94133603739</v>
      </c>
      <c r="N32" s="142">
        <f t="shared" si="34"/>
        <v>232567.7087124142</v>
      </c>
      <c r="O32" s="142">
        <f t="shared" si="34"/>
        <v>232561.44543450704</v>
      </c>
      <c r="P32" s="142">
        <f t="shared" si="34"/>
        <v>232566.33216057747</v>
      </c>
      <c r="Q32" s="142">
        <f t="shared" si="34"/>
        <v>232571.51209021211</v>
      </c>
      <c r="R32" s="142">
        <f t="shared" si="34"/>
        <v>232576.08769472272</v>
      </c>
      <c r="S32" s="142">
        <f t="shared" si="34"/>
        <v>232581.85295640607</v>
      </c>
      <c r="T32" s="142">
        <f t="shared" si="34"/>
        <v>232480</v>
      </c>
      <c r="U32" s="142"/>
    </row>
    <row r="33" spans="1:21" s="3" customFormat="1" x14ac:dyDescent="0.25">
      <c r="B33" s="43" t="s">
        <v>232</v>
      </c>
      <c r="C33" s="182"/>
      <c r="D33" s="156">
        <f t="shared" ref="D33:T33" si="35">D20+D32</f>
        <v>0</v>
      </c>
      <c r="E33" s="156">
        <f t="shared" si="35"/>
        <v>370.54811141846767</v>
      </c>
      <c r="F33" s="156">
        <f t="shared" si="35"/>
        <v>232865.96180659716</v>
      </c>
      <c r="G33" s="156">
        <f t="shared" si="35"/>
        <v>232882.36442741199</v>
      </c>
      <c r="H33" s="156">
        <f t="shared" si="35"/>
        <v>232899.48100197242</v>
      </c>
      <c r="I33" s="156">
        <f t="shared" si="35"/>
        <v>232917.34355936316</v>
      </c>
      <c r="J33" s="156">
        <f t="shared" si="35"/>
        <v>232935.98561808819</v>
      </c>
      <c r="K33" s="156">
        <f t="shared" si="35"/>
        <v>232955.4422581433</v>
      </c>
      <c r="L33" s="156">
        <f t="shared" si="35"/>
        <v>232975.75019672047</v>
      </c>
      <c r="M33" s="156">
        <f t="shared" si="35"/>
        <v>232996.94786773584</v>
      </c>
      <c r="N33" s="156">
        <f t="shared" si="35"/>
        <v>233019.07550538061</v>
      </c>
      <c r="O33" s="156">
        <f t="shared" si="35"/>
        <v>233030.8668991921</v>
      </c>
      <c r="P33" s="156">
        <f t="shared" si="35"/>
        <v>233054.53048384993</v>
      </c>
      <c r="Q33" s="156">
        <f t="shared" si="35"/>
        <v>233079.23834641548</v>
      </c>
      <c r="R33" s="156">
        <f t="shared" si="35"/>
        <v>233104.12300117422</v>
      </c>
      <c r="S33" s="156">
        <f t="shared" si="35"/>
        <v>233131.00967511564</v>
      </c>
      <c r="T33" s="156">
        <f t="shared" si="35"/>
        <v>232480</v>
      </c>
      <c r="U33" s="156"/>
    </row>
    <row r="34" spans="1:21" x14ac:dyDescent="0.25">
      <c r="B34" s="43"/>
      <c r="C34" s="182"/>
    </row>
    <row r="35" spans="1:21" ht="18.75" x14ac:dyDescent="0.3">
      <c r="B35" s="163" t="s">
        <v>234</v>
      </c>
      <c r="C35" s="185"/>
      <c r="E35" s="149"/>
    </row>
    <row r="36" spans="1:21" x14ac:dyDescent="0.25">
      <c r="B36" s="162" t="s">
        <v>169</v>
      </c>
      <c r="C36" s="184"/>
      <c r="E36" s="146">
        <f>'cost summary'!E52*E3/E68</f>
        <v>15.856216080947531</v>
      </c>
      <c r="F36" s="146">
        <f>E36*$F$3</f>
        <v>16.490464724185433</v>
      </c>
      <c r="G36" s="146">
        <f>F36*$G$3</f>
        <v>17.150083313152852</v>
      </c>
      <c r="H36" s="146">
        <f>G36*$H$3</f>
        <v>17.836086645678968</v>
      </c>
      <c r="I36" s="146">
        <f>H36*$I$3</f>
        <v>18.549530111506126</v>
      </c>
      <c r="J36" s="146">
        <f>I36*$J$3</f>
        <v>19.291511315966371</v>
      </c>
      <c r="K36" s="146">
        <f>J36*$K$3</f>
        <v>20.063171768605027</v>
      </c>
      <c r="L36" s="146">
        <f>K36*$L$3</f>
        <v>20.86569863934923</v>
      </c>
      <c r="M36" s="146">
        <f>L36*$M$3</f>
        <v>21.7003265849232</v>
      </c>
      <c r="N36" s="146">
        <f>M36*$N$3</f>
        <v>22.56833964832013</v>
      </c>
      <c r="O36" s="146">
        <f>N36*$O$3</f>
        <v>23.471073234252938</v>
      </c>
      <c r="P36" s="146">
        <f>O36*$P$3</f>
        <v>24.409916163623055</v>
      </c>
      <c r="Q36" s="146">
        <f>P36*$Q$3</f>
        <v>25.386312810167979</v>
      </c>
      <c r="R36" s="146">
        <f>Q36*$R$3</f>
        <v>26.4017653225747</v>
      </c>
      <c r="S36" s="146">
        <f>R36*$S$3</f>
        <v>27.457835935477689</v>
      </c>
    </row>
    <row r="37" spans="1:21" x14ac:dyDescent="0.25">
      <c r="B37" s="162" t="s">
        <v>166</v>
      </c>
      <c r="C37" s="184"/>
      <c r="E37" s="146">
        <f>'cost summary'!E53*E3/E68</f>
        <v>4.4721346060767999</v>
      </c>
      <c r="F37" s="146">
        <f t="shared" ref="F37:S40" si="36">E37*$F$3</f>
        <v>4.6510199903198721</v>
      </c>
      <c r="G37" s="146">
        <f t="shared" si="36"/>
        <v>4.837060789932667</v>
      </c>
      <c r="H37" s="146">
        <f t="shared" si="36"/>
        <v>5.0305432215299737</v>
      </c>
      <c r="I37" s="146">
        <f t="shared" si="36"/>
        <v>5.231764950391173</v>
      </c>
      <c r="J37" s="146">
        <f t="shared" si="36"/>
        <v>5.4410355484068198</v>
      </c>
      <c r="K37" s="146">
        <f t="shared" si="36"/>
        <v>5.6586769703430928</v>
      </c>
      <c r="L37" s="146">
        <f t="shared" si="36"/>
        <v>5.8850240491568169</v>
      </c>
      <c r="M37" s="146">
        <f t="shared" si="36"/>
        <v>6.12042501112309</v>
      </c>
      <c r="N37" s="146">
        <f t="shared" si="36"/>
        <v>6.3652420115680135</v>
      </c>
      <c r="O37" s="146">
        <f t="shared" si="36"/>
        <v>6.6198516920307346</v>
      </c>
      <c r="P37" s="146">
        <f t="shared" si="36"/>
        <v>6.8846457597119644</v>
      </c>
      <c r="Q37" s="146">
        <f t="shared" si="36"/>
        <v>7.1600315901004432</v>
      </c>
      <c r="R37" s="146">
        <f t="shared" si="36"/>
        <v>7.4464328537044615</v>
      </c>
      <c r="S37" s="146">
        <f t="shared" si="36"/>
        <v>7.7442901678526406</v>
      </c>
    </row>
    <row r="38" spans="1:21" x14ac:dyDescent="0.25">
      <c r="B38" s="162" t="s">
        <v>343</v>
      </c>
      <c r="C38" s="184"/>
      <c r="E38" s="146">
        <f>'cost summary'!E54*E3/E68</f>
        <v>2.5992886400000002</v>
      </c>
      <c r="F38" s="146">
        <f t="shared" si="36"/>
        <v>2.7032601856</v>
      </c>
      <c r="G38" s="146">
        <f t="shared" si="36"/>
        <v>2.811390593024</v>
      </c>
      <c r="H38" s="146">
        <f t="shared" si="36"/>
        <v>2.9238462167449599</v>
      </c>
      <c r="I38" s="146">
        <f t="shared" si="36"/>
        <v>3.0408000654147584</v>
      </c>
      <c r="J38" s="146">
        <f t="shared" si="36"/>
        <v>3.1624320680313489</v>
      </c>
      <c r="K38" s="146">
        <f t="shared" si="36"/>
        <v>3.288929350752603</v>
      </c>
      <c r="L38" s="146">
        <f t="shared" si="36"/>
        <v>3.420486524782707</v>
      </c>
      <c r="M38" s="146">
        <f t="shared" si="36"/>
        <v>3.5573059857740152</v>
      </c>
      <c r="N38" s="146">
        <f t="shared" si="36"/>
        <v>3.6995982252049759</v>
      </c>
      <c r="O38" s="146">
        <f t="shared" si="36"/>
        <v>3.8475821542131752</v>
      </c>
      <c r="P38" s="146">
        <f t="shared" si="36"/>
        <v>4.0014854403817024</v>
      </c>
      <c r="Q38" s="146">
        <f t="shared" si="36"/>
        <v>4.1615448579969705</v>
      </c>
      <c r="R38" s="146">
        <f t="shared" si="36"/>
        <v>4.3280066523168497</v>
      </c>
      <c r="S38" s="146">
        <f t="shared" si="36"/>
        <v>4.5011269184095237</v>
      </c>
    </row>
    <row r="39" spans="1:21" x14ac:dyDescent="0.25">
      <c r="B39" s="162" t="s">
        <v>170</v>
      </c>
      <c r="C39" s="184"/>
      <c r="E39" s="146">
        <f>'cost summary'!E55*E3/E68</f>
        <v>9.5137296485685159</v>
      </c>
      <c r="F39" s="146">
        <f t="shared" si="36"/>
        <v>9.8942788345112564</v>
      </c>
      <c r="G39" s="146">
        <f t="shared" ref="G39:G40" si="37">F39*$G$3</f>
        <v>10.290049987891708</v>
      </c>
      <c r="H39" s="146">
        <f t="shared" ref="H39:H40" si="38">G39*$H$3</f>
        <v>10.701651987407377</v>
      </c>
      <c r="I39" s="146">
        <f t="shared" ref="I39:I40" si="39">H39*$I$3</f>
        <v>11.129718066903672</v>
      </c>
      <c r="J39" s="146">
        <f t="shared" ref="J39:J40" si="40">I39*$J$3</f>
        <v>11.574906789579821</v>
      </c>
      <c r="K39" s="146">
        <f t="shared" ref="K39:K40" si="41">J39*$K$3</f>
        <v>12.037903061163014</v>
      </c>
      <c r="L39" s="146">
        <f t="shared" ref="L39:L40" si="42">K39*$L$3</f>
        <v>12.519419183609536</v>
      </c>
      <c r="M39" s="146">
        <f t="shared" ref="M39:M40" si="43">L39*$M$3</f>
        <v>13.020195950953918</v>
      </c>
      <c r="N39" s="146">
        <f t="shared" ref="N39:N40" si="44">M39*$N$3</f>
        <v>13.541003788992075</v>
      </c>
      <c r="O39" s="146">
        <f t="shared" ref="O39:O40" si="45">N39*$O$3</f>
        <v>14.082643940551758</v>
      </c>
      <c r="P39" s="146">
        <f t="shared" ref="P39:P40" si="46">O39*$P$3</f>
        <v>14.64594969817383</v>
      </c>
      <c r="Q39" s="146">
        <f t="shared" ref="Q39:Q40" si="47">P39*$Q$3</f>
        <v>15.231787686100784</v>
      </c>
      <c r="R39" s="146">
        <f t="shared" ref="R39:R40" si="48">Q39*$R$3</f>
        <v>15.841059193544815</v>
      </c>
      <c r="S39" s="146">
        <f t="shared" ref="S39:S40" si="49">R39*$S$3</f>
        <v>16.474701561286608</v>
      </c>
    </row>
    <row r="40" spans="1:21" x14ac:dyDescent="0.25">
      <c r="B40" s="162" t="s">
        <v>171</v>
      </c>
      <c r="C40" s="184"/>
      <c r="E40" s="155">
        <f>'cost summary'!E56*E3</f>
        <v>0</v>
      </c>
      <c r="F40" s="146">
        <f t="shared" si="36"/>
        <v>0</v>
      </c>
      <c r="G40" s="146">
        <f t="shared" si="37"/>
        <v>0</v>
      </c>
      <c r="H40" s="146">
        <f t="shared" si="38"/>
        <v>0</v>
      </c>
      <c r="I40" s="146">
        <f t="shared" si="39"/>
        <v>0</v>
      </c>
      <c r="J40" s="146">
        <f t="shared" si="40"/>
        <v>0</v>
      </c>
      <c r="K40" s="146">
        <f t="shared" si="41"/>
        <v>0</v>
      </c>
      <c r="L40" s="146">
        <f t="shared" si="42"/>
        <v>0</v>
      </c>
      <c r="M40" s="146">
        <f t="shared" si="43"/>
        <v>0</v>
      </c>
      <c r="N40" s="146">
        <f t="shared" si="44"/>
        <v>0</v>
      </c>
      <c r="O40" s="146">
        <f t="shared" si="45"/>
        <v>0</v>
      </c>
      <c r="P40" s="146">
        <f t="shared" si="46"/>
        <v>0</v>
      </c>
      <c r="Q40" s="146">
        <f t="shared" si="47"/>
        <v>0</v>
      </c>
      <c r="R40" s="146">
        <f t="shared" si="48"/>
        <v>0</v>
      </c>
      <c r="S40" s="146">
        <f t="shared" si="49"/>
        <v>0</v>
      </c>
    </row>
    <row r="41" spans="1:21" s="3" customFormat="1" x14ac:dyDescent="0.25">
      <c r="B41" s="43" t="s">
        <v>233</v>
      </c>
      <c r="C41" s="182"/>
      <c r="D41" s="156">
        <f>SUM(D36:D40)</f>
        <v>0</v>
      </c>
      <c r="E41" s="156">
        <f>SUM(E36:E40)</f>
        <v>32.441368975592852</v>
      </c>
      <c r="F41" s="156">
        <f t="shared" ref="F41:T41" si="50">SUM(F36:F40)</f>
        <v>33.739023734616559</v>
      </c>
      <c r="G41" s="156">
        <f t="shared" si="50"/>
        <v>35.088584684001226</v>
      </c>
      <c r="H41" s="156">
        <f t="shared" si="50"/>
        <v>36.492128071361279</v>
      </c>
      <c r="I41" s="156">
        <f t="shared" si="50"/>
        <v>37.951813194215731</v>
      </c>
      <c r="J41" s="156">
        <f t="shared" si="50"/>
        <v>39.469885721984362</v>
      </c>
      <c r="K41" s="156">
        <f t="shared" si="50"/>
        <v>41.048681150863736</v>
      </c>
      <c r="L41" s="156">
        <f t="shared" si="50"/>
        <v>42.69062839689829</v>
      </c>
      <c r="M41" s="156">
        <f t="shared" si="50"/>
        <v>44.39825353277422</v>
      </c>
      <c r="N41" s="156">
        <f t="shared" si="50"/>
        <v>46.174183674085199</v>
      </c>
      <c r="O41" s="156">
        <f t="shared" si="50"/>
        <v>48.02115102104861</v>
      </c>
      <c r="P41" s="156">
        <f t="shared" si="50"/>
        <v>49.941997061890554</v>
      </c>
      <c r="Q41" s="156">
        <f t="shared" si="50"/>
        <v>51.939676944366184</v>
      </c>
      <c r="R41" s="156">
        <f t="shared" si="50"/>
        <v>54.017264022140829</v>
      </c>
      <c r="S41" s="156">
        <f t="shared" si="50"/>
        <v>56.177954583026462</v>
      </c>
      <c r="T41" s="156">
        <f t="shared" si="50"/>
        <v>0</v>
      </c>
    </row>
    <row r="42" spans="1:21" x14ac:dyDescent="0.25">
      <c r="B42" s="43" t="s">
        <v>362</v>
      </c>
      <c r="C42" s="182"/>
      <c r="D42" s="167">
        <f>D41+D33</f>
        <v>0</v>
      </c>
      <c r="E42" s="167">
        <f>E41+E33</f>
        <v>402.98948039406054</v>
      </c>
      <c r="F42" s="167">
        <f t="shared" ref="F42:T42" si="51">F41+F33</f>
        <v>232899.70083033177</v>
      </c>
      <c r="G42" s="167">
        <f t="shared" si="51"/>
        <v>232917.453012096</v>
      </c>
      <c r="H42" s="167">
        <f t="shared" si="51"/>
        <v>232935.9731300438</v>
      </c>
      <c r="I42" s="167">
        <f t="shared" si="51"/>
        <v>232955.29537255736</v>
      </c>
      <c r="J42" s="167">
        <f t="shared" si="51"/>
        <v>232975.45550381017</v>
      </c>
      <c r="K42" s="167">
        <f t="shared" si="51"/>
        <v>232996.49093929416</v>
      </c>
      <c r="L42" s="167">
        <f t="shared" si="51"/>
        <v>233018.44082511737</v>
      </c>
      <c r="M42" s="167">
        <f t="shared" si="51"/>
        <v>233041.34612126861</v>
      </c>
      <c r="N42" s="167">
        <f t="shared" si="51"/>
        <v>233065.2496890547</v>
      </c>
      <c r="O42" s="167">
        <f t="shared" si="51"/>
        <v>233078.88805021314</v>
      </c>
      <c r="P42" s="167">
        <f t="shared" si="51"/>
        <v>233104.47248091182</v>
      </c>
      <c r="Q42" s="167">
        <f t="shared" si="51"/>
        <v>233131.17802335985</v>
      </c>
      <c r="R42" s="167">
        <f t="shared" si="51"/>
        <v>233158.14026519636</v>
      </c>
      <c r="S42" s="167">
        <f t="shared" si="51"/>
        <v>233187.18762969866</v>
      </c>
      <c r="T42" s="167">
        <f t="shared" si="51"/>
        <v>232480</v>
      </c>
    </row>
    <row r="44" spans="1:21" s="3" customFormat="1" x14ac:dyDescent="0.25">
      <c r="B44" s="43" t="s">
        <v>365</v>
      </c>
      <c r="C44" s="182"/>
      <c r="D44" s="156">
        <f t="shared" ref="D44:T44" si="52">+D13+D42</f>
        <v>0</v>
      </c>
      <c r="E44" s="156">
        <f t="shared" si="52"/>
        <v>407.47536039406054</v>
      </c>
      <c r="F44" s="156">
        <f t="shared" si="52"/>
        <v>232899.70083033177</v>
      </c>
      <c r="G44" s="156">
        <f t="shared" si="52"/>
        <v>232917.453012096</v>
      </c>
      <c r="H44" s="156">
        <f t="shared" si="52"/>
        <v>232935.9731300438</v>
      </c>
      <c r="I44" s="156">
        <f t="shared" si="52"/>
        <v>232955.29537255736</v>
      </c>
      <c r="J44" s="156">
        <f t="shared" si="52"/>
        <v>232975.45550381017</v>
      </c>
      <c r="K44" s="156">
        <f t="shared" si="52"/>
        <v>232996.49093929416</v>
      </c>
      <c r="L44" s="156">
        <f t="shared" si="52"/>
        <v>233018.44082511737</v>
      </c>
      <c r="M44" s="156">
        <f t="shared" si="52"/>
        <v>233041.34612126861</v>
      </c>
      <c r="N44" s="156">
        <f t="shared" si="52"/>
        <v>233065.2496890547</v>
      </c>
      <c r="O44" s="156">
        <f t="shared" si="52"/>
        <v>233078.88805021314</v>
      </c>
      <c r="P44" s="156">
        <f t="shared" si="52"/>
        <v>233104.47248091182</v>
      </c>
      <c r="Q44" s="156">
        <f t="shared" si="52"/>
        <v>233131.17802335985</v>
      </c>
      <c r="R44" s="156">
        <f t="shared" si="52"/>
        <v>233158.14026519636</v>
      </c>
      <c r="S44" s="156">
        <f t="shared" si="52"/>
        <v>233187.18762969866</v>
      </c>
      <c r="T44" s="156">
        <f t="shared" si="52"/>
        <v>232480</v>
      </c>
    </row>
    <row r="46" spans="1:21" x14ac:dyDescent="0.25">
      <c r="A46" s="3"/>
      <c r="B46" s="43" t="s">
        <v>81</v>
      </c>
      <c r="C46" s="182"/>
    </row>
    <row r="47" spans="1:21" x14ac:dyDescent="0.25">
      <c r="B47" s="162" t="str">
        <f>sales!B4</f>
        <v>BUTANOL</v>
      </c>
      <c r="C47" s="184"/>
      <c r="E47" s="146">
        <f>sales!C4*E5/E68</f>
        <v>107.1</v>
      </c>
      <c r="F47" s="146">
        <f>E47*F5</f>
        <v>112.455</v>
      </c>
      <c r="G47" s="146">
        <f t="shared" ref="G47:S47" si="53">F47*G5</f>
        <v>118.07775000000001</v>
      </c>
      <c r="H47" s="146">
        <f t="shared" si="53"/>
        <v>123.98163750000002</v>
      </c>
      <c r="I47" s="146">
        <f t="shared" si="53"/>
        <v>130.18071937500002</v>
      </c>
      <c r="J47" s="146">
        <f t="shared" si="53"/>
        <v>136.68975534375002</v>
      </c>
      <c r="K47" s="146">
        <f t="shared" si="53"/>
        <v>143.52424311093753</v>
      </c>
      <c r="L47" s="146">
        <f t="shared" si="53"/>
        <v>150.70045526648443</v>
      </c>
      <c r="M47" s="146">
        <f t="shared" si="53"/>
        <v>158.23547802980866</v>
      </c>
      <c r="N47" s="146">
        <f t="shared" si="53"/>
        <v>166.14725193129911</v>
      </c>
      <c r="O47" s="146">
        <f t="shared" si="53"/>
        <v>174.45461452786407</v>
      </c>
      <c r="P47" s="146">
        <f t="shared" si="53"/>
        <v>183.17734525425729</v>
      </c>
      <c r="Q47" s="146">
        <f t="shared" si="53"/>
        <v>192.33621251697016</v>
      </c>
      <c r="R47" s="146">
        <f t="shared" si="53"/>
        <v>201.95302314281869</v>
      </c>
      <c r="S47" s="146">
        <f t="shared" si="53"/>
        <v>212.05067429995964</v>
      </c>
      <c r="T47" s="146"/>
    </row>
    <row r="48" spans="1:21" x14ac:dyDescent="0.25">
      <c r="B48" s="162" t="str">
        <f>sales!B5</f>
        <v>ETHANOL</v>
      </c>
      <c r="C48" s="184"/>
      <c r="E48" s="146">
        <f>sales!C5*E5/E68</f>
        <v>8.41995</v>
      </c>
      <c r="F48" s="146">
        <f>E48*F5</f>
        <v>8.8409475000000004</v>
      </c>
      <c r="G48" s="146">
        <f t="shared" ref="G48:S48" si="54">F48*G5</f>
        <v>9.282994875</v>
      </c>
      <c r="H48" s="146">
        <f t="shared" si="54"/>
        <v>9.747144618750001</v>
      </c>
      <c r="I48" s="146">
        <f t="shared" si="54"/>
        <v>10.234501849687501</v>
      </c>
      <c r="J48" s="146">
        <f t="shared" si="54"/>
        <v>10.746226942171877</v>
      </c>
      <c r="K48" s="146">
        <f t="shared" si="54"/>
        <v>11.283538289280472</v>
      </c>
      <c r="L48" s="146">
        <f t="shared" si="54"/>
        <v>11.847715203744496</v>
      </c>
      <c r="M48" s="146">
        <f t="shared" si="54"/>
        <v>12.440100963931721</v>
      </c>
      <c r="N48" s="146">
        <f t="shared" si="54"/>
        <v>13.062106012128307</v>
      </c>
      <c r="O48" s="146">
        <f t="shared" si="54"/>
        <v>13.715211312734723</v>
      </c>
      <c r="P48" s="146">
        <f t="shared" si="54"/>
        <v>14.400971878371461</v>
      </c>
      <c r="Q48" s="146">
        <f t="shared" si="54"/>
        <v>15.121020472290034</v>
      </c>
      <c r="R48" s="146">
        <f t="shared" si="54"/>
        <v>15.877071495904536</v>
      </c>
      <c r="S48" s="146">
        <f t="shared" si="54"/>
        <v>16.670925070699763</v>
      </c>
      <c r="T48" s="146"/>
    </row>
    <row r="49" spans="2:20" x14ac:dyDescent="0.25">
      <c r="B49" s="162" t="str">
        <f>sales!B6</f>
        <v>ACETONE</v>
      </c>
      <c r="C49" s="184"/>
      <c r="E49" s="146">
        <f>sales!C6*E5/E68</f>
        <v>14.84784</v>
      </c>
      <c r="F49" s="146">
        <f>E49*F5</f>
        <v>15.590232</v>
      </c>
      <c r="G49" s="146">
        <f t="shared" ref="G49:S49" si="55">F49*G5</f>
        <v>16.3697436</v>
      </c>
      <c r="H49" s="146">
        <f t="shared" si="55"/>
        <v>17.188230780000001</v>
      </c>
      <c r="I49" s="146">
        <f t="shared" si="55"/>
        <v>18.047642319000001</v>
      </c>
      <c r="J49" s="146">
        <f t="shared" si="55"/>
        <v>18.950024434950002</v>
      </c>
      <c r="K49" s="146">
        <f t="shared" si="55"/>
        <v>19.897525656697503</v>
      </c>
      <c r="L49" s="146">
        <f t="shared" si="55"/>
        <v>20.89240193953238</v>
      </c>
      <c r="M49" s="146">
        <f t="shared" si="55"/>
        <v>21.937022036508999</v>
      </c>
      <c r="N49" s="146">
        <f t="shared" si="55"/>
        <v>23.033873138334449</v>
      </c>
      <c r="O49" s="146">
        <f t="shared" si="55"/>
        <v>24.185566795251173</v>
      </c>
      <c r="P49" s="146">
        <f t="shared" si="55"/>
        <v>25.394845135013732</v>
      </c>
      <c r="Q49" s="146">
        <f t="shared" si="55"/>
        <v>26.664587391764421</v>
      </c>
      <c r="R49" s="146">
        <f t="shared" si="55"/>
        <v>27.997816761352642</v>
      </c>
      <c r="S49" s="146">
        <f t="shared" si="55"/>
        <v>29.397707599420276</v>
      </c>
      <c r="T49" s="146"/>
    </row>
    <row r="50" spans="2:20" x14ac:dyDescent="0.25">
      <c r="B50" s="162" t="str">
        <f>sales!B7</f>
        <v>HYDROGEN</v>
      </c>
      <c r="C50" s="184"/>
      <c r="D50" s="178"/>
      <c r="E50" s="155">
        <f>sales!C7*E5/E68</f>
        <v>0.84630000000000005</v>
      </c>
      <c r="F50" s="146">
        <f>E50*F5</f>
        <v>0.88861500000000004</v>
      </c>
      <c r="G50" s="146">
        <f t="shared" ref="G50:S50" si="56">F50*G5</f>
        <v>0.93304575000000012</v>
      </c>
      <c r="H50" s="146">
        <f t="shared" si="56"/>
        <v>0.97969803750000017</v>
      </c>
      <c r="I50" s="146">
        <f t="shared" si="56"/>
        <v>1.0286829393750003</v>
      </c>
      <c r="J50" s="146">
        <f t="shared" si="56"/>
        <v>1.0801170863437504</v>
      </c>
      <c r="K50" s="146">
        <f t="shared" si="56"/>
        <v>1.1341229406609379</v>
      </c>
      <c r="L50" s="146">
        <f t="shared" si="56"/>
        <v>1.1908290876939849</v>
      </c>
      <c r="M50" s="146">
        <f t="shared" si="56"/>
        <v>1.2503705420786841</v>
      </c>
      <c r="N50" s="146">
        <f t="shared" si="56"/>
        <v>1.3128890691826185</v>
      </c>
      <c r="O50" s="146">
        <f t="shared" si="56"/>
        <v>1.3785335226417494</v>
      </c>
      <c r="P50" s="146">
        <f t="shared" si="56"/>
        <v>1.4474601987738369</v>
      </c>
      <c r="Q50" s="146">
        <f t="shared" si="56"/>
        <v>1.5198332087125288</v>
      </c>
      <c r="R50" s="146">
        <f t="shared" si="56"/>
        <v>1.5958248691481554</v>
      </c>
      <c r="S50" s="146">
        <f t="shared" si="56"/>
        <v>1.6756161126055631</v>
      </c>
      <c r="T50" s="146"/>
    </row>
    <row r="51" spans="2:20" s="3" customFormat="1" x14ac:dyDescent="0.25">
      <c r="B51" s="43" t="s">
        <v>363</v>
      </c>
      <c r="C51" s="182"/>
      <c r="D51" s="156">
        <f>SUM(D47:D50)</f>
        <v>0</v>
      </c>
      <c r="E51" s="156">
        <f>SUM(E47:E50)</f>
        <v>131.21409</v>
      </c>
      <c r="F51" s="156">
        <f t="shared" ref="F51:T51" si="57">SUM(F47:F50)</f>
        <v>137.77479449999998</v>
      </c>
      <c r="G51" s="156">
        <f t="shared" si="57"/>
        <v>144.66353422500001</v>
      </c>
      <c r="H51" s="156">
        <f t="shared" si="57"/>
        <v>151.89671093625</v>
      </c>
      <c r="I51" s="156">
        <f t="shared" si="57"/>
        <v>159.49154648306251</v>
      </c>
      <c r="J51" s="156">
        <f t="shared" si="57"/>
        <v>167.46612380721567</v>
      </c>
      <c r="K51" s="156">
        <f t="shared" si="57"/>
        <v>175.83942999757645</v>
      </c>
      <c r="L51" s="156">
        <f t="shared" si="57"/>
        <v>184.6314014974553</v>
      </c>
      <c r="M51" s="156">
        <f t="shared" si="57"/>
        <v>193.86297157232806</v>
      </c>
      <c r="N51" s="156">
        <f t="shared" si="57"/>
        <v>203.55612015094451</v>
      </c>
      <c r="O51" s="156">
        <f t="shared" si="57"/>
        <v>213.7339261584917</v>
      </c>
      <c r="P51" s="156">
        <f t="shared" si="57"/>
        <v>224.42062246641629</v>
      </c>
      <c r="Q51" s="156">
        <f t="shared" si="57"/>
        <v>235.64165358973716</v>
      </c>
      <c r="R51" s="156">
        <f t="shared" si="57"/>
        <v>247.42373626922404</v>
      </c>
      <c r="S51" s="156">
        <f t="shared" si="57"/>
        <v>259.79492308268522</v>
      </c>
      <c r="T51" s="156">
        <f t="shared" si="57"/>
        <v>0</v>
      </c>
    </row>
    <row r="53" spans="2:20" s="124" customFormat="1" x14ac:dyDescent="0.25">
      <c r="B53" s="179" t="s">
        <v>268</v>
      </c>
      <c r="C53" s="182"/>
      <c r="D53" s="126">
        <f>D51-D44</f>
        <v>0</v>
      </c>
      <c r="E53" s="126">
        <f t="shared" ref="E53:T53" si="58">E51-E44</f>
        <v>-276.26127039406055</v>
      </c>
      <c r="F53" s="126">
        <f t="shared" si="58"/>
        <v>-232761.92603583177</v>
      </c>
      <c r="G53" s="126">
        <f t="shared" si="58"/>
        <v>-232772.789477871</v>
      </c>
      <c r="H53" s="126">
        <f t="shared" si="58"/>
        <v>-232784.07641910756</v>
      </c>
      <c r="I53" s="126">
        <f t="shared" si="58"/>
        <v>-232795.80382607429</v>
      </c>
      <c r="J53" s="126">
        <f t="shared" si="58"/>
        <v>-232807.98938000295</v>
      </c>
      <c r="K53" s="126">
        <f t="shared" si="58"/>
        <v>-232820.65150929659</v>
      </c>
      <c r="L53" s="126">
        <f t="shared" si="58"/>
        <v>-232833.80942361991</v>
      </c>
      <c r="M53" s="126">
        <f t="shared" si="58"/>
        <v>-232847.48314969629</v>
      </c>
      <c r="N53" s="126">
        <f t="shared" si="58"/>
        <v>-232861.69356890375</v>
      </c>
      <c r="O53" s="126">
        <f t="shared" si="58"/>
        <v>-232865.15412405465</v>
      </c>
      <c r="P53" s="126">
        <f t="shared" si="58"/>
        <v>-232880.0518584454</v>
      </c>
      <c r="Q53" s="126">
        <f t="shared" si="58"/>
        <v>-232895.53636977013</v>
      </c>
      <c r="R53" s="126">
        <f t="shared" si="58"/>
        <v>-232910.71652892712</v>
      </c>
      <c r="S53" s="126">
        <f t="shared" si="58"/>
        <v>-232927.39270661597</v>
      </c>
      <c r="T53" s="126">
        <f t="shared" si="58"/>
        <v>-232480</v>
      </c>
    </row>
    <row r="54" spans="2:20" s="124" customFormat="1" x14ac:dyDescent="0.25">
      <c r="B54" s="179" t="s">
        <v>269</v>
      </c>
      <c r="C54" s="182"/>
      <c r="D54" s="126">
        <f>D53</f>
        <v>0</v>
      </c>
      <c r="E54" s="126">
        <f>D54+E53</f>
        <v>-276.26127039406055</v>
      </c>
      <c r="F54" s="126">
        <f t="shared" ref="F54:T54" si="59">E54+F53</f>
        <v>-233038.18730622582</v>
      </c>
      <c r="G54" s="126">
        <f t="shared" si="59"/>
        <v>-465810.9767840968</v>
      </c>
      <c r="H54" s="126">
        <f t="shared" si="59"/>
        <v>-698595.05320320441</v>
      </c>
      <c r="I54" s="126">
        <f t="shared" si="59"/>
        <v>-931390.85702927876</v>
      </c>
      <c r="J54" s="126">
        <f t="shared" si="59"/>
        <v>-1164198.8464092817</v>
      </c>
      <c r="K54" s="126">
        <f t="shared" si="59"/>
        <v>-1397019.4979185783</v>
      </c>
      <c r="L54" s="126">
        <f t="shared" si="59"/>
        <v>-1629853.3073421982</v>
      </c>
      <c r="M54" s="126">
        <f t="shared" si="59"/>
        <v>-1862700.7904918946</v>
      </c>
      <c r="N54" s="126">
        <f t="shared" si="59"/>
        <v>-2095562.4840607983</v>
      </c>
      <c r="O54" s="126">
        <f t="shared" si="59"/>
        <v>-2328427.6381848529</v>
      </c>
      <c r="P54" s="126">
        <f t="shared" si="59"/>
        <v>-2561307.6900432985</v>
      </c>
      <c r="Q54" s="126">
        <f t="shared" si="59"/>
        <v>-2794203.2264130688</v>
      </c>
      <c r="R54" s="126">
        <f t="shared" si="59"/>
        <v>-3027113.9429419958</v>
      </c>
      <c r="S54" s="126">
        <f t="shared" si="59"/>
        <v>-3260041.3356486117</v>
      </c>
      <c r="T54" s="126">
        <f t="shared" si="59"/>
        <v>-3492521.3356486117</v>
      </c>
    </row>
    <row r="56" spans="2:20" s="186" customFormat="1" x14ac:dyDescent="0.25">
      <c r="B56" s="180" t="s">
        <v>277</v>
      </c>
      <c r="C56" s="182">
        <f>C61</f>
        <v>0.05</v>
      </c>
      <c r="D56" s="166"/>
      <c r="E56" s="186">
        <f>105%</f>
        <v>1.05</v>
      </c>
      <c r="F56" s="186">
        <f t="shared" ref="F56:T56" si="60">E56*105%</f>
        <v>1.1025</v>
      </c>
      <c r="G56" s="186">
        <f t="shared" si="60"/>
        <v>1.1576250000000001</v>
      </c>
      <c r="H56" s="186">
        <f t="shared" si="60"/>
        <v>1.2155062500000002</v>
      </c>
      <c r="I56" s="186">
        <f t="shared" si="60"/>
        <v>1.2762815625000004</v>
      </c>
      <c r="J56" s="186">
        <f t="shared" si="60"/>
        <v>1.3400956406250004</v>
      </c>
      <c r="K56" s="186">
        <f t="shared" si="60"/>
        <v>1.4071004226562505</v>
      </c>
      <c r="L56" s="186">
        <f t="shared" si="60"/>
        <v>1.477455443789063</v>
      </c>
      <c r="M56" s="186">
        <f t="shared" si="60"/>
        <v>1.5513282159785162</v>
      </c>
      <c r="N56" s="186">
        <f t="shared" si="60"/>
        <v>1.628894626777442</v>
      </c>
      <c r="O56" s="186">
        <f t="shared" si="60"/>
        <v>1.7103393581163142</v>
      </c>
      <c r="P56" s="186">
        <f t="shared" si="60"/>
        <v>1.7958563260221301</v>
      </c>
      <c r="Q56" s="186">
        <f t="shared" si="60"/>
        <v>1.8856491423232367</v>
      </c>
      <c r="R56" s="186">
        <f t="shared" si="60"/>
        <v>1.9799315994393987</v>
      </c>
      <c r="S56" s="186">
        <f t="shared" si="60"/>
        <v>2.0789281794113688</v>
      </c>
      <c r="T56" s="186">
        <f t="shared" si="60"/>
        <v>2.1828745883819374</v>
      </c>
    </row>
    <row r="57" spans="2:20" x14ac:dyDescent="0.25">
      <c r="B57" s="243" t="s">
        <v>369</v>
      </c>
      <c r="E57" s="242">
        <f t="shared" ref="E57:T57" si="61">1/E56</f>
        <v>0.95238095238095233</v>
      </c>
      <c r="F57" s="242">
        <f t="shared" si="61"/>
        <v>0.90702947845804982</v>
      </c>
      <c r="G57" s="242">
        <f t="shared" si="61"/>
        <v>0.86383759853147601</v>
      </c>
      <c r="H57" s="242">
        <f t="shared" si="61"/>
        <v>0.82270247479188185</v>
      </c>
      <c r="I57" s="242">
        <f t="shared" si="61"/>
        <v>0.78352616646845885</v>
      </c>
      <c r="J57" s="242">
        <f t="shared" si="61"/>
        <v>0.74621539663662739</v>
      </c>
      <c r="K57" s="242">
        <f t="shared" si="61"/>
        <v>0.71068133013012136</v>
      </c>
      <c r="L57" s="242">
        <f t="shared" si="61"/>
        <v>0.676839362028687</v>
      </c>
      <c r="M57" s="242">
        <f t="shared" si="61"/>
        <v>0.64460891621779715</v>
      </c>
      <c r="N57" s="242">
        <f t="shared" si="61"/>
        <v>0.6139132535407591</v>
      </c>
      <c r="O57" s="242">
        <f t="shared" si="61"/>
        <v>0.58467928908643729</v>
      </c>
      <c r="P57" s="242">
        <f t="shared" si="61"/>
        <v>0.55683741817755927</v>
      </c>
      <c r="Q57" s="242">
        <f t="shared" si="61"/>
        <v>0.53032135064529451</v>
      </c>
      <c r="R57" s="242">
        <f t="shared" si="61"/>
        <v>0.50506795299551854</v>
      </c>
      <c r="S57" s="242">
        <f t="shared" si="61"/>
        <v>0.48101709809096999</v>
      </c>
      <c r="T57" s="242">
        <f t="shared" si="61"/>
        <v>0.45811152199139993</v>
      </c>
    </row>
    <row r="58" spans="2:20" s="124" customFormat="1" x14ac:dyDescent="0.25">
      <c r="B58" s="179" t="s">
        <v>280</v>
      </c>
      <c r="C58" s="187"/>
      <c r="D58" s="188"/>
      <c r="E58" s="124">
        <f>E53</f>
        <v>-276.26127039406055</v>
      </c>
      <c r="F58" s="124">
        <f t="shared" ref="F58:T58" si="62">F53/F56</f>
        <v>-211121.92837717166</v>
      </c>
      <c r="G58" s="124">
        <f t="shared" si="62"/>
        <v>-201077.88746603692</v>
      </c>
      <c r="H58" s="124">
        <f t="shared" si="62"/>
        <v>-191512.03576214233</v>
      </c>
      <c r="I58" s="124">
        <f t="shared" si="62"/>
        <v>-182401.60374178737</v>
      </c>
      <c r="J58" s="124">
        <f t="shared" si="62"/>
        <v>-173724.90613537465</v>
      </c>
      <c r="K58" s="124">
        <f t="shared" si="62"/>
        <v>-165461.29029638835</v>
      </c>
      <c r="L58" s="124">
        <f t="shared" si="62"/>
        <v>-157591.08702899178</v>
      </c>
      <c r="M58" s="124">
        <f t="shared" si="62"/>
        <v>-150095.56375716749</v>
      </c>
      <c r="N58" s="124">
        <f t="shared" si="62"/>
        <v>-142956.87992389698</v>
      </c>
      <c r="O58" s="124">
        <f t="shared" si="62"/>
        <v>-136151.43276625592</v>
      </c>
      <c r="P58" s="124">
        <f t="shared" si="62"/>
        <v>-129676.32682191284</v>
      </c>
      <c r="Q58" s="124">
        <f t="shared" si="62"/>
        <v>-123509.47540687679</v>
      </c>
      <c r="R58" s="124">
        <f t="shared" si="62"/>
        <v>-117635.73882798471</v>
      </c>
      <c r="S58" s="124">
        <f t="shared" si="62"/>
        <v>-112042.05850563217</v>
      </c>
      <c r="T58" s="124">
        <f t="shared" si="62"/>
        <v>-106501.76663256066</v>
      </c>
    </row>
    <row r="59" spans="2:20" s="124" customFormat="1" x14ac:dyDescent="0.25">
      <c r="B59" s="179" t="s">
        <v>281</v>
      </c>
      <c r="C59" s="187"/>
      <c r="D59" s="188">
        <f>D58</f>
        <v>0</v>
      </c>
      <c r="E59" s="124">
        <f t="shared" ref="E59:T59" si="63">D59+E58</f>
        <v>-276.26127039406055</v>
      </c>
      <c r="F59" s="124">
        <f t="shared" si="63"/>
        <v>-211398.18964756571</v>
      </c>
      <c r="G59" s="124">
        <f t="shared" si="63"/>
        <v>-412476.07711360266</v>
      </c>
      <c r="H59" s="124">
        <f t="shared" si="63"/>
        <v>-603988.11287574493</v>
      </c>
      <c r="I59" s="124">
        <f t="shared" si="63"/>
        <v>-786389.71661753231</v>
      </c>
      <c r="J59" s="124">
        <f t="shared" si="63"/>
        <v>-960114.62275290699</v>
      </c>
      <c r="K59" s="124">
        <f t="shared" si="63"/>
        <v>-1125575.9130492953</v>
      </c>
      <c r="L59" s="124">
        <f t="shared" si="63"/>
        <v>-1283167.000078287</v>
      </c>
      <c r="M59" s="124">
        <f t="shared" si="63"/>
        <v>-1433262.5638354544</v>
      </c>
      <c r="N59" s="124">
        <f t="shared" si="63"/>
        <v>-1576219.4437593515</v>
      </c>
      <c r="O59" s="124">
        <f t="shared" si="63"/>
        <v>-1712370.8765256074</v>
      </c>
      <c r="P59" s="124">
        <f t="shared" si="63"/>
        <v>-1842047.2033475202</v>
      </c>
      <c r="Q59" s="124">
        <f t="shared" si="63"/>
        <v>-1965556.678754397</v>
      </c>
      <c r="R59" s="124">
        <f t="shared" si="63"/>
        <v>-2083192.4175823817</v>
      </c>
      <c r="S59" s="124">
        <f t="shared" si="63"/>
        <v>-2195234.476088014</v>
      </c>
      <c r="T59" s="124">
        <f t="shared" si="63"/>
        <v>-2301736.2427205746</v>
      </c>
    </row>
    <row r="61" spans="2:20" x14ac:dyDescent="0.25">
      <c r="B61" s="180" t="s">
        <v>277</v>
      </c>
      <c r="C61" s="182">
        <f>C62+C63</f>
        <v>0.05</v>
      </c>
    </row>
    <row r="62" spans="2:20" x14ac:dyDescent="0.25">
      <c r="B62" s="162" t="s">
        <v>278</v>
      </c>
      <c r="C62" s="184">
        <v>0.03</v>
      </c>
    </row>
    <row r="63" spans="2:20" x14ac:dyDescent="0.25">
      <c r="B63" s="162" t="s">
        <v>279</v>
      </c>
      <c r="C63" s="184">
        <v>0.02</v>
      </c>
    </row>
    <row r="64" spans="2:20" s="3" customFormat="1" x14ac:dyDescent="0.25">
      <c r="B64" s="43" t="s">
        <v>367</v>
      </c>
      <c r="C64" s="182"/>
      <c r="D64" s="166"/>
      <c r="E64" s="142"/>
    </row>
    <row r="68" spans="4:5" x14ac:dyDescent="0.25">
      <c r="D68" s="250" t="s">
        <v>370</v>
      </c>
      <c r="E68" s="249">
        <v>1000000</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7A581-572B-449E-A9D1-2D5B7CA6D241}">
  <sheetPr>
    <tabColor theme="1"/>
  </sheetPr>
  <dimension ref="A1:U53"/>
  <sheetViews>
    <sheetView zoomScale="60" zoomScaleNormal="60" workbookViewId="0">
      <pane xSplit="2" ySplit="2" topLeftCell="C15" activePane="bottomRight" state="frozen"/>
      <selection pane="topRight" activeCell="C1" sqref="C1"/>
      <selection pane="bottomLeft" activeCell="A3" sqref="A3"/>
      <selection pane="bottomRight" activeCell="T15" sqref="T15"/>
    </sheetView>
  </sheetViews>
  <sheetFormatPr defaultRowHeight="15" x14ac:dyDescent="0.25"/>
  <cols>
    <col min="1" max="1" width="4.5703125" customWidth="1"/>
    <col min="2" max="2" width="58" style="40" customWidth="1"/>
    <col min="3" max="3" width="6.140625" style="40" customWidth="1"/>
    <col min="4" max="4" width="12" style="164" bestFit="1" customWidth="1"/>
    <col min="5" max="5" width="10.85546875" style="146" bestFit="1" customWidth="1"/>
    <col min="6" max="6" width="7.28515625" bestFit="1" customWidth="1"/>
    <col min="7" max="20" width="8" bestFit="1" customWidth="1"/>
    <col min="21" max="21" width="16.28515625" bestFit="1" customWidth="1"/>
  </cols>
  <sheetData>
    <row r="1" spans="1:20" ht="15.75" x14ac:dyDescent="0.25">
      <c r="A1" s="245" t="s">
        <v>355</v>
      </c>
      <c r="D1" s="149" t="s">
        <v>254</v>
      </c>
      <c r="E1" s="149" t="s">
        <v>239</v>
      </c>
      <c r="F1" s="176" t="s">
        <v>240</v>
      </c>
      <c r="G1" s="176" t="s">
        <v>241</v>
      </c>
      <c r="H1" s="176" t="s">
        <v>242</v>
      </c>
      <c r="I1" s="176" t="s">
        <v>243</v>
      </c>
      <c r="J1" s="176" t="s">
        <v>244</v>
      </c>
      <c r="K1" s="176" t="s">
        <v>245</v>
      </c>
      <c r="L1" s="176" t="s">
        <v>246</v>
      </c>
      <c r="M1" s="176" t="s">
        <v>247</v>
      </c>
      <c r="N1" s="176" t="s">
        <v>248</v>
      </c>
      <c r="O1" s="176" t="s">
        <v>249</v>
      </c>
      <c r="P1" s="176" t="s">
        <v>250</v>
      </c>
      <c r="Q1" s="176" t="s">
        <v>251</v>
      </c>
      <c r="R1" s="176" t="s">
        <v>252</v>
      </c>
      <c r="S1" s="176" t="s">
        <v>253</v>
      </c>
      <c r="T1" s="176" t="s">
        <v>256</v>
      </c>
    </row>
    <row r="2" spans="1:20" s="173" customFormat="1" ht="18.75" x14ac:dyDescent="0.3">
      <c r="A2" s="246" t="s">
        <v>371</v>
      </c>
      <c r="B2" s="174"/>
      <c r="C2" s="174"/>
      <c r="D2" s="175">
        <v>2020</v>
      </c>
      <c r="E2" s="175">
        <v>2021</v>
      </c>
      <c r="F2" s="175">
        <v>2022</v>
      </c>
      <c r="G2" s="175">
        <v>2023</v>
      </c>
      <c r="H2" s="175">
        <v>2024</v>
      </c>
      <c r="I2" s="175">
        <v>2025</v>
      </c>
      <c r="J2" s="175">
        <v>2026</v>
      </c>
      <c r="K2" s="175">
        <v>2027</v>
      </c>
      <c r="L2" s="175">
        <v>2028</v>
      </c>
      <c r="M2" s="175">
        <v>2029</v>
      </c>
      <c r="N2" s="175">
        <v>2030</v>
      </c>
      <c r="O2" s="175">
        <v>2031</v>
      </c>
      <c r="P2" s="175">
        <v>2032</v>
      </c>
      <c r="Q2" s="175">
        <v>2033</v>
      </c>
      <c r="R2" s="175">
        <v>2034</v>
      </c>
      <c r="S2" s="175">
        <v>2035</v>
      </c>
      <c r="T2" s="175">
        <v>2036</v>
      </c>
    </row>
    <row r="3" spans="1:20" s="169" customFormat="1" x14ac:dyDescent="0.25">
      <c r="B3" s="172" t="s">
        <v>274</v>
      </c>
      <c r="C3" s="172"/>
      <c r="D3" s="168"/>
      <c r="E3" s="177">
        <v>1.04</v>
      </c>
      <c r="F3" s="177">
        <v>1.04</v>
      </c>
      <c r="G3" s="177">
        <f>F3</f>
        <v>1.04</v>
      </c>
      <c r="H3" s="177">
        <f t="shared" ref="H3:T5" si="0">G3</f>
        <v>1.04</v>
      </c>
      <c r="I3" s="177">
        <f t="shared" si="0"/>
        <v>1.04</v>
      </c>
      <c r="J3" s="177">
        <f t="shared" si="0"/>
        <v>1.04</v>
      </c>
      <c r="K3" s="177">
        <f t="shared" si="0"/>
        <v>1.04</v>
      </c>
      <c r="L3" s="177">
        <f t="shared" si="0"/>
        <v>1.04</v>
      </c>
      <c r="M3" s="177">
        <f t="shared" si="0"/>
        <v>1.04</v>
      </c>
      <c r="N3" s="177">
        <f t="shared" si="0"/>
        <v>1.04</v>
      </c>
      <c r="O3" s="177">
        <f t="shared" si="0"/>
        <v>1.04</v>
      </c>
      <c r="P3" s="177">
        <f t="shared" si="0"/>
        <v>1.04</v>
      </c>
      <c r="Q3" s="177">
        <f t="shared" si="0"/>
        <v>1.04</v>
      </c>
      <c r="R3" s="177">
        <f t="shared" si="0"/>
        <v>1.04</v>
      </c>
      <c r="S3" s="177">
        <f t="shared" si="0"/>
        <v>1.04</v>
      </c>
      <c r="T3" s="177">
        <f t="shared" si="0"/>
        <v>1.04</v>
      </c>
    </row>
    <row r="4" spans="1:20" s="169" customFormat="1" x14ac:dyDescent="0.25">
      <c r="B4" s="172" t="s">
        <v>275</v>
      </c>
      <c r="C4" s="172"/>
      <c r="D4" s="168"/>
      <c r="E4" s="177">
        <v>1.06</v>
      </c>
      <c r="F4" s="177">
        <v>1.06</v>
      </c>
      <c r="G4" s="177">
        <f>F4</f>
        <v>1.06</v>
      </c>
      <c r="H4" s="177">
        <f t="shared" si="0"/>
        <v>1.06</v>
      </c>
      <c r="I4" s="177">
        <f t="shared" si="0"/>
        <v>1.06</v>
      </c>
      <c r="J4" s="177">
        <f t="shared" si="0"/>
        <v>1.06</v>
      </c>
      <c r="K4" s="177">
        <f t="shared" si="0"/>
        <v>1.06</v>
      </c>
      <c r="L4" s="177">
        <f t="shared" si="0"/>
        <v>1.06</v>
      </c>
      <c r="M4" s="177">
        <f t="shared" si="0"/>
        <v>1.06</v>
      </c>
      <c r="N4" s="177">
        <f t="shared" si="0"/>
        <v>1.06</v>
      </c>
      <c r="O4" s="177">
        <f t="shared" si="0"/>
        <v>1.06</v>
      </c>
      <c r="P4" s="177">
        <f t="shared" si="0"/>
        <v>1.06</v>
      </c>
      <c r="Q4" s="177">
        <f t="shared" si="0"/>
        <v>1.06</v>
      </c>
      <c r="R4" s="177">
        <f t="shared" si="0"/>
        <v>1.06</v>
      </c>
      <c r="S4" s="177">
        <f t="shared" si="0"/>
        <v>1.06</v>
      </c>
      <c r="T4" s="177">
        <f t="shared" si="0"/>
        <v>1.06</v>
      </c>
    </row>
    <row r="5" spans="1:20" s="169" customFormat="1" x14ac:dyDescent="0.25">
      <c r="B5" s="172" t="s">
        <v>273</v>
      </c>
      <c r="C5" s="172"/>
      <c r="D5" s="168"/>
      <c r="E5" s="177">
        <v>1.05</v>
      </c>
      <c r="F5" s="177">
        <v>1.05</v>
      </c>
      <c r="G5" s="177">
        <f>F5</f>
        <v>1.05</v>
      </c>
      <c r="H5" s="177">
        <f t="shared" si="0"/>
        <v>1.05</v>
      </c>
      <c r="I5" s="177">
        <f t="shared" si="0"/>
        <v>1.05</v>
      </c>
      <c r="J5" s="177">
        <f t="shared" si="0"/>
        <v>1.05</v>
      </c>
      <c r="K5" s="177">
        <f t="shared" si="0"/>
        <v>1.05</v>
      </c>
      <c r="L5" s="177">
        <f t="shared" si="0"/>
        <v>1.05</v>
      </c>
      <c r="M5" s="177">
        <f t="shared" si="0"/>
        <v>1.05</v>
      </c>
      <c r="N5" s="177">
        <f t="shared" si="0"/>
        <v>1.05</v>
      </c>
      <c r="O5" s="177">
        <f t="shared" si="0"/>
        <v>1.05</v>
      </c>
      <c r="P5" s="177">
        <f t="shared" si="0"/>
        <v>1.05</v>
      </c>
      <c r="Q5" s="177">
        <f t="shared" si="0"/>
        <v>1.05</v>
      </c>
      <c r="R5" s="177">
        <f t="shared" si="0"/>
        <v>1.05</v>
      </c>
      <c r="S5" s="177">
        <f t="shared" si="0"/>
        <v>1.05</v>
      </c>
      <c r="T5" s="177">
        <f t="shared" si="0"/>
        <v>1.05</v>
      </c>
    </row>
    <row r="6" spans="1:20" x14ac:dyDescent="0.25">
      <c r="A6" s="3" t="s">
        <v>255</v>
      </c>
      <c r="B6" s="43"/>
      <c r="C6" s="43"/>
    </row>
    <row r="7" spans="1:20" x14ac:dyDescent="0.25">
      <c r="A7" s="3"/>
      <c r="B7" s="43" t="s">
        <v>177</v>
      </c>
      <c r="C7" s="43"/>
    </row>
    <row r="8" spans="1:20" x14ac:dyDescent="0.25">
      <c r="B8" s="43" t="s">
        <v>260</v>
      </c>
      <c r="C8" s="43"/>
      <c r="D8" s="167">
        <f>'c-f s1'!D17</f>
        <v>215.00647144599998</v>
      </c>
      <c r="E8" s="167">
        <f>'c-f s1'!E17</f>
        <v>0</v>
      </c>
      <c r="F8" s="167">
        <f>'c-f s1'!F17</f>
        <v>0</v>
      </c>
      <c r="G8" s="167">
        <f>'c-f s1'!G17</f>
        <v>0</v>
      </c>
      <c r="H8" s="167">
        <f>'c-f s1'!H17</f>
        <v>0</v>
      </c>
      <c r="I8" s="167">
        <f>'c-f s1'!I17</f>
        <v>0</v>
      </c>
      <c r="J8" s="167">
        <f>'c-f s1'!J17</f>
        <v>0</v>
      </c>
      <c r="K8" s="167">
        <f>'c-f s1'!K17</f>
        <v>0</v>
      </c>
      <c r="L8" s="167">
        <f>'c-f s1'!L17</f>
        <v>0</v>
      </c>
      <c r="M8" s="167">
        <f>'c-f s1'!M17</f>
        <v>0</v>
      </c>
      <c r="N8" s="167">
        <f>'c-f s1'!N17</f>
        <v>0</v>
      </c>
      <c r="O8" s="167">
        <f>'c-f s1'!O17</f>
        <v>0</v>
      </c>
      <c r="P8" s="167">
        <f>'c-f s1'!P17</f>
        <v>0</v>
      </c>
      <c r="Q8" s="167">
        <f>'c-f s1'!Q17</f>
        <v>0</v>
      </c>
      <c r="R8" s="167">
        <f>'c-f s1'!R17</f>
        <v>0</v>
      </c>
      <c r="S8" s="167">
        <f>'c-f s1'!S17</f>
        <v>0</v>
      </c>
      <c r="T8" s="167">
        <f>'c-f s1'!T17</f>
        <v>0</v>
      </c>
    </row>
    <row r="9" spans="1:20" x14ac:dyDescent="0.25">
      <c r="E9" s="164"/>
      <c r="F9" s="164"/>
      <c r="G9" s="164"/>
      <c r="H9" s="164"/>
      <c r="I9" s="164"/>
      <c r="J9" s="164"/>
      <c r="K9" s="164"/>
      <c r="L9" s="164"/>
      <c r="M9" s="164"/>
      <c r="N9" s="164"/>
      <c r="O9" s="164"/>
      <c r="P9" s="164"/>
      <c r="Q9" s="164"/>
      <c r="R9" s="164"/>
      <c r="S9" s="164"/>
      <c r="T9" s="164"/>
    </row>
    <row r="10" spans="1:20" x14ac:dyDescent="0.25">
      <c r="B10" s="43" t="s">
        <v>172</v>
      </c>
      <c r="C10" s="43"/>
      <c r="D10" s="165"/>
      <c r="E10" s="165"/>
      <c r="F10" s="165"/>
      <c r="G10" s="165"/>
      <c r="H10" s="165"/>
      <c r="I10" s="165"/>
      <c r="J10" s="165"/>
      <c r="K10" s="165"/>
      <c r="L10" s="165"/>
      <c r="M10" s="165"/>
      <c r="N10" s="165"/>
      <c r="O10" s="165"/>
      <c r="P10" s="165"/>
      <c r="Q10" s="165"/>
      <c r="R10" s="165"/>
      <c r="S10" s="165"/>
      <c r="T10" s="165"/>
    </row>
    <row r="11" spans="1:20" x14ac:dyDescent="0.25">
      <c r="B11" s="43" t="s">
        <v>261</v>
      </c>
      <c r="C11" s="43"/>
      <c r="D11" s="142">
        <f>'c-f s1'!D26</f>
        <v>0</v>
      </c>
      <c r="E11" s="142">
        <f>'c-f s1'!E26</f>
        <v>53.275810058900007</v>
      </c>
      <c r="F11" s="142">
        <f>'c-f s1'!F26</f>
        <v>0</v>
      </c>
      <c r="G11" s="142">
        <f>'c-f s1'!G26</f>
        <v>0</v>
      </c>
      <c r="H11" s="142">
        <f>'c-f s1'!H26</f>
        <v>0</v>
      </c>
      <c r="I11" s="142">
        <f>'c-f s1'!I26</f>
        <v>0</v>
      </c>
      <c r="J11" s="142">
        <f>'c-f s1'!J26</f>
        <v>0</v>
      </c>
      <c r="K11" s="142">
        <f>'c-f s1'!K26</f>
        <v>0</v>
      </c>
      <c r="L11" s="142">
        <f>'c-f s1'!L26</f>
        <v>0</v>
      </c>
      <c r="M11" s="142">
        <f>'c-f s1'!M26</f>
        <v>0</v>
      </c>
      <c r="N11" s="142">
        <f>'c-f s1'!N26</f>
        <v>0</v>
      </c>
      <c r="O11" s="142">
        <f>'c-f s1'!O26</f>
        <v>0</v>
      </c>
      <c r="P11" s="142">
        <f>'c-f s1'!P26</f>
        <v>0</v>
      </c>
      <c r="Q11" s="142">
        <f>'c-f s1'!Q26</f>
        <v>0</v>
      </c>
      <c r="R11" s="142">
        <f>'c-f s1'!R26</f>
        <v>0</v>
      </c>
      <c r="S11" s="142">
        <f>'c-f s1'!S26</f>
        <v>0</v>
      </c>
      <c r="T11" s="142">
        <f>'c-f s1'!T26</f>
        <v>0</v>
      </c>
    </row>
    <row r="12" spans="1:20" x14ac:dyDescent="0.25">
      <c r="E12" s="164"/>
      <c r="F12" s="164"/>
      <c r="G12" s="164"/>
      <c r="H12" s="164"/>
      <c r="I12" s="164"/>
      <c r="J12" s="164"/>
      <c r="K12" s="164"/>
      <c r="L12" s="164"/>
      <c r="M12" s="164"/>
      <c r="N12" s="164"/>
      <c r="O12" s="164"/>
      <c r="P12" s="164"/>
      <c r="Q12" s="164"/>
      <c r="R12" s="164"/>
      <c r="S12" s="164"/>
      <c r="T12" s="164"/>
    </row>
    <row r="13" spans="1:20" x14ac:dyDescent="0.25">
      <c r="B13" s="43" t="s">
        <v>129</v>
      </c>
      <c r="C13" s="43"/>
      <c r="E13" s="164"/>
      <c r="F13" s="164"/>
      <c r="G13" s="164"/>
      <c r="H13" s="164"/>
      <c r="I13" s="164"/>
      <c r="J13" s="164"/>
      <c r="K13" s="164"/>
      <c r="L13" s="164"/>
      <c r="M13" s="164"/>
      <c r="N13" s="164"/>
      <c r="O13" s="164"/>
      <c r="P13" s="164"/>
      <c r="Q13" s="164"/>
      <c r="R13" s="164"/>
      <c r="S13" s="164"/>
      <c r="T13" s="164"/>
    </row>
    <row r="14" spans="1:20" s="3" customFormat="1" x14ac:dyDescent="0.25">
      <c r="B14" s="43" t="s">
        <v>259</v>
      </c>
      <c r="C14" s="43"/>
      <c r="D14" s="149">
        <f>'c-f s1'!D33</f>
        <v>0</v>
      </c>
      <c r="E14" s="149">
        <f>'c-f s1'!E33</f>
        <v>317.1243216189506</v>
      </c>
      <c r="F14" s="149">
        <f>'c-f s1'!F33</f>
        <v>329.80929448370864</v>
      </c>
      <c r="G14" s="149">
        <f>'c-f s1'!G33</f>
        <v>343.00166626305696</v>
      </c>
      <c r="H14" s="149">
        <f>'c-f s1'!H33</f>
        <v>356.72173291357922</v>
      </c>
      <c r="I14" s="149">
        <f>'c-f s1'!I33</f>
        <v>370.99060223012236</v>
      </c>
      <c r="J14" s="149">
        <f>'c-f s1'!J33</f>
        <v>385.83022631932732</v>
      </c>
      <c r="K14" s="149">
        <f>'c-f s1'!K33</f>
        <v>401.26343537210039</v>
      </c>
      <c r="L14" s="149">
        <f>'c-f s1'!L33</f>
        <v>417.31397278698444</v>
      </c>
      <c r="M14" s="149">
        <f>'c-f s1'!M33</f>
        <v>434.00653169846385</v>
      </c>
      <c r="N14" s="149">
        <f>'c-f s1'!N33</f>
        <v>451.36679296640239</v>
      </c>
      <c r="O14" s="149">
        <f>'c-f s1'!O33</f>
        <v>469.42146468505848</v>
      </c>
      <c r="P14" s="149">
        <f>'c-f s1'!P33</f>
        <v>488.19832327246081</v>
      </c>
      <c r="Q14" s="149">
        <f>'c-f s1'!Q33</f>
        <v>507.7262562033593</v>
      </c>
      <c r="R14" s="149">
        <f>'c-f s1'!R33</f>
        <v>528.03530645149362</v>
      </c>
      <c r="S14" s="149">
        <f>'c-f s1'!S33</f>
        <v>526.79604567916942</v>
      </c>
      <c r="T14" s="149">
        <f>'c-f s1'!T33</f>
        <v>0</v>
      </c>
    </row>
    <row r="15" spans="1:20" x14ac:dyDescent="0.25">
      <c r="E15" s="164"/>
      <c r="F15" s="164"/>
      <c r="G15" s="164"/>
      <c r="H15" s="164"/>
      <c r="I15" s="164"/>
      <c r="J15" s="164"/>
      <c r="K15" s="164"/>
      <c r="L15" s="164"/>
      <c r="M15" s="164"/>
      <c r="N15" s="164"/>
      <c r="O15" s="164"/>
      <c r="P15" s="164"/>
      <c r="Q15" s="164"/>
      <c r="R15" s="164"/>
      <c r="S15" s="164"/>
      <c r="T15" s="164"/>
    </row>
    <row r="16" spans="1:20" x14ac:dyDescent="0.25">
      <c r="B16" s="43" t="s">
        <v>225</v>
      </c>
      <c r="C16" s="43"/>
      <c r="E16" s="164"/>
      <c r="F16" s="164"/>
      <c r="G16" s="164"/>
      <c r="H16" s="164"/>
      <c r="I16" s="164"/>
      <c r="J16" s="164"/>
      <c r="K16" s="164"/>
      <c r="L16" s="164"/>
      <c r="M16" s="164"/>
      <c r="N16" s="164"/>
      <c r="O16" s="164"/>
      <c r="P16" s="164"/>
      <c r="Q16" s="164"/>
      <c r="R16" s="164"/>
      <c r="S16" s="164"/>
      <c r="T16" s="164"/>
    </row>
    <row r="17" spans="1:21" s="3" customFormat="1" x14ac:dyDescent="0.25">
      <c r="B17" s="43" t="s">
        <v>229</v>
      </c>
      <c r="C17" s="43"/>
      <c r="D17" s="142">
        <f>'c-f s1'!D45</f>
        <v>0</v>
      </c>
      <c r="E17" s="142">
        <f>'c-f s1'!E45</f>
        <v>45.478705232317068</v>
      </c>
      <c r="F17" s="142">
        <f>'c-f s1'!F45</f>
        <v>48.439907546256094</v>
      </c>
      <c r="G17" s="142">
        <f>'c-f s1'!G45</f>
        <v>51.332353199031466</v>
      </c>
      <c r="H17" s="142">
        <f>'c-f s1'!H45</f>
        <v>54.398345590973349</v>
      </c>
      <c r="I17" s="142">
        <f>'c-f s1'!I45</f>
        <v>57.648297526431755</v>
      </c>
      <c r="J17" s="142">
        <f>'c-f s1'!J45</f>
        <v>61.093246578017663</v>
      </c>
      <c r="K17" s="142">
        <f>'c-f s1'!K45</f>
        <v>64.744892572698731</v>
      </c>
      <c r="L17" s="142">
        <f>'c-f s1'!L45</f>
        <v>68.615637327060654</v>
      </c>
      <c r="M17" s="142">
        <f>'c-f s1'!M45</f>
        <v>72.718626766684295</v>
      </c>
      <c r="N17" s="142">
        <f>'c-f s1'!N45</f>
        <v>77.067795572685355</v>
      </c>
      <c r="O17" s="142">
        <f>'c-f s1'!O45</f>
        <v>81.677914507046481</v>
      </c>
      <c r="P17" s="142">
        <f>'c-f s1'!P45</f>
        <v>86.564640577469277</v>
      </c>
      <c r="Q17" s="142">
        <f>'c-f s1'!Q45</f>
        <v>91.744570212117438</v>
      </c>
      <c r="R17" s="142">
        <f>'c-f s1'!R45</f>
        <v>97.235295624844483</v>
      </c>
      <c r="S17" s="142">
        <f>'c-f s1'!S45</f>
        <v>103.05546456233516</v>
      </c>
      <c r="T17" s="142">
        <f>'c-f s1'!T45</f>
        <v>0.23247999999999999</v>
      </c>
      <c r="U17" s="142"/>
    </row>
    <row r="18" spans="1:21" s="3" customFormat="1" x14ac:dyDescent="0.25">
      <c r="B18" s="43"/>
      <c r="C18" s="43"/>
      <c r="D18" s="142"/>
      <c r="E18" s="142"/>
      <c r="F18" s="142"/>
      <c r="G18" s="142"/>
      <c r="H18" s="142"/>
      <c r="I18" s="142"/>
      <c r="J18" s="142"/>
      <c r="K18" s="142"/>
      <c r="L18" s="142"/>
      <c r="M18" s="142"/>
      <c r="N18" s="142"/>
      <c r="O18" s="142"/>
      <c r="P18" s="142"/>
      <c r="Q18" s="142"/>
      <c r="R18" s="142"/>
      <c r="S18" s="142"/>
      <c r="T18" s="142"/>
      <c r="U18" s="142"/>
    </row>
    <row r="19" spans="1:21" s="3" customFormat="1" x14ac:dyDescent="0.25">
      <c r="B19" s="43" t="s">
        <v>232</v>
      </c>
      <c r="C19" s="43"/>
      <c r="D19" s="156">
        <f>D14+D17</f>
        <v>0</v>
      </c>
      <c r="E19" s="156">
        <f t="shared" ref="E19:T19" si="1">E14+E17</f>
        <v>362.60302685126766</v>
      </c>
      <c r="F19" s="156">
        <f t="shared" si="1"/>
        <v>378.24920202996475</v>
      </c>
      <c r="G19" s="156">
        <f t="shared" si="1"/>
        <v>394.33401946208841</v>
      </c>
      <c r="H19" s="156">
        <f t="shared" si="1"/>
        <v>411.12007850455257</v>
      </c>
      <c r="I19" s="156">
        <f t="shared" si="1"/>
        <v>428.63889975655411</v>
      </c>
      <c r="J19" s="156">
        <f t="shared" si="1"/>
        <v>446.92347289734499</v>
      </c>
      <c r="K19" s="156">
        <f t="shared" si="1"/>
        <v>466.00832794479913</v>
      </c>
      <c r="L19" s="156">
        <f t="shared" si="1"/>
        <v>485.92961011404509</v>
      </c>
      <c r="M19" s="156">
        <f t="shared" si="1"/>
        <v>506.72515846514813</v>
      </c>
      <c r="N19" s="156">
        <f t="shared" si="1"/>
        <v>528.43458853908771</v>
      </c>
      <c r="O19" s="156">
        <f t="shared" si="1"/>
        <v>551.09937919210495</v>
      </c>
      <c r="P19" s="156">
        <f t="shared" si="1"/>
        <v>574.76296384993009</v>
      </c>
      <c r="Q19" s="156">
        <f t="shared" si="1"/>
        <v>599.47082641547672</v>
      </c>
      <c r="R19" s="156">
        <f t="shared" si="1"/>
        <v>625.27060207633815</v>
      </c>
      <c r="S19" s="156">
        <f t="shared" si="1"/>
        <v>629.85151024150457</v>
      </c>
      <c r="T19" s="156">
        <f t="shared" si="1"/>
        <v>0.23247999999999999</v>
      </c>
      <c r="U19" s="156"/>
    </row>
    <row r="20" spans="1:21" x14ac:dyDescent="0.25">
      <c r="B20" s="43"/>
      <c r="C20" s="43"/>
      <c r="E20" s="164"/>
      <c r="F20" s="164"/>
      <c r="G20" s="164"/>
      <c r="H20" s="164"/>
      <c r="I20" s="164"/>
      <c r="J20" s="164"/>
      <c r="K20" s="164"/>
      <c r="L20" s="164"/>
      <c r="M20" s="164"/>
      <c r="N20" s="164"/>
      <c r="O20" s="164"/>
      <c r="P20" s="164"/>
      <c r="Q20" s="164"/>
      <c r="R20" s="164"/>
      <c r="S20" s="164"/>
      <c r="T20" s="164"/>
    </row>
    <row r="21" spans="1:21" ht="18.75" x14ac:dyDescent="0.3">
      <c r="B21" s="163" t="s">
        <v>234</v>
      </c>
      <c r="C21" s="163"/>
      <c r="E21" s="164"/>
      <c r="F21" s="164"/>
      <c r="G21" s="164"/>
      <c r="H21" s="164"/>
      <c r="I21" s="164"/>
      <c r="J21" s="164"/>
      <c r="K21" s="164"/>
      <c r="L21" s="164"/>
      <c r="M21" s="164"/>
      <c r="N21" s="164"/>
      <c r="O21" s="164"/>
      <c r="P21" s="164"/>
      <c r="Q21" s="164"/>
      <c r="R21" s="164"/>
      <c r="S21" s="164"/>
      <c r="T21" s="164"/>
    </row>
    <row r="22" spans="1:21" s="3" customFormat="1" x14ac:dyDescent="0.25">
      <c r="B22" s="43" t="s">
        <v>233</v>
      </c>
      <c r="C22" s="43"/>
      <c r="D22" s="156">
        <f>'c-f s1'!D53</f>
        <v>0</v>
      </c>
      <c r="E22" s="156">
        <f>'c-f s1'!E53</f>
        <v>25.369945729516047</v>
      </c>
      <c r="F22" s="156">
        <f>'c-f s1'!F53</f>
        <v>26.384743558696691</v>
      </c>
      <c r="G22" s="156">
        <f>'c-f s1'!G53</f>
        <v>27.440133301044561</v>
      </c>
      <c r="H22" s="156">
        <f>'c-f s1'!H53</f>
        <v>28.537738633086345</v>
      </c>
      <c r="I22" s="156">
        <f>'c-f s1'!I53</f>
        <v>29.6792481784098</v>
      </c>
      <c r="J22" s="156">
        <f>'c-f s1'!J53</f>
        <v>30.866418105546192</v>
      </c>
      <c r="K22" s="156">
        <f>'c-f s1'!K53</f>
        <v>32.101074829768038</v>
      </c>
      <c r="L22" s="156">
        <f>'c-f s1'!L53</f>
        <v>33.385117822958762</v>
      </c>
      <c r="M22" s="156">
        <f>'c-f s1'!M53</f>
        <v>34.720522535877116</v>
      </c>
      <c r="N22" s="156">
        <f>'c-f s1'!N53</f>
        <v>36.109343437312205</v>
      </c>
      <c r="O22" s="156">
        <f>'c-f s1'!O53</f>
        <v>37.553717174804696</v>
      </c>
      <c r="P22" s="156">
        <f>'c-f s1'!P53</f>
        <v>39.055865861796889</v>
      </c>
      <c r="Q22" s="156">
        <f>'c-f s1'!Q53</f>
        <v>40.618100496268767</v>
      </c>
      <c r="R22" s="156">
        <f>'c-f s1'!R53</f>
        <v>42.242824516119512</v>
      </c>
      <c r="S22" s="156">
        <f>'c-f s1'!S53</f>
        <v>43.932537496764297</v>
      </c>
      <c r="T22" s="156">
        <f>'c-f s1'!T53</f>
        <v>0</v>
      </c>
    </row>
    <row r="23" spans="1:21" x14ac:dyDescent="0.25">
      <c r="B23" s="43" t="s">
        <v>258</v>
      </c>
      <c r="C23" s="43"/>
      <c r="D23" s="167">
        <f>D22+D19</f>
        <v>0</v>
      </c>
      <c r="E23" s="167">
        <f t="shared" ref="E23:T23" si="2">E22+E19</f>
        <v>387.97297258078368</v>
      </c>
      <c r="F23" s="167">
        <f t="shared" si="2"/>
        <v>404.63394558866145</v>
      </c>
      <c r="G23" s="167">
        <f t="shared" si="2"/>
        <v>421.77415276313297</v>
      </c>
      <c r="H23" s="167">
        <f t="shared" si="2"/>
        <v>439.65781713763892</v>
      </c>
      <c r="I23" s="167">
        <f t="shared" si="2"/>
        <v>458.31814793496392</v>
      </c>
      <c r="J23" s="167">
        <f t="shared" si="2"/>
        <v>477.78989100289118</v>
      </c>
      <c r="K23" s="167">
        <f t="shared" si="2"/>
        <v>498.10940277456717</v>
      </c>
      <c r="L23" s="167">
        <f t="shared" si="2"/>
        <v>519.31472793700391</v>
      </c>
      <c r="M23" s="167">
        <f t="shared" si="2"/>
        <v>541.44568100102526</v>
      </c>
      <c r="N23" s="167">
        <f t="shared" si="2"/>
        <v>564.5439319763999</v>
      </c>
      <c r="O23" s="167">
        <f t="shared" si="2"/>
        <v>588.65309636690961</v>
      </c>
      <c r="P23" s="167">
        <f t="shared" si="2"/>
        <v>613.81882971172695</v>
      </c>
      <c r="Q23" s="167">
        <f t="shared" si="2"/>
        <v>640.08892691174549</v>
      </c>
      <c r="R23" s="167">
        <f t="shared" si="2"/>
        <v>667.51342659245768</v>
      </c>
      <c r="S23" s="167">
        <f t="shared" si="2"/>
        <v>673.7840477382689</v>
      </c>
      <c r="T23" s="167">
        <f t="shared" si="2"/>
        <v>0.23247999999999999</v>
      </c>
    </row>
    <row r="25" spans="1:21" s="3" customFormat="1" x14ac:dyDescent="0.25">
      <c r="B25" s="43" t="s">
        <v>262</v>
      </c>
      <c r="C25" s="43"/>
      <c r="D25" s="156">
        <f t="shared" ref="D25:T25" si="3">D8+D11+D23</f>
        <v>215.00647144599998</v>
      </c>
      <c r="E25" s="156">
        <f t="shared" si="3"/>
        <v>441.24878263968367</v>
      </c>
      <c r="F25" s="156">
        <f t="shared" si="3"/>
        <v>404.63394558866145</v>
      </c>
      <c r="G25" s="156">
        <f t="shared" si="3"/>
        <v>421.77415276313297</v>
      </c>
      <c r="H25" s="156">
        <f t="shared" si="3"/>
        <v>439.65781713763892</v>
      </c>
      <c r="I25" s="156">
        <f t="shared" si="3"/>
        <v>458.31814793496392</v>
      </c>
      <c r="J25" s="156">
        <f t="shared" si="3"/>
        <v>477.78989100289118</v>
      </c>
      <c r="K25" s="156">
        <f t="shared" si="3"/>
        <v>498.10940277456717</v>
      </c>
      <c r="L25" s="156">
        <f t="shared" si="3"/>
        <v>519.31472793700391</v>
      </c>
      <c r="M25" s="156">
        <f t="shared" si="3"/>
        <v>541.44568100102526</v>
      </c>
      <c r="N25" s="156">
        <f t="shared" si="3"/>
        <v>564.5439319763999</v>
      </c>
      <c r="O25" s="156">
        <f t="shared" si="3"/>
        <v>588.65309636690961</v>
      </c>
      <c r="P25" s="156">
        <f t="shared" si="3"/>
        <v>613.81882971172695</v>
      </c>
      <c r="Q25" s="156">
        <f t="shared" si="3"/>
        <v>640.08892691174549</v>
      </c>
      <c r="R25" s="156">
        <f t="shared" si="3"/>
        <v>667.51342659245768</v>
      </c>
      <c r="S25" s="156">
        <f t="shared" si="3"/>
        <v>673.7840477382689</v>
      </c>
      <c r="T25" s="156">
        <f t="shared" si="3"/>
        <v>0.23247999999999999</v>
      </c>
    </row>
    <row r="27" spans="1:21" x14ac:dyDescent="0.25">
      <c r="A27" s="3" t="s">
        <v>263</v>
      </c>
    </row>
    <row r="28" spans="1:21" s="3" customFormat="1" x14ac:dyDescent="0.25">
      <c r="B28" s="43" t="s">
        <v>265</v>
      </c>
      <c r="C28" s="43"/>
      <c r="D28" s="156">
        <f>'c-f s1'!D63</f>
        <v>0</v>
      </c>
      <c r="E28" s="156">
        <f>'c-f s1'!E63</f>
        <v>131.21409</v>
      </c>
      <c r="F28" s="156">
        <f>'c-f s1'!F63</f>
        <v>137.03240249999999</v>
      </c>
      <c r="G28" s="156">
        <f>'c-f s1'!G63</f>
        <v>143.141630625</v>
      </c>
      <c r="H28" s="156">
        <f>'c-f s1'!H63</f>
        <v>149.55632015625</v>
      </c>
      <c r="I28" s="156">
        <f>'c-f s1'!I63</f>
        <v>156.29174416406249</v>
      </c>
      <c r="J28" s="156">
        <f>'c-f s1'!J63</f>
        <v>163.36393937226566</v>
      </c>
      <c r="K28" s="156">
        <f>'c-f s1'!K63</f>
        <v>170.78974434087894</v>
      </c>
      <c r="L28" s="156">
        <f>'c-f s1'!L63</f>
        <v>178.5868395579229</v>
      </c>
      <c r="M28" s="156">
        <f>'c-f s1'!M63</f>
        <v>186.77378953581905</v>
      </c>
      <c r="N28" s="156">
        <f>'c-f s1'!N63</f>
        <v>195.37008701261004</v>
      </c>
      <c r="O28" s="156">
        <f>'c-f s1'!O63</f>
        <v>204.39619936324053</v>
      </c>
      <c r="P28" s="156">
        <f>'c-f s1'!P63</f>
        <v>213.87361733140256</v>
      </c>
      <c r="Q28" s="156">
        <f>'c-f s1'!Q63</f>
        <v>223.82490619797272</v>
      </c>
      <c r="R28" s="156">
        <f>'c-f s1'!R63</f>
        <v>234.27375950787138</v>
      </c>
      <c r="S28" s="156">
        <f>'c-f s1'!S63</f>
        <v>245.24505548326493</v>
      </c>
      <c r="T28" s="156">
        <f>'c-f s1'!T63</f>
        <v>0</v>
      </c>
    </row>
    <row r="29" spans="1:21" s="3" customFormat="1" x14ac:dyDescent="0.25">
      <c r="B29" s="43"/>
      <c r="C29" s="43"/>
      <c r="D29" s="167"/>
      <c r="E29" s="167"/>
      <c r="F29" s="167"/>
      <c r="G29" s="167"/>
      <c r="H29" s="167"/>
      <c r="I29" s="167"/>
      <c r="J29" s="167"/>
      <c r="K29" s="167"/>
      <c r="L29" s="167"/>
      <c r="M29" s="167"/>
      <c r="N29" s="167"/>
      <c r="O29" s="167"/>
      <c r="P29" s="167"/>
      <c r="Q29" s="167"/>
      <c r="R29" s="167"/>
      <c r="S29" s="167"/>
      <c r="T29" s="167"/>
    </row>
    <row r="30" spans="1:21" s="3" customFormat="1" x14ac:dyDescent="0.25">
      <c r="B30" s="43" t="s">
        <v>270</v>
      </c>
      <c r="C30" s="43"/>
      <c r="D30" s="156">
        <v>0</v>
      </c>
      <c r="E30" s="156">
        <f>D30</f>
        <v>0</v>
      </c>
      <c r="F30" s="156">
        <f t="shared" ref="F30:T31" si="4">E30</f>
        <v>0</v>
      </c>
      <c r="G30" s="156">
        <f t="shared" si="4"/>
        <v>0</v>
      </c>
      <c r="H30" s="156">
        <f t="shared" si="4"/>
        <v>0</v>
      </c>
      <c r="I30" s="156">
        <f t="shared" si="4"/>
        <v>0</v>
      </c>
      <c r="J30" s="156">
        <f t="shared" si="4"/>
        <v>0</v>
      </c>
      <c r="K30" s="156">
        <f t="shared" si="4"/>
        <v>0</v>
      </c>
      <c r="L30" s="156">
        <f t="shared" si="4"/>
        <v>0</v>
      </c>
      <c r="M30" s="156">
        <f t="shared" si="4"/>
        <v>0</v>
      </c>
      <c r="N30" s="156">
        <f t="shared" si="4"/>
        <v>0</v>
      </c>
      <c r="O30" s="156">
        <f t="shared" si="4"/>
        <v>0</v>
      </c>
      <c r="P30" s="156">
        <f t="shared" si="4"/>
        <v>0</v>
      </c>
      <c r="Q30" s="156">
        <f t="shared" si="4"/>
        <v>0</v>
      </c>
      <c r="R30" s="156">
        <f t="shared" si="4"/>
        <v>0</v>
      </c>
      <c r="S30" s="156">
        <f t="shared" si="4"/>
        <v>0</v>
      </c>
      <c r="T30" s="156">
        <f>E11</f>
        <v>53.275810058900007</v>
      </c>
    </row>
    <row r="31" spans="1:21" s="3" customFormat="1" x14ac:dyDescent="0.25">
      <c r="B31" s="43" t="s">
        <v>282</v>
      </c>
      <c r="C31" s="43"/>
      <c r="D31" s="156">
        <v>0</v>
      </c>
      <c r="E31" s="156">
        <f>D31</f>
        <v>0</v>
      </c>
      <c r="F31" s="156">
        <f t="shared" si="4"/>
        <v>0</v>
      </c>
      <c r="G31" s="156">
        <f t="shared" si="4"/>
        <v>0</v>
      </c>
      <c r="H31" s="156">
        <f t="shared" si="4"/>
        <v>0</v>
      </c>
      <c r="I31" s="156">
        <f t="shared" si="4"/>
        <v>0</v>
      </c>
      <c r="J31" s="156">
        <f t="shared" si="4"/>
        <v>0</v>
      </c>
      <c r="K31" s="156">
        <f t="shared" si="4"/>
        <v>0</v>
      </c>
      <c r="L31" s="156">
        <f t="shared" si="4"/>
        <v>0</v>
      </c>
      <c r="M31" s="156">
        <f t="shared" si="4"/>
        <v>0</v>
      </c>
      <c r="N31" s="156">
        <f t="shared" si="4"/>
        <v>0</v>
      </c>
      <c r="O31" s="156">
        <f t="shared" si="4"/>
        <v>0</v>
      </c>
      <c r="P31" s="156">
        <f t="shared" si="4"/>
        <v>0</v>
      </c>
      <c r="Q31" s="156">
        <f t="shared" si="4"/>
        <v>0</v>
      </c>
      <c r="R31" s="156">
        <f t="shared" si="4"/>
        <v>0</v>
      </c>
      <c r="S31" s="156">
        <f t="shared" si="4"/>
        <v>0</v>
      </c>
      <c r="T31" s="156">
        <f t="shared" si="4"/>
        <v>0</v>
      </c>
    </row>
    <row r="32" spans="1:21" s="3" customFormat="1" x14ac:dyDescent="0.25">
      <c r="B32" s="43"/>
      <c r="C32" s="43"/>
      <c r="D32" s="167"/>
      <c r="E32" s="167"/>
      <c r="F32" s="167"/>
      <c r="G32" s="167"/>
      <c r="H32" s="167"/>
      <c r="I32" s="167"/>
      <c r="J32" s="167"/>
      <c r="K32" s="167"/>
      <c r="L32" s="167"/>
      <c r="M32" s="167"/>
      <c r="N32" s="167"/>
      <c r="O32" s="167"/>
      <c r="P32" s="167"/>
      <c r="Q32" s="167"/>
      <c r="R32" s="167"/>
      <c r="S32" s="167"/>
      <c r="T32" s="167"/>
    </row>
    <row r="33" spans="2:20" s="3" customFormat="1" x14ac:dyDescent="0.25">
      <c r="B33" s="43" t="s">
        <v>272</v>
      </c>
      <c r="C33" s="43"/>
      <c r="D33" s="156">
        <f t="shared" ref="D33:S33" si="5">D28+D30+D31</f>
        <v>0</v>
      </c>
      <c r="E33" s="156">
        <f t="shared" si="5"/>
        <v>131.21409</v>
      </c>
      <c r="F33" s="156">
        <f t="shared" si="5"/>
        <v>137.03240249999999</v>
      </c>
      <c r="G33" s="156">
        <f t="shared" si="5"/>
        <v>143.141630625</v>
      </c>
      <c r="H33" s="156">
        <f t="shared" si="5"/>
        <v>149.55632015625</v>
      </c>
      <c r="I33" s="156">
        <f t="shared" si="5"/>
        <v>156.29174416406249</v>
      </c>
      <c r="J33" s="156">
        <f t="shared" si="5"/>
        <v>163.36393937226566</v>
      </c>
      <c r="K33" s="156">
        <f t="shared" si="5"/>
        <v>170.78974434087894</v>
      </c>
      <c r="L33" s="156">
        <f t="shared" si="5"/>
        <v>178.5868395579229</v>
      </c>
      <c r="M33" s="156">
        <f t="shared" si="5"/>
        <v>186.77378953581905</v>
      </c>
      <c r="N33" s="156">
        <f t="shared" si="5"/>
        <v>195.37008701261004</v>
      </c>
      <c r="O33" s="156">
        <f t="shared" si="5"/>
        <v>204.39619936324053</v>
      </c>
      <c r="P33" s="156">
        <f t="shared" si="5"/>
        <v>213.87361733140256</v>
      </c>
      <c r="Q33" s="156">
        <f t="shared" si="5"/>
        <v>223.82490619797272</v>
      </c>
      <c r="R33" s="156">
        <f t="shared" si="5"/>
        <v>234.27375950787138</v>
      </c>
      <c r="S33" s="156">
        <f t="shared" si="5"/>
        <v>245.24505548326493</v>
      </c>
      <c r="T33" s="156">
        <f>T28+T30+T31</f>
        <v>53.275810058900007</v>
      </c>
    </row>
    <row r="35" spans="2:20" s="124" customFormat="1" x14ac:dyDescent="0.25">
      <c r="B35" s="179" t="s">
        <v>266</v>
      </c>
      <c r="C35" s="179"/>
      <c r="D35" s="126">
        <f t="shared" ref="D35:T35" si="6">D33-D25</f>
        <v>-215.00647144599998</v>
      </c>
      <c r="E35" s="126">
        <f t="shared" si="6"/>
        <v>-310.03469263968367</v>
      </c>
      <c r="F35" s="126">
        <f t="shared" si="6"/>
        <v>-267.60154308866146</v>
      </c>
      <c r="G35" s="126">
        <f t="shared" si="6"/>
        <v>-278.63252213813297</v>
      </c>
      <c r="H35" s="126">
        <f t="shared" si="6"/>
        <v>-290.10149698138889</v>
      </c>
      <c r="I35" s="126">
        <f t="shared" si="6"/>
        <v>-302.02640377090142</v>
      </c>
      <c r="J35" s="126">
        <f t="shared" si="6"/>
        <v>-314.42595163062549</v>
      </c>
      <c r="K35" s="126">
        <f t="shared" si="6"/>
        <v>-327.31965843368823</v>
      </c>
      <c r="L35" s="126">
        <f t="shared" si="6"/>
        <v>-340.72788837908104</v>
      </c>
      <c r="M35" s="126">
        <f t="shared" si="6"/>
        <v>-354.67189146520622</v>
      </c>
      <c r="N35" s="126">
        <f t="shared" si="6"/>
        <v>-369.17384496378986</v>
      </c>
      <c r="O35" s="126">
        <f t="shared" si="6"/>
        <v>-384.25689700366911</v>
      </c>
      <c r="P35" s="126">
        <f t="shared" si="6"/>
        <v>-399.94521238032439</v>
      </c>
      <c r="Q35" s="126">
        <f t="shared" si="6"/>
        <v>-416.26402071377277</v>
      </c>
      <c r="R35" s="126">
        <f t="shared" si="6"/>
        <v>-433.2396670845863</v>
      </c>
      <c r="S35" s="126">
        <f t="shared" si="6"/>
        <v>-428.53899225500396</v>
      </c>
      <c r="T35" s="126">
        <f t="shared" si="6"/>
        <v>53.043330058900004</v>
      </c>
    </row>
    <row r="36" spans="2:20" s="124" customFormat="1" x14ac:dyDescent="0.25">
      <c r="B36" s="179" t="s">
        <v>267</v>
      </c>
      <c r="C36" s="179"/>
      <c r="D36" s="126">
        <f>D35</f>
        <v>-215.00647144599998</v>
      </c>
      <c r="E36" s="126">
        <f>D36+E35</f>
        <v>-525.0411640856837</v>
      </c>
      <c r="F36" s="126">
        <f t="shared" ref="F36:T36" si="7">E36+F35</f>
        <v>-792.64270717434511</v>
      </c>
      <c r="G36" s="126">
        <f t="shared" si="7"/>
        <v>-1071.2752293124781</v>
      </c>
      <c r="H36" s="126">
        <f t="shared" si="7"/>
        <v>-1361.376726293867</v>
      </c>
      <c r="I36" s="126">
        <f t="shared" si="7"/>
        <v>-1663.4031300647684</v>
      </c>
      <c r="J36" s="126">
        <f t="shared" si="7"/>
        <v>-1977.8290816953941</v>
      </c>
      <c r="K36" s="126">
        <f t="shared" si="7"/>
        <v>-2305.1487401290824</v>
      </c>
      <c r="L36" s="126">
        <f t="shared" si="7"/>
        <v>-2645.8766285081633</v>
      </c>
      <c r="M36" s="126">
        <f t="shared" si="7"/>
        <v>-3000.5485199733694</v>
      </c>
      <c r="N36" s="126">
        <f t="shared" si="7"/>
        <v>-3369.722364937159</v>
      </c>
      <c r="O36" s="126">
        <f t="shared" si="7"/>
        <v>-3753.9792619408281</v>
      </c>
      <c r="P36" s="126">
        <f t="shared" si="7"/>
        <v>-4153.924474321153</v>
      </c>
      <c r="Q36" s="126">
        <f t="shared" si="7"/>
        <v>-4570.1884950349258</v>
      </c>
      <c r="R36" s="126">
        <f t="shared" si="7"/>
        <v>-5003.4281621195123</v>
      </c>
      <c r="S36" s="126">
        <f t="shared" si="7"/>
        <v>-5431.9671543745162</v>
      </c>
      <c r="T36" s="126">
        <f t="shared" si="7"/>
        <v>-5378.923824315616</v>
      </c>
    </row>
    <row r="38" spans="2:20" s="186" customFormat="1" x14ac:dyDescent="0.25">
      <c r="B38" s="180" t="s">
        <v>277</v>
      </c>
      <c r="C38" s="182">
        <f>C44</f>
        <v>0.05</v>
      </c>
      <c r="D38" s="166"/>
      <c r="E38" s="186">
        <f>105%</f>
        <v>1.05</v>
      </c>
      <c r="F38" s="186">
        <f t="shared" ref="F38:T38" si="8">E38*105%</f>
        <v>1.1025</v>
      </c>
      <c r="G38" s="186">
        <f t="shared" si="8"/>
        <v>1.1576250000000001</v>
      </c>
      <c r="H38" s="186">
        <f t="shared" si="8"/>
        <v>1.2155062500000002</v>
      </c>
      <c r="I38" s="186">
        <f t="shared" si="8"/>
        <v>1.2762815625000004</v>
      </c>
      <c r="J38" s="186">
        <f t="shared" si="8"/>
        <v>1.3400956406250004</v>
      </c>
      <c r="K38" s="186">
        <f t="shared" si="8"/>
        <v>1.4071004226562505</v>
      </c>
      <c r="L38" s="186">
        <f t="shared" si="8"/>
        <v>1.477455443789063</v>
      </c>
      <c r="M38" s="186">
        <f t="shared" si="8"/>
        <v>1.5513282159785162</v>
      </c>
      <c r="N38" s="186">
        <f t="shared" si="8"/>
        <v>1.628894626777442</v>
      </c>
      <c r="O38" s="186">
        <f t="shared" si="8"/>
        <v>1.7103393581163142</v>
      </c>
      <c r="P38" s="186">
        <f t="shared" si="8"/>
        <v>1.7958563260221301</v>
      </c>
      <c r="Q38" s="186">
        <f t="shared" si="8"/>
        <v>1.8856491423232367</v>
      </c>
      <c r="R38" s="186">
        <f t="shared" si="8"/>
        <v>1.9799315994393987</v>
      </c>
      <c r="S38" s="186">
        <f t="shared" si="8"/>
        <v>2.0789281794113688</v>
      </c>
      <c r="T38" s="186">
        <f t="shared" si="8"/>
        <v>2.1828745883819374</v>
      </c>
    </row>
    <row r="39" spans="2:20" x14ac:dyDescent="0.25">
      <c r="B39" s="243" t="s">
        <v>369</v>
      </c>
      <c r="C39" s="182"/>
      <c r="E39" s="242">
        <f t="shared" ref="E39:T39" si="9">1/E38</f>
        <v>0.95238095238095233</v>
      </c>
      <c r="F39" s="242">
        <f t="shared" si="9"/>
        <v>0.90702947845804982</v>
      </c>
      <c r="G39" s="242">
        <f t="shared" si="9"/>
        <v>0.86383759853147601</v>
      </c>
      <c r="H39" s="242">
        <f t="shared" si="9"/>
        <v>0.82270247479188185</v>
      </c>
      <c r="I39" s="242">
        <f t="shared" si="9"/>
        <v>0.78352616646845885</v>
      </c>
      <c r="J39" s="242">
        <f t="shared" si="9"/>
        <v>0.74621539663662739</v>
      </c>
      <c r="K39" s="242">
        <f t="shared" si="9"/>
        <v>0.71068133013012136</v>
      </c>
      <c r="L39" s="242">
        <f t="shared" si="9"/>
        <v>0.676839362028687</v>
      </c>
      <c r="M39" s="242">
        <f t="shared" si="9"/>
        <v>0.64460891621779715</v>
      </c>
      <c r="N39" s="242">
        <f t="shared" si="9"/>
        <v>0.6139132535407591</v>
      </c>
      <c r="O39" s="242">
        <f t="shared" si="9"/>
        <v>0.58467928908643729</v>
      </c>
      <c r="P39" s="242">
        <f t="shared" si="9"/>
        <v>0.55683741817755927</v>
      </c>
      <c r="Q39" s="242">
        <f t="shared" si="9"/>
        <v>0.53032135064529451</v>
      </c>
      <c r="R39" s="242">
        <f t="shared" si="9"/>
        <v>0.50506795299551854</v>
      </c>
      <c r="S39" s="242">
        <f t="shared" si="9"/>
        <v>0.48101709809096999</v>
      </c>
      <c r="T39" s="242">
        <f t="shared" si="9"/>
        <v>0.45811152199139993</v>
      </c>
    </row>
    <row r="40" spans="2:20" s="124" customFormat="1" x14ac:dyDescent="0.25">
      <c r="B40" s="179" t="s">
        <v>280</v>
      </c>
      <c r="C40" s="187"/>
      <c r="D40" s="188">
        <f>D35</f>
        <v>-215.00647144599998</v>
      </c>
      <c r="E40" s="124">
        <f>E35</f>
        <v>-310.03469263968367</v>
      </c>
      <c r="F40" s="124">
        <f t="shared" ref="F40:T40" si="10">F35/F38</f>
        <v>-242.72248806227796</v>
      </c>
      <c r="G40" s="124">
        <f t="shared" si="10"/>
        <v>-240.6932487965731</v>
      </c>
      <c r="H40" s="124">
        <f t="shared" si="10"/>
        <v>-238.66721950741828</v>
      </c>
      <c r="I40" s="124">
        <f t="shared" si="10"/>
        <v>-236.64559031886927</v>
      </c>
      <c r="J40" s="124">
        <f t="shared" si="10"/>
        <v>-234.62948620889622</v>
      </c>
      <c r="K40" s="124">
        <f t="shared" si="10"/>
        <v>-232.61997023339055</v>
      </c>
      <c r="L40" s="124">
        <f t="shared" si="10"/>
        <v>-230.61804659587887</v>
      </c>
      <c r="M40" s="124">
        <f t="shared" si="10"/>
        <v>-228.62466357030274</v>
      </c>
      <c r="N40" s="124">
        <f t="shared" si="10"/>
        <v>-226.64071628387202</v>
      </c>
      <c r="O40" s="124">
        <f t="shared" si="10"/>
        <v>-224.66704936666559</v>
      </c>
      <c r="P40" s="124">
        <f t="shared" si="10"/>
        <v>-222.70445947433544</v>
      </c>
      <c r="Q40" s="124">
        <f t="shared" si="10"/>
        <v>-220.75369768996882</v>
      </c>
      <c r="R40" s="124">
        <f t="shared" si="10"/>
        <v>-218.81547181087191</v>
      </c>
      <c r="S40" s="124">
        <f t="shared" si="10"/>
        <v>-206.13458247333065</v>
      </c>
      <c r="T40" s="124">
        <f t="shared" si="10"/>
        <v>24.299760664774855</v>
      </c>
    </row>
    <row r="41" spans="2:20" s="124" customFormat="1" x14ac:dyDescent="0.25">
      <c r="B41" s="179" t="s">
        <v>281</v>
      </c>
      <c r="C41" s="187"/>
      <c r="D41" s="188">
        <f>D40</f>
        <v>-215.00647144599998</v>
      </c>
      <c r="E41" s="124">
        <f t="shared" ref="E41:T41" si="11">D41+E40</f>
        <v>-525.0411640856837</v>
      </c>
      <c r="F41" s="124">
        <f t="shared" si="11"/>
        <v>-767.76365214796169</v>
      </c>
      <c r="G41" s="124">
        <f t="shared" si="11"/>
        <v>-1008.4569009445348</v>
      </c>
      <c r="H41" s="124">
        <f t="shared" si="11"/>
        <v>-1247.1241204519531</v>
      </c>
      <c r="I41" s="124">
        <f t="shared" si="11"/>
        <v>-1483.7697107708223</v>
      </c>
      <c r="J41" s="124">
        <f t="shared" si="11"/>
        <v>-1718.3991969797185</v>
      </c>
      <c r="K41" s="124">
        <f t="shared" si="11"/>
        <v>-1951.0191672131091</v>
      </c>
      <c r="L41" s="124">
        <f t="shared" si="11"/>
        <v>-2181.6372138089878</v>
      </c>
      <c r="M41" s="124">
        <f t="shared" si="11"/>
        <v>-2410.2618773792906</v>
      </c>
      <c r="N41" s="124">
        <f t="shared" si="11"/>
        <v>-2636.9025936631624</v>
      </c>
      <c r="O41" s="124">
        <f t="shared" si="11"/>
        <v>-2861.5696430298281</v>
      </c>
      <c r="P41" s="124">
        <f t="shared" si="11"/>
        <v>-3084.2741025041637</v>
      </c>
      <c r="Q41" s="124">
        <f t="shared" si="11"/>
        <v>-3305.0278001941324</v>
      </c>
      <c r="R41" s="124">
        <f t="shared" si="11"/>
        <v>-3523.8432720050041</v>
      </c>
      <c r="S41" s="124">
        <f t="shared" si="11"/>
        <v>-3729.9778544783348</v>
      </c>
      <c r="T41" s="124">
        <f t="shared" si="11"/>
        <v>-3705.6780938135598</v>
      </c>
    </row>
    <row r="42" spans="2:20" s="124" customFormat="1" x14ac:dyDescent="0.25">
      <c r="B42" s="179"/>
      <c r="C42" s="187"/>
      <c r="D42" s="188"/>
    </row>
    <row r="43" spans="2:20" x14ac:dyDescent="0.25">
      <c r="B43" s="179" t="s">
        <v>349</v>
      </c>
    </row>
    <row r="44" spans="2:20" x14ac:dyDescent="0.25">
      <c r="B44" s="180" t="s">
        <v>351</v>
      </c>
      <c r="C44" s="182">
        <f>C45+C46</f>
        <v>0.05</v>
      </c>
    </row>
    <row r="45" spans="2:20" x14ac:dyDescent="0.25">
      <c r="B45" s="162" t="s">
        <v>352</v>
      </c>
      <c r="C45" s="184">
        <v>0.03</v>
      </c>
    </row>
    <row r="46" spans="2:20" x14ac:dyDescent="0.25">
      <c r="B46" s="162" t="s">
        <v>368</v>
      </c>
      <c r="C46" s="184">
        <v>0.02</v>
      </c>
    </row>
    <row r="47" spans="2:20" x14ac:dyDescent="0.25">
      <c r="B47" s="43" t="s">
        <v>350</v>
      </c>
    </row>
    <row r="48" spans="2:20" x14ac:dyDescent="0.25">
      <c r="B48" s="43" t="s">
        <v>367</v>
      </c>
    </row>
    <row r="53" spans="4:5" x14ac:dyDescent="0.25">
      <c r="D53" s="250" t="s">
        <v>370</v>
      </c>
      <c r="E53" s="249">
        <v>1000000</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7C09B-C92C-4037-BA35-00960454F3B4}">
  <sheetPr>
    <tabColor theme="1"/>
  </sheetPr>
  <dimension ref="A1:U88"/>
  <sheetViews>
    <sheetView zoomScale="60" zoomScaleNormal="60" workbookViewId="0">
      <pane xSplit="2" ySplit="2" topLeftCell="C35" activePane="bottomRight" state="frozen"/>
      <selection pane="topRight" activeCell="C1" sqref="C1"/>
      <selection pane="bottomLeft" activeCell="A3" sqref="A3"/>
      <selection pane="bottomRight" activeCell="I55" sqref="I55"/>
    </sheetView>
  </sheetViews>
  <sheetFormatPr defaultRowHeight="15" x14ac:dyDescent="0.25"/>
  <cols>
    <col min="1" max="1" width="4.5703125" customWidth="1"/>
    <col min="2" max="2" width="58" style="40" customWidth="1"/>
    <col min="3" max="3" width="6.140625" style="40" customWidth="1"/>
    <col min="4" max="4" width="12" style="164" bestFit="1" customWidth="1"/>
    <col min="5" max="5" width="10.85546875" style="146" bestFit="1" customWidth="1"/>
    <col min="6" max="6" width="7.28515625" bestFit="1" customWidth="1"/>
    <col min="7" max="20" width="8" bestFit="1" customWidth="1"/>
    <col min="21" max="21" width="16.28515625" bestFit="1" customWidth="1"/>
  </cols>
  <sheetData>
    <row r="1" spans="1:20" ht="15.75" x14ac:dyDescent="0.25">
      <c r="A1" s="245" t="s">
        <v>355</v>
      </c>
      <c r="D1" s="149" t="s">
        <v>254</v>
      </c>
      <c r="E1" s="149" t="s">
        <v>239</v>
      </c>
      <c r="F1" s="176" t="s">
        <v>240</v>
      </c>
      <c r="G1" s="176" t="s">
        <v>241</v>
      </c>
      <c r="H1" s="176" t="s">
        <v>242</v>
      </c>
      <c r="I1" s="176" t="s">
        <v>243</v>
      </c>
      <c r="J1" s="176" t="s">
        <v>244</v>
      </c>
      <c r="K1" s="176" t="s">
        <v>245</v>
      </c>
      <c r="L1" s="176" t="s">
        <v>246</v>
      </c>
      <c r="M1" s="176" t="s">
        <v>247</v>
      </c>
      <c r="N1" s="176" t="s">
        <v>248</v>
      </c>
      <c r="O1" s="176" t="s">
        <v>249</v>
      </c>
      <c r="P1" s="176" t="s">
        <v>250</v>
      </c>
      <c r="Q1" s="176" t="s">
        <v>251</v>
      </c>
      <c r="R1" s="176" t="s">
        <v>252</v>
      </c>
      <c r="S1" s="176" t="s">
        <v>253</v>
      </c>
      <c r="T1" s="176" t="s">
        <v>256</v>
      </c>
    </row>
    <row r="2" spans="1:20" s="173" customFormat="1" ht="18.75" x14ac:dyDescent="0.3">
      <c r="A2" s="246" t="s">
        <v>371</v>
      </c>
      <c r="B2" s="174"/>
      <c r="C2" s="174"/>
      <c r="D2" s="175">
        <v>2020</v>
      </c>
      <c r="E2" s="175">
        <v>2021</v>
      </c>
      <c r="F2" s="175">
        <v>2022</v>
      </c>
      <c r="G2" s="175">
        <v>2023</v>
      </c>
      <c r="H2" s="175">
        <v>2024</v>
      </c>
      <c r="I2" s="175">
        <v>2025</v>
      </c>
      <c r="J2" s="175">
        <v>2026</v>
      </c>
      <c r="K2" s="175">
        <v>2027</v>
      </c>
      <c r="L2" s="175">
        <v>2028</v>
      </c>
      <c r="M2" s="175">
        <v>2029</v>
      </c>
      <c r="N2" s="175">
        <v>2030</v>
      </c>
      <c r="O2" s="175">
        <v>2031</v>
      </c>
      <c r="P2" s="175">
        <v>2032</v>
      </c>
      <c r="Q2" s="175">
        <v>2033</v>
      </c>
      <c r="R2" s="175">
        <v>2034</v>
      </c>
      <c r="S2" s="175">
        <v>2035</v>
      </c>
      <c r="T2" s="175">
        <v>2036</v>
      </c>
    </row>
    <row r="3" spans="1:20" s="169" customFormat="1" x14ac:dyDescent="0.25">
      <c r="B3" s="172" t="s">
        <v>274</v>
      </c>
      <c r="C3" s="172"/>
      <c r="D3" s="168"/>
      <c r="E3" s="177">
        <v>1.04</v>
      </c>
      <c r="F3" s="177">
        <v>1.04</v>
      </c>
      <c r="G3" s="177">
        <f>F3</f>
        <v>1.04</v>
      </c>
      <c r="H3" s="177">
        <f t="shared" ref="H3:T5" si="0">G3</f>
        <v>1.04</v>
      </c>
      <c r="I3" s="177">
        <f t="shared" si="0"/>
        <v>1.04</v>
      </c>
      <c r="J3" s="177">
        <f t="shared" si="0"/>
        <v>1.04</v>
      </c>
      <c r="K3" s="177">
        <f t="shared" si="0"/>
        <v>1.04</v>
      </c>
      <c r="L3" s="177">
        <f t="shared" si="0"/>
        <v>1.04</v>
      </c>
      <c r="M3" s="177">
        <f t="shared" si="0"/>
        <v>1.04</v>
      </c>
      <c r="N3" s="177">
        <f t="shared" si="0"/>
        <v>1.04</v>
      </c>
      <c r="O3" s="177">
        <f t="shared" si="0"/>
        <v>1.04</v>
      </c>
      <c r="P3" s="177">
        <f t="shared" si="0"/>
        <v>1.04</v>
      </c>
      <c r="Q3" s="177">
        <f t="shared" si="0"/>
        <v>1.04</v>
      </c>
      <c r="R3" s="177">
        <f t="shared" si="0"/>
        <v>1.04</v>
      </c>
      <c r="S3" s="177">
        <f t="shared" si="0"/>
        <v>1.04</v>
      </c>
      <c r="T3" s="177">
        <f t="shared" si="0"/>
        <v>1.04</v>
      </c>
    </row>
    <row r="4" spans="1:20" s="169" customFormat="1" x14ac:dyDescent="0.25">
      <c r="B4" s="172" t="s">
        <v>275</v>
      </c>
      <c r="C4" s="172"/>
      <c r="D4" s="168"/>
      <c r="E4" s="177">
        <v>1.06</v>
      </c>
      <c r="F4" s="177">
        <v>1.06</v>
      </c>
      <c r="G4" s="177">
        <f>F4</f>
        <v>1.06</v>
      </c>
      <c r="H4" s="177">
        <f t="shared" si="0"/>
        <v>1.06</v>
      </c>
      <c r="I4" s="177">
        <f t="shared" si="0"/>
        <v>1.06</v>
      </c>
      <c r="J4" s="177">
        <f t="shared" si="0"/>
        <v>1.06</v>
      </c>
      <c r="K4" s="177">
        <f t="shared" si="0"/>
        <v>1.06</v>
      </c>
      <c r="L4" s="177">
        <f t="shared" si="0"/>
        <v>1.06</v>
      </c>
      <c r="M4" s="177">
        <f t="shared" si="0"/>
        <v>1.06</v>
      </c>
      <c r="N4" s="177">
        <f t="shared" si="0"/>
        <v>1.06</v>
      </c>
      <c r="O4" s="177">
        <f t="shared" si="0"/>
        <v>1.06</v>
      </c>
      <c r="P4" s="177">
        <f t="shared" si="0"/>
        <v>1.06</v>
      </c>
      <c r="Q4" s="177">
        <f t="shared" si="0"/>
        <v>1.06</v>
      </c>
      <c r="R4" s="177">
        <f t="shared" si="0"/>
        <v>1.06</v>
      </c>
      <c r="S4" s="177">
        <f t="shared" si="0"/>
        <v>1.06</v>
      </c>
      <c r="T4" s="177">
        <f t="shared" si="0"/>
        <v>1.06</v>
      </c>
    </row>
    <row r="5" spans="1:20" s="169" customFormat="1" x14ac:dyDescent="0.25">
      <c r="B5" s="172" t="s">
        <v>273</v>
      </c>
      <c r="C5" s="172"/>
      <c r="D5" s="168"/>
      <c r="E5" s="177">
        <v>1.05</v>
      </c>
      <c r="F5" s="177">
        <v>1.05</v>
      </c>
      <c r="G5" s="177">
        <f>F5</f>
        <v>1.05</v>
      </c>
      <c r="H5" s="177">
        <f t="shared" si="0"/>
        <v>1.05</v>
      </c>
      <c r="I5" s="177">
        <f t="shared" si="0"/>
        <v>1.05</v>
      </c>
      <c r="J5" s="177">
        <f t="shared" si="0"/>
        <v>1.05</v>
      </c>
      <c r="K5" s="177">
        <f t="shared" si="0"/>
        <v>1.05</v>
      </c>
      <c r="L5" s="177">
        <f t="shared" si="0"/>
        <v>1.05</v>
      </c>
      <c r="M5" s="177">
        <f t="shared" si="0"/>
        <v>1.05</v>
      </c>
      <c r="N5" s="177">
        <f t="shared" si="0"/>
        <v>1.05</v>
      </c>
      <c r="O5" s="177">
        <f t="shared" si="0"/>
        <v>1.05</v>
      </c>
      <c r="P5" s="177">
        <f t="shared" si="0"/>
        <v>1.05</v>
      </c>
      <c r="Q5" s="177">
        <f t="shared" si="0"/>
        <v>1.05</v>
      </c>
      <c r="R5" s="177">
        <f t="shared" si="0"/>
        <v>1.05</v>
      </c>
      <c r="S5" s="177">
        <f t="shared" si="0"/>
        <v>1.05</v>
      </c>
      <c r="T5" s="177">
        <f t="shared" si="0"/>
        <v>1.05</v>
      </c>
    </row>
    <row r="6" spans="1:20" x14ac:dyDescent="0.25">
      <c r="A6" s="3" t="s">
        <v>255</v>
      </c>
      <c r="B6" s="43"/>
      <c r="C6" s="43"/>
    </row>
    <row r="7" spans="1:20" x14ac:dyDescent="0.25">
      <c r="A7" s="3"/>
      <c r="B7" s="43" t="s">
        <v>177</v>
      </c>
      <c r="C7" s="43"/>
    </row>
    <row r="8" spans="1:20" x14ac:dyDescent="0.25">
      <c r="B8" s="162" t="s">
        <v>131</v>
      </c>
      <c r="C8" s="162"/>
      <c r="D8" s="146">
        <f>'cost summary'!E4/E88</f>
        <v>72.228041519999991</v>
      </c>
    </row>
    <row r="9" spans="1:20" x14ac:dyDescent="0.25">
      <c r="B9" s="162" t="s">
        <v>133</v>
      </c>
      <c r="C9" s="162"/>
      <c r="D9" s="146">
        <f>'cost summary'!E5/E88</f>
        <v>32.502618683999998</v>
      </c>
    </row>
    <row r="10" spans="1:20" x14ac:dyDescent="0.25">
      <c r="B10" s="162" t="s">
        <v>134</v>
      </c>
      <c r="C10" s="162"/>
      <c r="D10" s="146">
        <f>'cost summary'!E6/E88</f>
        <v>32.502618683999998</v>
      </c>
    </row>
    <row r="11" spans="1:20" x14ac:dyDescent="0.25">
      <c r="B11" s="162" t="s">
        <v>135</v>
      </c>
      <c r="C11" s="162"/>
      <c r="D11" s="146">
        <f>'cost summary'!E7/E88</f>
        <v>10.834206227999998</v>
      </c>
    </row>
    <row r="12" spans="1:20" x14ac:dyDescent="0.25">
      <c r="B12" s="162" t="s">
        <v>136</v>
      </c>
      <c r="C12" s="162"/>
      <c r="D12" s="146">
        <f>'cost summary'!E8/E88</f>
        <v>7.2228041520000001</v>
      </c>
    </row>
    <row r="13" spans="1:20" x14ac:dyDescent="0.25">
      <c r="B13" s="162" t="s">
        <v>137</v>
      </c>
      <c r="C13" s="162"/>
      <c r="D13" s="146">
        <f>'cost summary'!E9/E88</f>
        <v>7.2228041520000001</v>
      </c>
    </row>
    <row r="14" spans="1:20" x14ac:dyDescent="0.25">
      <c r="B14" s="162" t="s">
        <v>82</v>
      </c>
      <c r="C14" s="162"/>
      <c r="D14" s="146">
        <f>'cost summary'!E10/E88</f>
        <v>2.8765000000000001</v>
      </c>
    </row>
    <row r="15" spans="1:20" x14ac:dyDescent="0.25">
      <c r="B15" s="162" t="s">
        <v>138</v>
      </c>
      <c r="C15" s="162"/>
      <c r="D15" s="146">
        <f>'cost summary'!E13/E88</f>
        <v>41.347398354999996</v>
      </c>
    </row>
    <row r="16" spans="1:20" x14ac:dyDescent="0.25">
      <c r="B16" s="162" t="s">
        <v>139</v>
      </c>
      <c r="C16" s="162"/>
      <c r="D16" s="154">
        <f>'cost summary'!E14/E88</f>
        <v>8.2694796710000009</v>
      </c>
      <c r="E16" s="154"/>
      <c r="F16" s="117"/>
      <c r="G16" s="117"/>
      <c r="H16" s="117"/>
      <c r="I16" s="117"/>
      <c r="J16" s="117"/>
      <c r="K16" s="117"/>
      <c r="L16" s="117"/>
      <c r="M16" s="117"/>
      <c r="N16" s="117"/>
      <c r="O16" s="117"/>
      <c r="P16" s="117"/>
      <c r="Q16" s="117"/>
      <c r="R16" s="117"/>
      <c r="S16" s="117"/>
      <c r="T16" s="117"/>
    </row>
    <row r="17" spans="2:20" x14ac:dyDescent="0.25">
      <c r="B17" s="43" t="s">
        <v>260</v>
      </c>
      <c r="C17" s="43"/>
      <c r="D17" s="167">
        <f>SUM(D8:D16)</f>
        <v>215.00647144599998</v>
      </c>
      <c r="E17" s="167">
        <f t="shared" ref="E17:T17" si="1">SUM(E8:E16)</f>
        <v>0</v>
      </c>
      <c r="F17" s="167">
        <f t="shared" si="1"/>
        <v>0</v>
      </c>
      <c r="G17" s="167">
        <f t="shared" si="1"/>
        <v>0</v>
      </c>
      <c r="H17" s="167">
        <f t="shared" si="1"/>
        <v>0</v>
      </c>
      <c r="I17" s="167">
        <f t="shared" si="1"/>
        <v>0</v>
      </c>
      <c r="J17" s="167">
        <f t="shared" si="1"/>
        <v>0</v>
      </c>
      <c r="K17" s="167">
        <f t="shared" si="1"/>
        <v>0</v>
      </c>
      <c r="L17" s="167">
        <f t="shared" si="1"/>
        <v>0</v>
      </c>
      <c r="M17" s="167">
        <f t="shared" si="1"/>
        <v>0</v>
      </c>
      <c r="N17" s="167">
        <f t="shared" si="1"/>
        <v>0</v>
      </c>
      <c r="O17" s="167">
        <f t="shared" si="1"/>
        <v>0</v>
      </c>
      <c r="P17" s="167">
        <f t="shared" si="1"/>
        <v>0</v>
      </c>
      <c r="Q17" s="167">
        <f t="shared" si="1"/>
        <v>0</v>
      </c>
      <c r="R17" s="167">
        <f t="shared" si="1"/>
        <v>0</v>
      </c>
      <c r="S17" s="167">
        <f t="shared" si="1"/>
        <v>0</v>
      </c>
      <c r="T17" s="167">
        <f t="shared" si="1"/>
        <v>0</v>
      </c>
    </row>
    <row r="19" spans="2:20" x14ac:dyDescent="0.25">
      <c r="B19" s="43" t="s">
        <v>172</v>
      </c>
      <c r="C19" s="43"/>
      <c r="D19" s="165"/>
    </row>
    <row r="20" spans="2:20" x14ac:dyDescent="0.25">
      <c r="B20" s="162" t="s">
        <v>353</v>
      </c>
      <c r="C20" s="162"/>
      <c r="E20" s="146">
        <f>'cost summary'!E20/E88</f>
        <v>3</v>
      </c>
    </row>
    <row r="21" spans="2:20" x14ac:dyDescent="0.25">
      <c r="B21" s="162" t="s">
        <v>178</v>
      </c>
      <c r="C21" s="162"/>
      <c r="E21" s="146">
        <f>'cost summary'!E21/E88</f>
        <v>1.4858800000000001</v>
      </c>
    </row>
    <row r="22" spans="2:20" x14ac:dyDescent="0.25">
      <c r="B22" s="162" t="s">
        <v>271</v>
      </c>
      <c r="C22" s="162"/>
      <c r="D22" s="166"/>
      <c r="E22" s="146">
        <f>'cost summary'!E22/E88</f>
        <v>21.500647144600006</v>
      </c>
    </row>
    <row r="23" spans="2:20" x14ac:dyDescent="0.25">
      <c r="B23" s="162" t="s">
        <v>222</v>
      </c>
      <c r="C23" s="162"/>
      <c r="D23" s="166"/>
      <c r="E23" s="146">
        <f>'cost summary'!E23/E88</f>
        <v>10.750323572300003</v>
      </c>
    </row>
    <row r="24" spans="2:20" x14ac:dyDescent="0.25">
      <c r="B24" s="162" t="s">
        <v>176</v>
      </c>
      <c r="C24" s="162"/>
      <c r="D24" s="170"/>
      <c r="E24" s="155">
        <f>'cost summary'!E24/E88</f>
        <v>16.538959342000002</v>
      </c>
      <c r="F24" s="171"/>
      <c r="G24" s="171"/>
      <c r="H24" s="171"/>
      <c r="I24" s="171"/>
      <c r="J24" s="171"/>
      <c r="K24" s="171"/>
      <c r="L24" s="171"/>
      <c r="M24" s="171"/>
      <c r="N24" s="171"/>
      <c r="O24" s="171"/>
      <c r="P24" s="171"/>
      <c r="Q24" s="171"/>
      <c r="R24" s="171"/>
      <c r="S24" s="171"/>
      <c r="T24" s="171"/>
    </row>
    <row r="25" spans="2:20" x14ac:dyDescent="0.25">
      <c r="B25" s="162" t="s">
        <v>223</v>
      </c>
      <c r="C25" s="162"/>
      <c r="D25" s="154">
        <f>'cost summary'!D25</f>
        <v>0</v>
      </c>
      <c r="E25" s="154">
        <f>'cost summary'!E25</f>
        <v>0</v>
      </c>
      <c r="F25" s="154">
        <f>'cost summary'!F25</f>
        <v>0</v>
      </c>
      <c r="G25" s="154">
        <f>'cost summary'!H25</f>
        <v>0</v>
      </c>
      <c r="H25" s="154">
        <f>'cost summary'!I25</f>
        <v>0</v>
      </c>
      <c r="I25" s="154">
        <f>'cost summary'!J25</f>
        <v>0</v>
      </c>
      <c r="J25" s="154">
        <f>'cost summary'!K25</f>
        <v>0</v>
      </c>
      <c r="K25" s="154">
        <f>'cost summary'!L25</f>
        <v>0</v>
      </c>
      <c r="L25" s="154">
        <f>'cost summary'!M25</f>
        <v>0</v>
      </c>
      <c r="M25" s="154">
        <f>'cost summary'!N25</f>
        <v>0</v>
      </c>
      <c r="N25" s="154">
        <f>'cost summary'!O25</f>
        <v>0</v>
      </c>
      <c r="O25" s="154">
        <f>'cost summary'!P25</f>
        <v>0</v>
      </c>
      <c r="P25" s="154">
        <f>'cost summary'!Q25</f>
        <v>0</v>
      </c>
      <c r="Q25" s="154">
        <f>'cost summary'!R25</f>
        <v>0</v>
      </c>
      <c r="R25" s="154">
        <f>'cost summary'!S25</f>
        <v>0</v>
      </c>
      <c r="S25" s="154">
        <f>'cost summary'!T25</f>
        <v>0</v>
      </c>
      <c r="T25" s="154">
        <f>'cost summary'!U25</f>
        <v>0</v>
      </c>
    </row>
    <row r="26" spans="2:20" x14ac:dyDescent="0.25">
      <c r="B26" s="43" t="s">
        <v>261</v>
      </c>
      <c r="C26" s="43"/>
      <c r="D26" s="142">
        <f>SUM(D20:D25)</f>
        <v>0</v>
      </c>
      <c r="E26" s="142">
        <f>SUM(E20:E25)</f>
        <v>53.275810058900007</v>
      </c>
      <c r="F26" s="142">
        <f t="shared" ref="F26:T26" si="2">SUM(F20:F25)</f>
        <v>0</v>
      </c>
      <c r="G26" s="142">
        <f t="shared" si="2"/>
        <v>0</v>
      </c>
      <c r="H26" s="142">
        <f t="shared" si="2"/>
        <v>0</v>
      </c>
      <c r="I26" s="142">
        <f t="shared" si="2"/>
        <v>0</v>
      </c>
      <c r="J26" s="142">
        <f t="shared" si="2"/>
        <v>0</v>
      </c>
      <c r="K26" s="142">
        <f t="shared" si="2"/>
        <v>0</v>
      </c>
      <c r="L26" s="142">
        <f t="shared" si="2"/>
        <v>0</v>
      </c>
      <c r="M26" s="142">
        <f t="shared" si="2"/>
        <v>0</v>
      </c>
      <c r="N26" s="142">
        <f t="shared" si="2"/>
        <v>0</v>
      </c>
      <c r="O26" s="142">
        <f t="shared" si="2"/>
        <v>0</v>
      </c>
      <c r="P26" s="142">
        <f t="shared" si="2"/>
        <v>0</v>
      </c>
      <c r="Q26" s="142">
        <f t="shared" si="2"/>
        <v>0</v>
      </c>
      <c r="R26" s="142">
        <f t="shared" si="2"/>
        <v>0</v>
      </c>
      <c r="S26" s="142">
        <f t="shared" si="2"/>
        <v>0</v>
      </c>
      <c r="T26" s="142">
        <f t="shared" si="2"/>
        <v>0</v>
      </c>
    </row>
    <row r="28" spans="2:20" x14ac:dyDescent="0.25">
      <c r="B28" s="43" t="s">
        <v>129</v>
      </c>
      <c r="C28" s="43"/>
    </row>
    <row r="29" spans="2:20" x14ac:dyDescent="0.25">
      <c r="B29" s="43" t="s">
        <v>224</v>
      </c>
      <c r="C29" s="43"/>
      <c r="E29" s="149"/>
    </row>
    <row r="30" spans="2:20" x14ac:dyDescent="0.25">
      <c r="B30" s="162" t="s">
        <v>146</v>
      </c>
      <c r="C30" s="162"/>
      <c r="E30" s="141">
        <f>'cost summary'!E32*E3/E88</f>
        <v>171.011836528</v>
      </c>
      <c r="F30" s="146">
        <f>E30*F3</f>
        <v>177.85230998912002</v>
      </c>
      <c r="G30" s="146">
        <f t="shared" ref="G30:R30" si="3">F30*G3</f>
        <v>184.96640238868483</v>
      </c>
      <c r="H30" s="146">
        <f t="shared" si="3"/>
        <v>192.36505848423224</v>
      </c>
      <c r="I30" s="146">
        <f t="shared" si="3"/>
        <v>200.05966082360152</v>
      </c>
      <c r="J30" s="146">
        <f t="shared" si="3"/>
        <v>208.06204725654558</v>
      </c>
      <c r="K30" s="146">
        <f t="shared" si="3"/>
        <v>216.38452914680741</v>
      </c>
      <c r="L30" s="146">
        <f t="shared" si="3"/>
        <v>225.03991031267972</v>
      </c>
      <c r="M30" s="146">
        <f t="shared" si="3"/>
        <v>234.04150672518691</v>
      </c>
      <c r="N30" s="146">
        <f t="shared" si="3"/>
        <v>243.40316699419438</v>
      </c>
      <c r="O30" s="146">
        <f t="shared" si="3"/>
        <v>253.13929367396216</v>
      </c>
      <c r="P30" s="146">
        <f t="shared" si="3"/>
        <v>263.26486542092067</v>
      </c>
      <c r="Q30" s="146">
        <f t="shared" si="3"/>
        <v>273.79546003775749</v>
      </c>
      <c r="R30" s="146">
        <f t="shared" si="3"/>
        <v>284.7472784392678</v>
      </c>
      <c r="S30" s="146">
        <f>R30*S3-E22*S3</f>
        <v>273.7764965464545</v>
      </c>
      <c r="T30" s="146">
        <v>0</v>
      </c>
    </row>
    <row r="31" spans="2:20" x14ac:dyDescent="0.25">
      <c r="B31" s="162" t="s">
        <v>152</v>
      </c>
      <c r="C31" s="162"/>
      <c r="E31" s="141">
        <f>'cost summary'!E33*E3/E88</f>
        <v>1.5652471121268803</v>
      </c>
      <c r="F31" s="146">
        <f>E31*F3</f>
        <v>1.6278569966119556</v>
      </c>
      <c r="G31" s="146">
        <f t="shared" ref="G31:S31" si="4">F31*G3</f>
        <v>1.692971276476434</v>
      </c>
      <c r="H31" s="146">
        <f t="shared" si="4"/>
        <v>1.7606901275354914</v>
      </c>
      <c r="I31" s="146">
        <f t="shared" si="4"/>
        <v>1.831117732636911</v>
      </c>
      <c r="J31" s="146">
        <f t="shared" si="4"/>
        <v>1.9043624419423875</v>
      </c>
      <c r="K31" s="146">
        <f t="shared" si="4"/>
        <v>1.9805369396200829</v>
      </c>
      <c r="L31" s="146">
        <f t="shared" si="4"/>
        <v>2.0597584172048862</v>
      </c>
      <c r="M31" s="146">
        <f t="shared" si="4"/>
        <v>2.1421487538930819</v>
      </c>
      <c r="N31" s="146">
        <f t="shared" si="4"/>
        <v>2.2278347040488051</v>
      </c>
      <c r="O31" s="146">
        <f t="shared" si="4"/>
        <v>2.3169480922107573</v>
      </c>
      <c r="P31" s="146">
        <f t="shared" si="4"/>
        <v>2.4096260158991876</v>
      </c>
      <c r="Q31" s="146">
        <f t="shared" si="4"/>
        <v>2.5060110565351552</v>
      </c>
      <c r="R31" s="146">
        <f t="shared" si="4"/>
        <v>2.6062514987965617</v>
      </c>
      <c r="S31" s="146">
        <f t="shared" si="4"/>
        <v>2.7105015587484242</v>
      </c>
      <c r="T31" s="146">
        <v>0</v>
      </c>
    </row>
    <row r="32" spans="2:20" x14ac:dyDescent="0.25">
      <c r="B32" s="43" t="s">
        <v>153</v>
      </c>
      <c r="C32" s="43"/>
      <c r="D32" s="147">
        <f>'cost summary'!D34</f>
        <v>0</v>
      </c>
      <c r="E32" s="147">
        <f>'cost summary'!E34*E3/E88</f>
        <v>144.54723797882369</v>
      </c>
      <c r="F32" s="154">
        <f>E32*F3</f>
        <v>150.32912749797663</v>
      </c>
      <c r="G32" s="154">
        <f t="shared" ref="G32:S32" si="5">F32*G3</f>
        <v>156.34229259789569</v>
      </c>
      <c r="H32" s="154">
        <f t="shared" si="5"/>
        <v>162.59598430181151</v>
      </c>
      <c r="I32" s="154">
        <f t="shared" si="5"/>
        <v>169.09982367388398</v>
      </c>
      <c r="J32" s="154">
        <f t="shared" si="5"/>
        <v>175.86381662083934</v>
      </c>
      <c r="K32" s="154">
        <f t="shared" si="5"/>
        <v>182.89836928567291</v>
      </c>
      <c r="L32" s="154">
        <f t="shared" si="5"/>
        <v>190.21430405709984</v>
      </c>
      <c r="M32" s="154">
        <f t="shared" si="5"/>
        <v>197.82287621938383</v>
      </c>
      <c r="N32" s="154">
        <f t="shared" si="5"/>
        <v>205.73579126815918</v>
      </c>
      <c r="O32" s="154">
        <f t="shared" si="5"/>
        <v>213.96522291888556</v>
      </c>
      <c r="P32" s="154">
        <f t="shared" si="5"/>
        <v>222.52383183564098</v>
      </c>
      <c r="Q32" s="154">
        <f t="shared" si="5"/>
        <v>231.42478510906662</v>
      </c>
      <c r="R32" s="154">
        <f t="shared" si="5"/>
        <v>240.6817765134293</v>
      </c>
      <c r="S32" s="154">
        <f t="shared" si="5"/>
        <v>250.30904757396647</v>
      </c>
      <c r="T32" s="154">
        <v>0</v>
      </c>
    </row>
    <row r="33" spans="2:21" s="3" customFormat="1" x14ac:dyDescent="0.25">
      <c r="B33" s="43" t="s">
        <v>259</v>
      </c>
      <c r="C33" s="43"/>
      <c r="D33" s="149">
        <f>SUM(D30:D32)</f>
        <v>0</v>
      </c>
      <c r="E33" s="149">
        <f>SUM(E30:E32)</f>
        <v>317.1243216189506</v>
      </c>
      <c r="F33" s="149">
        <f t="shared" ref="F33:T33" si="6">SUM(F30:F32)</f>
        <v>329.80929448370864</v>
      </c>
      <c r="G33" s="149">
        <f t="shared" si="6"/>
        <v>343.00166626305696</v>
      </c>
      <c r="H33" s="149">
        <f t="shared" si="6"/>
        <v>356.72173291357922</v>
      </c>
      <c r="I33" s="149">
        <f t="shared" si="6"/>
        <v>370.99060223012236</v>
      </c>
      <c r="J33" s="149">
        <f t="shared" si="6"/>
        <v>385.83022631932732</v>
      </c>
      <c r="K33" s="149">
        <f t="shared" si="6"/>
        <v>401.26343537210039</v>
      </c>
      <c r="L33" s="149">
        <f t="shared" si="6"/>
        <v>417.31397278698444</v>
      </c>
      <c r="M33" s="149">
        <f t="shared" si="6"/>
        <v>434.00653169846385</v>
      </c>
      <c r="N33" s="149">
        <f t="shared" si="6"/>
        <v>451.36679296640239</v>
      </c>
      <c r="O33" s="149">
        <f t="shared" si="6"/>
        <v>469.42146468505848</v>
      </c>
      <c r="P33" s="149">
        <f t="shared" si="6"/>
        <v>488.19832327246081</v>
      </c>
      <c r="Q33" s="149">
        <f t="shared" si="6"/>
        <v>507.7262562033593</v>
      </c>
      <c r="R33" s="149">
        <f t="shared" si="6"/>
        <v>528.03530645149362</v>
      </c>
      <c r="S33" s="149">
        <f t="shared" si="6"/>
        <v>526.79604567916942</v>
      </c>
      <c r="T33" s="149">
        <f t="shared" si="6"/>
        <v>0</v>
      </c>
    </row>
    <row r="34" spans="2:21" x14ac:dyDescent="0.25">
      <c r="E34" s="141"/>
    </row>
    <row r="35" spans="2:21" x14ac:dyDescent="0.25">
      <c r="B35" s="43" t="s">
        <v>225</v>
      </c>
      <c r="C35" s="43"/>
      <c r="E35" s="149"/>
    </row>
    <row r="36" spans="2:21" x14ac:dyDescent="0.25">
      <c r="B36" s="162" t="s">
        <v>160</v>
      </c>
      <c r="C36" s="162"/>
      <c r="E36" s="146">
        <f>'cost summary'!E38*E4/E88</f>
        <v>15.953480181293205</v>
      </c>
      <c r="F36" s="146">
        <f>E36*F4</f>
        <v>16.910688992170797</v>
      </c>
      <c r="G36" s="146">
        <f t="shared" ref="G36:S36" si="7">F36*G4</f>
        <v>17.925330331701048</v>
      </c>
      <c r="H36" s="146">
        <f t="shared" si="7"/>
        <v>19.00085015160311</v>
      </c>
      <c r="I36" s="146">
        <f t="shared" si="7"/>
        <v>20.140901160699297</v>
      </c>
      <c r="J36" s="146">
        <f t="shared" si="7"/>
        <v>21.349355230341256</v>
      </c>
      <c r="K36" s="146">
        <f t="shared" si="7"/>
        <v>22.630316544161733</v>
      </c>
      <c r="L36" s="146">
        <f t="shared" si="7"/>
        <v>23.988135536811438</v>
      </c>
      <c r="M36" s="146">
        <f t="shared" si="7"/>
        <v>25.427423669020126</v>
      </c>
      <c r="N36" s="146">
        <f t="shared" si="7"/>
        <v>26.953069089161335</v>
      </c>
      <c r="O36" s="146">
        <f t="shared" si="7"/>
        <v>28.570253234511018</v>
      </c>
      <c r="P36" s="146">
        <f t="shared" si="7"/>
        <v>30.284468428581679</v>
      </c>
      <c r="Q36" s="146">
        <f t="shared" si="7"/>
        <v>32.101536534296578</v>
      </c>
      <c r="R36" s="146">
        <f t="shared" si="7"/>
        <v>34.027628726354372</v>
      </c>
      <c r="S36" s="146">
        <f t="shared" si="7"/>
        <v>36.069286449935639</v>
      </c>
      <c r="T36" s="146"/>
    </row>
    <row r="37" spans="2:21" x14ac:dyDescent="0.25">
      <c r="B37" s="162" t="s">
        <v>161</v>
      </c>
      <c r="C37" s="162"/>
      <c r="E37" s="146">
        <f>'cost summary'!E39*E4/E88</f>
        <v>16.081375912366976</v>
      </c>
      <c r="F37" s="146">
        <f>E37*F4</f>
        <v>17.046258467108995</v>
      </c>
      <c r="G37" s="146">
        <f t="shared" ref="G37:S37" si="8">F37*G4</f>
        <v>18.069033975135536</v>
      </c>
      <c r="H37" s="146">
        <f t="shared" si="8"/>
        <v>19.15317601364367</v>
      </c>
      <c r="I37" s="146">
        <f t="shared" si="8"/>
        <v>20.30236657446229</v>
      </c>
      <c r="J37" s="146">
        <f t="shared" si="8"/>
        <v>21.52050856893003</v>
      </c>
      <c r="K37" s="146">
        <f t="shared" si="8"/>
        <v>22.811739083065834</v>
      </c>
      <c r="L37" s="146">
        <f t="shared" si="8"/>
        <v>24.180443428049784</v>
      </c>
      <c r="M37" s="146">
        <f t="shared" si="8"/>
        <v>25.631270033732772</v>
      </c>
      <c r="N37" s="146">
        <f t="shared" si="8"/>
        <v>27.169146235756738</v>
      </c>
      <c r="O37" s="146">
        <f t="shared" si="8"/>
        <v>28.799295009902146</v>
      </c>
      <c r="P37" s="146">
        <f t="shared" si="8"/>
        <v>30.527252710496278</v>
      </c>
      <c r="Q37" s="146">
        <f t="shared" si="8"/>
        <v>32.358887873126058</v>
      </c>
      <c r="R37" s="146">
        <f t="shared" si="8"/>
        <v>34.300421145513624</v>
      </c>
      <c r="S37" s="146">
        <f t="shared" si="8"/>
        <v>36.35844641424444</v>
      </c>
      <c r="T37" s="146"/>
    </row>
    <row r="38" spans="2:21" x14ac:dyDescent="0.25">
      <c r="B38" s="162" t="s">
        <v>162</v>
      </c>
      <c r="C38" s="162"/>
      <c r="E38" s="146">
        <f>'cost summary'!E40*E4/E88</f>
        <v>3.2162751824733955</v>
      </c>
      <c r="F38" s="146">
        <f>E38*F4</f>
        <v>3.4092516934217993</v>
      </c>
      <c r="G38" s="146">
        <f t="shared" ref="G38:S38" si="9">F38*G4</f>
        <v>3.6138067950271076</v>
      </c>
      <c r="H38" s="146">
        <f t="shared" si="9"/>
        <v>3.8306352027287343</v>
      </c>
      <c r="I38" s="146">
        <f t="shared" si="9"/>
        <v>4.0604733148924588</v>
      </c>
      <c r="J38" s="146">
        <f t="shared" si="9"/>
        <v>4.3041017137860065</v>
      </c>
      <c r="K38" s="146">
        <f t="shared" si="9"/>
        <v>4.5623478166131672</v>
      </c>
      <c r="L38" s="146">
        <f t="shared" si="9"/>
        <v>4.8360886856099574</v>
      </c>
      <c r="M38" s="146">
        <f t="shared" si="9"/>
        <v>5.1262540067465547</v>
      </c>
      <c r="N38" s="146">
        <f t="shared" si="9"/>
        <v>5.4338292471513485</v>
      </c>
      <c r="O38" s="146">
        <f t="shared" si="9"/>
        <v>5.7598590019804297</v>
      </c>
      <c r="P38" s="146">
        <f t="shared" si="9"/>
        <v>6.1054505420992555</v>
      </c>
      <c r="Q38" s="146">
        <f t="shared" si="9"/>
        <v>6.4717775746252109</v>
      </c>
      <c r="R38" s="146">
        <f t="shared" si="9"/>
        <v>6.860084229102724</v>
      </c>
      <c r="S38" s="146">
        <f t="shared" si="9"/>
        <v>7.2716892828488877</v>
      </c>
      <c r="T38" s="146"/>
    </row>
    <row r="39" spans="2:21" x14ac:dyDescent="0.25">
      <c r="B39" s="162" t="s">
        <v>163</v>
      </c>
      <c r="C39" s="162"/>
      <c r="E39" s="146">
        <f>'cost summary'!E41*E4/E88</f>
        <v>2.1868859999999999</v>
      </c>
      <c r="F39" s="146">
        <f>E39*F4</f>
        <v>2.31809916</v>
      </c>
      <c r="G39" s="146">
        <f t="shared" ref="G39:S39" si="10">F39*G4</f>
        <v>2.4571851096000001</v>
      </c>
      <c r="H39" s="146">
        <f t="shared" si="10"/>
        <v>2.6046162161760003</v>
      </c>
      <c r="I39" s="146">
        <f t="shared" si="10"/>
        <v>2.7608931891465605</v>
      </c>
      <c r="J39" s="146">
        <f t="shared" si="10"/>
        <v>2.9265467804953542</v>
      </c>
      <c r="K39" s="146">
        <f t="shared" si="10"/>
        <v>3.1021395873250754</v>
      </c>
      <c r="L39" s="146">
        <f t="shared" si="10"/>
        <v>3.2882679625645803</v>
      </c>
      <c r="M39" s="146">
        <f t="shared" si="10"/>
        <v>3.4855640403184553</v>
      </c>
      <c r="N39" s="146">
        <f t="shared" si="10"/>
        <v>3.6946978827375627</v>
      </c>
      <c r="O39" s="146">
        <f t="shared" si="10"/>
        <v>3.9163797557018167</v>
      </c>
      <c r="P39" s="146">
        <f t="shared" si="10"/>
        <v>4.1513625410439259</v>
      </c>
      <c r="Q39" s="146">
        <f t="shared" si="10"/>
        <v>4.4004442935065615</v>
      </c>
      <c r="R39" s="146">
        <f t="shared" si="10"/>
        <v>4.6644709511169555</v>
      </c>
      <c r="S39" s="146">
        <f t="shared" si="10"/>
        <v>4.9443392081839734</v>
      </c>
      <c r="T39" s="146"/>
    </row>
    <row r="40" spans="2:21" x14ac:dyDescent="0.25">
      <c r="B40" s="162" t="s">
        <v>164</v>
      </c>
      <c r="C40" s="162"/>
      <c r="E40" s="146">
        <f>'cost summary'!E42*E4/E88</f>
        <v>8.0406879561834881</v>
      </c>
      <c r="F40" s="146">
        <f>E40*F4</f>
        <v>8.5231292335544975</v>
      </c>
      <c r="G40" s="146">
        <f t="shared" ref="G40:S40" si="11">F40*G4</f>
        <v>9.034516987567768</v>
      </c>
      <c r="H40" s="146">
        <f t="shared" si="11"/>
        <v>9.5765880068218348</v>
      </c>
      <c r="I40" s="146">
        <f t="shared" si="11"/>
        <v>10.151183287231145</v>
      </c>
      <c r="J40" s="146">
        <f t="shared" si="11"/>
        <v>10.760254284465015</v>
      </c>
      <c r="K40" s="146">
        <f t="shared" si="11"/>
        <v>11.405869541532917</v>
      </c>
      <c r="L40" s="146">
        <f t="shared" si="11"/>
        <v>12.090221714024892</v>
      </c>
      <c r="M40" s="146">
        <f t="shared" si="11"/>
        <v>12.815635016866386</v>
      </c>
      <c r="N40" s="146">
        <f t="shared" si="11"/>
        <v>13.584573117878369</v>
      </c>
      <c r="O40" s="146">
        <f t="shared" si="11"/>
        <v>14.399647504951073</v>
      </c>
      <c r="P40" s="146">
        <f t="shared" si="11"/>
        <v>15.263626355248139</v>
      </c>
      <c r="Q40" s="146">
        <f t="shared" si="11"/>
        <v>16.179443936563029</v>
      </c>
      <c r="R40" s="146">
        <f t="shared" si="11"/>
        <v>17.150210572756812</v>
      </c>
      <c r="S40" s="146">
        <f t="shared" si="11"/>
        <v>18.17922320712222</v>
      </c>
      <c r="T40" s="146"/>
    </row>
    <row r="41" spans="2:21" x14ac:dyDescent="0.25">
      <c r="B41" s="162" t="s">
        <v>226</v>
      </c>
      <c r="C41" s="162"/>
      <c r="E41" s="146">
        <v>0</v>
      </c>
      <c r="F41" s="146"/>
      <c r="G41" s="146"/>
      <c r="H41" s="146"/>
      <c r="I41" s="146"/>
      <c r="J41" s="146"/>
      <c r="K41" s="146"/>
      <c r="L41" s="146"/>
      <c r="M41" s="146"/>
      <c r="N41" s="146"/>
      <c r="O41" s="146"/>
      <c r="P41" s="146"/>
      <c r="Q41" s="146"/>
      <c r="R41" s="146"/>
      <c r="S41" s="146"/>
      <c r="T41" s="146"/>
    </row>
    <row r="42" spans="2:21" x14ac:dyDescent="0.25">
      <c r="B42" s="162" t="s">
        <v>227</v>
      </c>
      <c r="C42" s="162"/>
      <c r="E42" s="146">
        <v>0</v>
      </c>
    </row>
    <row r="43" spans="2:21" x14ac:dyDescent="0.25">
      <c r="B43" s="162" t="s">
        <v>230</v>
      </c>
      <c r="C43" s="162"/>
      <c r="E43" s="146">
        <v>0</v>
      </c>
      <c r="F43" s="146">
        <f>'cost summary'!E45/E88</f>
        <v>0.23247999999999999</v>
      </c>
      <c r="G43" s="146">
        <f>F43</f>
        <v>0.23247999999999999</v>
      </c>
      <c r="H43" s="146">
        <f t="shared" ref="H43:S43" si="12">G43</f>
        <v>0.23247999999999999</v>
      </c>
      <c r="I43" s="146">
        <f t="shared" si="12"/>
        <v>0.23247999999999999</v>
      </c>
      <c r="J43" s="146">
        <f t="shared" si="12"/>
        <v>0.23247999999999999</v>
      </c>
      <c r="K43" s="146">
        <f t="shared" si="12"/>
        <v>0.23247999999999999</v>
      </c>
      <c r="L43" s="146">
        <f t="shared" si="12"/>
        <v>0.23247999999999999</v>
      </c>
      <c r="M43" s="146">
        <f t="shared" si="12"/>
        <v>0.23247999999999999</v>
      </c>
      <c r="N43" s="146">
        <f t="shared" si="12"/>
        <v>0.23247999999999999</v>
      </c>
      <c r="O43" s="146">
        <f t="shared" si="12"/>
        <v>0.23247999999999999</v>
      </c>
      <c r="P43" s="146">
        <f t="shared" si="12"/>
        <v>0.23247999999999999</v>
      </c>
      <c r="Q43" s="146">
        <f t="shared" si="12"/>
        <v>0.23247999999999999</v>
      </c>
      <c r="R43" s="146">
        <f t="shared" si="12"/>
        <v>0.23247999999999999</v>
      </c>
      <c r="S43" s="146">
        <f t="shared" si="12"/>
        <v>0.23247999999999999</v>
      </c>
      <c r="T43" s="146">
        <f t="shared" ref="T43" si="13">S43</f>
        <v>0.23247999999999999</v>
      </c>
    </row>
    <row r="44" spans="2:21" x14ac:dyDescent="0.25">
      <c r="B44" s="162" t="s">
        <v>231</v>
      </c>
      <c r="C44" s="162"/>
      <c r="D44" s="240"/>
      <c r="E44" s="154">
        <f>'cost summary'!E46</f>
        <v>0</v>
      </c>
      <c r="F44" s="117"/>
      <c r="G44" s="117"/>
      <c r="H44" s="117"/>
      <c r="I44" s="117"/>
      <c r="J44" s="117"/>
      <c r="K44" s="117"/>
      <c r="L44" s="117"/>
      <c r="M44" s="117"/>
      <c r="N44" s="117"/>
      <c r="O44" s="117"/>
      <c r="P44" s="117"/>
      <c r="Q44" s="117"/>
      <c r="R44" s="117"/>
      <c r="S44" s="117"/>
      <c r="T44" s="117"/>
    </row>
    <row r="45" spans="2:21" s="3" customFormat="1" x14ac:dyDescent="0.25">
      <c r="B45" s="43" t="s">
        <v>229</v>
      </c>
      <c r="C45" s="43"/>
      <c r="D45" s="142">
        <f>SUM(D36:D44)</f>
        <v>0</v>
      </c>
      <c r="E45" s="142">
        <f>SUM(E36:E44)</f>
        <v>45.478705232317068</v>
      </c>
      <c r="F45" s="142">
        <f t="shared" ref="F45:T45" si="14">SUM(F36:F44)</f>
        <v>48.439907546256094</v>
      </c>
      <c r="G45" s="142">
        <f t="shared" si="14"/>
        <v>51.332353199031466</v>
      </c>
      <c r="H45" s="142">
        <f t="shared" si="14"/>
        <v>54.398345590973349</v>
      </c>
      <c r="I45" s="142">
        <f t="shared" si="14"/>
        <v>57.648297526431755</v>
      </c>
      <c r="J45" s="142">
        <f t="shared" si="14"/>
        <v>61.093246578017663</v>
      </c>
      <c r="K45" s="142">
        <f t="shared" si="14"/>
        <v>64.744892572698731</v>
      </c>
      <c r="L45" s="142">
        <f t="shared" si="14"/>
        <v>68.615637327060654</v>
      </c>
      <c r="M45" s="142">
        <f t="shared" si="14"/>
        <v>72.718626766684295</v>
      </c>
      <c r="N45" s="142">
        <f t="shared" si="14"/>
        <v>77.067795572685355</v>
      </c>
      <c r="O45" s="142">
        <f t="shared" si="14"/>
        <v>81.677914507046481</v>
      </c>
      <c r="P45" s="142">
        <f t="shared" si="14"/>
        <v>86.564640577469277</v>
      </c>
      <c r="Q45" s="142">
        <f t="shared" si="14"/>
        <v>91.744570212117438</v>
      </c>
      <c r="R45" s="142">
        <f t="shared" si="14"/>
        <v>97.235295624844483</v>
      </c>
      <c r="S45" s="142">
        <f t="shared" si="14"/>
        <v>103.05546456233516</v>
      </c>
      <c r="T45" s="142">
        <f t="shared" si="14"/>
        <v>0.23247999999999999</v>
      </c>
      <c r="U45" s="142"/>
    </row>
    <row r="46" spans="2:21" s="3" customFormat="1" x14ac:dyDescent="0.25">
      <c r="B46" s="43"/>
      <c r="C46" s="43"/>
      <c r="D46" s="142"/>
      <c r="E46" s="142"/>
      <c r="F46" s="142"/>
      <c r="G46" s="142"/>
      <c r="H46" s="142"/>
      <c r="I46" s="142"/>
      <c r="J46" s="142"/>
      <c r="K46" s="142"/>
      <c r="L46" s="142"/>
      <c r="M46" s="142"/>
      <c r="N46" s="142"/>
      <c r="O46" s="142"/>
      <c r="P46" s="142"/>
      <c r="Q46" s="142"/>
      <c r="R46" s="142"/>
      <c r="S46" s="142"/>
      <c r="T46" s="142"/>
      <c r="U46" s="142"/>
    </row>
    <row r="47" spans="2:21" s="3" customFormat="1" x14ac:dyDescent="0.25">
      <c r="B47" s="43" t="s">
        <v>232</v>
      </c>
      <c r="C47" s="43"/>
      <c r="D47" s="156">
        <f>D33+D45</f>
        <v>0</v>
      </c>
      <c r="E47" s="156">
        <f>E33+E45</f>
        <v>362.60302685126766</v>
      </c>
      <c r="F47" s="156">
        <f t="shared" ref="F47:S47" si="15">F33+F45</f>
        <v>378.24920202996475</v>
      </c>
      <c r="G47" s="156">
        <f t="shared" si="15"/>
        <v>394.33401946208841</v>
      </c>
      <c r="H47" s="156">
        <f t="shared" si="15"/>
        <v>411.12007850455257</v>
      </c>
      <c r="I47" s="156">
        <f t="shared" si="15"/>
        <v>428.63889975655411</v>
      </c>
      <c r="J47" s="156">
        <f t="shared" si="15"/>
        <v>446.92347289734499</v>
      </c>
      <c r="K47" s="156">
        <f t="shared" si="15"/>
        <v>466.00832794479913</v>
      </c>
      <c r="L47" s="156">
        <f t="shared" si="15"/>
        <v>485.92961011404509</v>
      </c>
      <c r="M47" s="156">
        <f t="shared" si="15"/>
        <v>506.72515846514813</v>
      </c>
      <c r="N47" s="156">
        <f t="shared" si="15"/>
        <v>528.43458853908771</v>
      </c>
      <c r="O47" s="156">
        <f t="shared" si="15"/>
        <v>551.09937919210495</v>
      </c>
      <c r="P47" s="156">
        <f t="shared" si="15"/>
        <v>574.76296384993009</v>
      </c>
      <c r="Q47" s="156">
        <f t="shared" si="15"/>
        <v>599.47082641547672</v>
      </c>
      <c r="R47" s="156">
        <f t="shared" si="15"/>
        <v>625.27060207633815</v>
      </c>
      <c r="S47" s="156">
        <f t="shared" si="15"/>
        <v>629.85151024150457</v>
      </c>
      <c r="T47" s="156">
        <f t="shared" ref="T47" si="16">T33+T45</f>
        <v>0.23247999999999999</v>
      </c>
      <c r="U47" s="156"/>
    </row>
    <row r="48" spans="2:21" x14ac:dyDescent="0.25">
      <c r="B48" s="43"/>
      <c r="C48" s="43"/>
    </row>
    <row r="49" spans="1:20" ht="18.75" x14ac:dyDescent="0.3">
      <c r="B49" s="163" t="s">
        <v>234</v>
      </c>
      <c r="C49" s="163"/>
      <c r="E49" s="149"/>
    </row>
    <row r="50" spans="1:20" x14ac:dyDescent="0.25">
      <c r="B50" s="162" t="s">
        <v>169</v>
      </c>
      <c r="C50" s="162"/>
      <c r="E50" s="146">
        <f>'cost summary'!E52*E3/E88</f>
        <v>15.856216080947531</v>
      </c>
      <c r="F50" s="146">
        <f>E50*$F$3</f>
        <v>16.490464724185433</v>
      </c>
      <c r="G50" s="146">
        <f>F50*$G$3</f>
        <v>17.150083313152852</v>
      </c>
      <c r="H50" s="146">
        <f>G50*$H$3</f>
        <v>17.836086645678968</v>
      </c>
      <c r="I50" s="146">
        <f>H50*$I$3</f>
        <v>18.549530111506126</v>
      </c>
      <c r="J50" s="146">
        <f>I50*$J$3</f>
        <v>19.291511315966371</v>
      </c>
      <c r="K50" s="146">
        <f>J50*$K$3</f>
        <v>20.063171768605027</v>
      </c>
      <c r="L50" s="146">
        <f>K50*$L$3</f>
        <v>20.86569863934923</v>
      </c>
      <c r="M50" s="146">
        <f>L50*$M$3</f>
        <v>21.7003265849232</v>
      </c>
      <c r="N50" s="146">
        <f>M50*$N$3</f>
        <v>22.56833964832013</v>
      </c>
      <c r="O50" s="146">
        <f>N50*$O$3</f>
        <v>23.471073234252938</v>
      </c>
      <c r="P50" s="146">
        <f>O50*$P$3</f>
        <v>24.409916163623055</v>
      </c>
      <c r="Q50" s="146">
        <f>P50*$Q$3</f>
        <v>25.386312810167979</v>
      </c>
      <c r="R50" s="146">
        <f>Q50*$R$3</f>
        <v>26.4017653225747</v>
      </c>
      <c r="S50" s="146">
        <f>R50*$S$3</f>
        <v>27.457835935477689</v>
      </c>
    </row>
    <row r="51" spans="1:20" x14ac:dyDescent="0.25">
      <c r="B51" s="162" t="s">
        <v>170</v>
      </c>
      <c r="C51" s="162"/>
      <c r="E51" s="146">
        <f>'cost summary'!E55*E3/E88</f>
        <v>9.5137296485685159</v>
      </c>
      <c r="F51" s="146">
        <f t="shared" ref="F51:F52" si="17">E51*$F$3</f>
        <v>9.8942788345112564</v>
      </c>
      <c r="G51" s="146">
        <f t="shared" ref="G51:G52" si="18">F51*$G$3</f>
        <v>10.290049987891708</v>
      </c>
      <c r="H51" s="146">
        <f t="shared" ref="H51:H52" si="19">G51*$H$3</f>
        <v>10.701651987407377</v>
      </c>
      <c r="I51" s="146">
        <f t="shared" ref="I51:I52" si="20">H51*$I$3</f>
        <v>11.129718066903672</v>
      </c>
      <c r="J51" s="146">
        <f t="shared" ref="J51:J52" si="21">I51*$J$3</f>
        <v>11.574906789579821</v>
      </c>
      <c r="K51" s="146">
        <f t="shared" ref="K51:K52" si="22">J51*$K$3</f>
        <v>12.037903061163014</v>
      </c>
      <c r="L51" s="146">
        <f t="shared" ref="L51:L52" si="23">K51*$L$3</f>
        <v>12.519419183609536</v>
      </c>
      <c r="M51" s="146">
        <f t="shared" ref="M51:M52" si="24">L51*$M$3</f>
        <v>13.020195950953918</v>
      </c>
      <c r="N51" s="146">
        <f t="shared" ref="N51:N52" si="25">M51*$N$3</f>
        <v>13.541003788992075</v>
      </c>
      <c r="O51" s="146">
        <f t="shared" ref="O51:O52" si="26">N51*$O$3</f>
        <v>14.082643940551758</v>
      </c>
      <c r="P51" s="146">
        <f t="shared" ref="P51:P52" si="27">O51*$P$3</f>
        <v>14.64594969817383</v>
      </c>
      <c r="Q51" s="146">
        <f t="shared" ref="Q51:Q52" si="28">P51*$Q$3</f>
        <v>15.231787686100784</v>
      </c>
      <c r="R51" s="146">
        <f t="shared" ref="R51:R52" si="29">Q51*$R$3</f>
        <v>15.841059193544815</v>
      </c>
      <c r="S51" s="146">
        <f t="shared" ref="S51:S52" si="30">R51*$S$3</f>
        <v>16.474701561286608</v>
      </c>
    </row>
    <row r="52" spans="1:20" x14ac:dyDescent="0.25">
      <c r="B52" s="162" t="s">
        <v>171</v>
      </c>
      <c r="C52" s="162"/>
      <c r="E52" s="155">
        <f>'cost summary'!E56*E3</f>
        <v>0</v>
      </c>
      <c r="F52" s="146">
        <f t="shared" si="17"/>
        <v>0</v>
      </c>
      <c r="G52" s="146">
        <f t="shared" si="18"/>
        <v>0</v>
      </c>
      <c r="H52" s="146">
        <f t="shared" si="19"/>
        <v>0</v>
      </c>
      <c r="I52" s="146">
        <f t="shared" si="20"/>
        <v>0</v>
      </c>
      <c r="J52" s="146">
        <f t="shared" si="21"/>
        <v>0</v>
      </c>
      <c r="K52" s="146">
        <f t="shared" si="22"/>
        <v>0</v>
      </c>
      <c r="L52" s="146">
        <f t="shared" si="23"/>
        <v>0</v>
      </c>
      <c r="M52" s="146">
        <f t="shared" si="24"/>
        <v>0</v>
      </c>
      <c r="N52" s="146">
        <f t="shared" si="25"/>
        <v>0</v>
      </c>
      <c r="O52" s="146">
        <f t="shared" si="26"/>
        <v>0</v>
      </c>
      <c r="P52" s="146">
        <f t="shared" si="27"/>
        <v>0</v>
      </c>
      <c r="Q52" s="146">
        <f t="shared" si="28"/>
        <v>0</v>
      </c>
      <c r="R52" s="146">
        <f t="shared" si="29"/>
        <v>0</v>
      </c>
      <c r="S52" s="146">
        <f t="shared" si="30"/>
        <v>0</v>
      </c>
    </row>
    <row r="53" spans="1:20" s="3" customFormat="1" x14ac:dyDescent="0.25">
      <c r="B53" s="43" t="s">
        <v>233</v>
      </c>
      <c r="C53" s="43"/>
      <c r="D53" s="156">
        <f>SUM(D50:D52)</f>
        <v>0</v>
      </c>
      <c r="E53" s="156">
        <f>SUM(E50:E52)</f>
        <v>25.369945729516047</v>
      </c>
      <c r="F53" s="156">
        <f t="shared" ref="F53:T53" si="31">SUM(F50:F52)</f>
        <v>26.384743558696691</v>
      </c>
      <c r="G53" s="156">
        <f t="shared" si="31"/>
        <v>27.440133301044561</v>
      </c>
      <c r="H53" s="156">
        <f t="shared" si="31"/>
        <v>28.537738633086345</v>
      </c>
      <c r="I53" s="156">
        <f t="shared" si="31"/>
        <v>29.6792481784098</v>
      </c>
      <c r="J53" s="156">
        <f t="shared" si="31"/>
        <v>30.866418105546192</v>
      </c>
      <c r="K53" s="156">
        <f t="shared" si="31"/>
        <v>32.101074829768038</v>
      </c>
      <c r="L53" s="156">
        <f t="shared" si="31"/>
        <v>33.385117822958762</v>
      </c>
      <c r="M53" s="156">
        <f t="shared" si="31"/>
        <v>34.720522535877116</v>
      </c>
      <c r="N53" s="156">
        <f t="shared" si="31"/>
        <v>36.109343437312205</v>
      </c>
      <c r="O53" s="156">
        <f t="shared" si="31"/>
        <v>37.553717174804696</v>
      </c>
      <c r="P53" s="156">
        <f t="shared" si="31"/>
        <v>39.055865861796889</v>
      </c>
      <c r="Q53" s="156">
        <f t="shared" si="31"/>
        <v>40.618100496268767</v>
      </c>
      <c r="R53" s="156">
        <f t="shared" si="31"/>
        <v>42.242824516119512</v>
      </c>
      <c r="S53" s="156">
        <f t="shared" si="31"/>
        <v>43.932537496764297</v>
      </c>
      <c r="T53" s="156">
        <f t="shared" si="31"/>
        <v>0</v>
      </c>
    </row>
    <row r="54" spans="1:20" x14ac:dyDescent="0.25">
      <c r="B54" s="43" t="s">
        <v>258</v>
      </c>
      <c r="C54" s="43"/>
      <c r="D54" s="167">
        <f>D53+D47</f>
        <v>0</v>
      </c>
      <c r="E54" s="167">
        <f>E53+E47</f>
        <v>387.97297258078368</v>
      </c>
      <c r="F54" s="167">
        <f t="shared" ref="F54:T54" si="32">F53+F47</f>
        <v>404.63394558866145</v>
      </c>
      <c r="G54" s="167">
        <f t="shared" si="32"/>
        <v>421.77415276313297</v>
      </c>
      <c r="H54" s="167">
        <f t="shared" si="32"/>
        <v>439.65781713763892</v>
      </c>
      <c r="I54" s="167">
        <f t="shared" si="32"/>
        <v>458.31814793496392</v>
      </c>
      <c r="J54" s="167">
        <f t="shared" si="32"/>
        <v>477.78989100289118</v>
      </c>
      <c r="K54" s="167">
        <f t="shared" si="32"/>
        <v>498.10940277456717</v>
      </c>
      <c r="L54" s="167">
        <f t="shared" si="32"/>
        <v>519.31472793700391</v>
      </c>
      <c r="M54" s="167">
        <f t="shared" si="32"/>
        <v>541.44568100102526</v>
      </c>
      <c r="N54" s="167">
        <f t="shared" si="32"/>
        <v>564.5439319763999</v>
      </c>
      <c r="O54" s="167">
        <f t="shared" si="32"/>
        <v>588.65309636690961</v>
      </c>
      <c r="P54" s="167">
        <f t="shared" si="32"/>
        <v>613.81882971172695</v>
      </c>
      <c r="Q54" s="167">
        <f t="shared" si="32"/>
        <v>640.08892691174549</v>
      </c>
      <c r="R54" s="167">
        <f t="shared" si="32"/>
        <v>667.51342659245768</v>
      </c>
      <c r="S54" s="167">
        <f t="shared" si="32"/>
        <v>673.7840477382689</v>
      </c>
      <c r="T54" s="167">
        <f t="shared" si="32"/>
        <v>0.23247999999999999</v>
      </c>
    </row>
    <row r="56" spans="1:20" s="3" customFormat="1" x14ac:dyDescent="0.25">
      <c r="B56" s="43" t="s">
        <v>262</v>
      </c>
      <c r="C56" s="43"/>
      <c r="D56" s="156">
        <f>D17+D26+D54</f>
        <v>215.00647144599998</v>
      </c>
      <c r="E56" s="156">
        <f>E17+E26+E54</f>
        <v>441.24878263968367</v>
      </c>
      <c r="F56" s="156">
        <f t="shared" ref="F56:T56" si="33">F17+F26+F54</f>
        <v>404.63394558866145</v>
      </c>
      <c r="G56" s="156">
        <f t="shared" si="33"/>
        <v>421.77415276313297</v>
      </c>
      <c r="H56" s="156">
        <f t="shared" si="33"/>
        <v>439.65781713763892</v>
      </c>
      <c r="I56" s="156">
        <f t="shared" si="33"/>
        <v>458.31814793496392</v>
      </c>
      <c r="J56" s="156">
        <f t="shared" si="33"/>
        <v>477.78989100289118</v>
      </c>
      <c r="K56" s="156">
        <f t="shared" si="33"/>
        <v>498.10940277456717</v>
      </c>
      <c r="L56" s="156">
        <f t="shared" si="33"/>
        <v>519.31472793700391</v>
      </c>
      <c r="M56" s="156">
        <f t="shared" si="33"/>
        <v>541.44568100102526</v>
      </c>
      <c r="N56" s="156">
        <f t="shared" si="33"/>
        <v>564.5439319763999</v>
      </c>
      <c r="O56" s="156">
        <f t="shared" si="33"/>
        <v>588.65309636690961</v>
      </c>
      <c r="P56" s="156">
        <f t="shared" si="33"/>
        <v>613.81882971172695</v>
      </c>
      <c r="Q56" s="156">
        <f t="shared" si="33"/>
        <v>640.08892691174549</v>
      </c>
      <c r="R56" s="156">
        <f t="shared" si="33"/>
        <v>667.51342659245768</v>
      </c>
      <c r="S56" s="156">
        <f t="shared" si="33"/>
        <v>673.7840477382689</v>
      </c>
      <c r="T56" s="156">
        <f t="shared" si="33"/>
        <v>0.23247999999999999</v>
      </c>
    </row>
    <row r="58" spans="1:20" x14ac:dyDescent="0.25">
      <c r="A58" s="3" t="s">
        <v>263</v>
      </c>
    </row>
    <row r="59" spans="1:20" x14ac:dyDescent="0.25">
      <c r="B59" s="162" t="str">
        <f>sales!B4</f>
        <v>BUTANOL</v>
      </c>
      <c r="C59" s="162"/>
      <c r="E59" s="146">
        <f>sales!C4*E5/E88</f>
        <v>107.1</v>
      </c>
      <c r="F59" s="146">
        <f>E59*F5</f>
        <v>112.455</v>
      </c>
      <c r="G59" s="146">
        <f t="shared" ref="G59:S59" si="34">F59*G5</f>
        <v>118.07775000000001</v>
      </c>
      <c r="H59" s="146">
        <f t="shared" si="34"/>
        <v>123.98163750000002</v>
      </c>
      <c r="I59" s="146">
        <f t="shared" si="34"/>
        <v>130.18071937500002</v>
      </c>
      <c r="J59" s="146">
        <f t="shared" si="34"/>
        <v>136.68975534375002</v>
      </c>
      <c r="K59" s="146">
        <f t="shared" si="34"/>
        <v>143.52424311093753</v>
      </c>
      <c r="L59" s="146">
        <f t="shared" si="34"/>
        <v>150.70045526648443</v>
      </c>
      <c r="M59" s="146">
        <f t="shared" si="34"/>
        <v>158.23547802980866</v>
      </c>
      <c r="N59" s="146">
        <f t="shared" si="34"/>
        <v>166.14725193129911</v>
      </c>
      <c r="O59" s="146">
        <f t="shared" si="34"/>
        <v>174.45461452786407</v>
      </c>
      <c r="P59" s="146">
        <f t="shared" si="34"/>
        <v>183.17734525425729</v>
      </c>
      <c r="Q59" s="146">
        <f t="shared" si="34"/>
        <v>192.33621251697016</v>
      </c>
      <c r="R59" s="146">
        <f t="shared" si="34"/>
        <v>201.95302314281869</v>
      </c>
      <c r="S59" s="146">
        <f t="shared" si="34"/>
        <v>212.05067429995964</v>
      </c>
      <c r="T59" s="146"/>
    </row>
    <row r="60" spans="1:20" x14ac:dyDescent="0.25">
      <c r="B60" s="162" t="str">
        <f>sales!B5</f>
        <v>ETHANOL</v>
      </c>
      <c r="C60" s="162"/>
      <c r="E60" s="146">
        <f>sales!C5*E5/E88</f>
        <v>8.41995</v>
      </c>
      <c r="F60" s="146">
        <f>E60*F5</f>
        <v>8.8409475000000004</v>
      </c>
      <c r="G60" s="146">
        <f t="shared" ref="G60:S60" si="35">F60*G5</f>
        <v>9.282994875</v>
      </c>
      <c r="H60" s="146">
        <f t="shared" si="35"/>
        <v>9.747144618750001</v>
      </c>
      <c r="I60" s="146">
        <f t="shared" si="35"/>
        <v>10.234501849687501</v>
      </c>
      <c r="J60" s="146">
        <f t="shared" si="35"/>
        <v>10.746226942171877</v>
      </c>
      <c r="K60" s="146">
        <f t="shared" si="35"/>
        <v>11.283538289280472</v>
      </c>
      <c r="L60" s="146">
        <f t="shared" si="35"/>
        <v>11.847715203744496</v>
      </c>
      <c r="M60" s="146">
        <f t="shared" si="35"/>
        <v>12.440100963931721</v>
      </c>
      <c r="N60" s="146">
        <f t="shared" si="35"/>
        <v>13.062106012128307</v>
      </c>
      <c r="O60" s="146">
        <f t="shared" si="35"/>
        <v>13.715211312734723</v>
      </c>
      <c r="P60" s="146">
        <f t="shared" si="35"/>
        <v>14.400971878371461</v>
      </c>
      <c r="Q60" s="146">
        <f t="shared" si="35"/>
        <v>15.121020472290034</v>
      </c>
      <c r="R60" s="146">
        <f t="shared" si="35"/>
        <v>15.877071495904536</v>
      </c>
      <c r="S60" s="146">
        <f t="shared" si="35"/>
        <v>16.670925070699763</v>
      </c>
      <c r="T60" s="146"/>
    </row>
    <row r="61" spans="1:20" x14ac:dyDescent="0.25">
      <c r="B61" s="162" t="str">
        <f>sales!B6</f>
        <v>ACETONE</v>
      </c>
      <c r="C61" s="162"/>
      <c r="E61" s="146">
        <f>sales!C6*E5/E88</f>
        <v>14.84784</v>
      </c>
      <c r="F61" s="146">
        <f>E61</f>
        <v>14.84784</v>
      </c>
      <c r="G61" s="146">
        <f t="shared" ref="G61:S61" si="36">F61</f>
        <v>14.84784</v>
      </c>
      <c r="H61" s="146">
        <f t="shared" si="36"/>
        <v>14.84784</v>
      </c>
      <c r="I61" s="146">
        <f t="shared" si="36"/>
        <v>14.84784</v>
      </c>
      <c r="J61" s="146">
        <f t="shared" si="36"/>
        <v>14.84784</v>
      </c>
      <c r="K61" s="146">
        <f t="shared" si="36"/>
        <v>14.84784</v>
      </c>
      <c r="L61" s="146">
        <f t="shared" si="36"/>
        <v>14.84784</v>
      </c>
      <c r="M61" s="146">
        <f t="shared" si="36"/>
        <v>14.84784</v>
      </c>
      <c r="N61" s="146">
        <f t="shared" si="36"/>
        <v>14.84784</v>
      </c>
      <c r="O61" s="146">
        <f t="shared" si="36"/>
        <v>14.84784</v>
      </c>
      <c r="P61" s="146">
        <f t="shared" si="36"/>
        <v>14.84784</v>
      </c>
      <c r="Q61" s="146">
        <f t="shared" si="36"/>
        <v>14.84784</v>
      </c>
      <c r="R61" s="146">
        <f t="shared" si="36"/>
        <v>14.84784</v>
      </c>
      <c r="S61" s="146">
        <f t="shared" si="36"/>
        <v>14.84784</v>
      </c>
      <c r="T61" s="146"/>
    </row>
    <row r="62" spans="1:20" x14ac:dyDescent="0.25">
      <c r="B62" s="162" t="str">
        <f>sales!B7</f>
        <v>HYDROGEN</v>
      </c>
      <c r="C62" s="162"/>
      <c r="D62" s="178"/>
      <c r="E62" s="155">
        <f>sales!C7*E5/E88</f>
        <v>0.84630000000000005</v>
      </c>
      <c r="F62" s="146">
        <f>E62*F5</f>
        <v>0.88861500000000004</v>
      </c>
      <c r="G62" s="146">
        <f t="shared" ref="G62:S62" si="37">F62*G5</f>
        <v>0.93304575000000012</v>
      </c>
      <c r="H62" s="146">
        <f t="shared" si="37"/>
        <v>0.97969803750000017</v>
      </c>
      <c r="I62" s="146">
        <f t="shared" si="37"/>
        <v>1.0286829393750003</v>
      </c>
      <c r="J62" s="146">
        <f t="shared" si="37"/>
        <v>1.0801170863437504</v>
      </c>
      <c r="K62" s="146">
        <f t="shared" si="37"/>
        <v>1.1341229406609379</v>
      </c>
      <c r="L62" s="146">
        <f t="shared" si="37"/>
        <v>1.1908290876939849</v>
      </c>
      <c r="M62" s="146">
        <f t="shared" si="37"/>
        <v>1.2503705420786841</v>
      </c>
      <c r="N62" s="146">
        <f t="shared" si="37"/>
        <v>1.3128890691826185</v>
      </c>
      <c r="O62" s="146">
        <f t="shared" si="37"/>
        <v>1.3785335226417494</v>
      </c>
      <c r="P62" s="146">
        <f t="shared" si="37"/>
        <v>1.4474601987738369</v>
      </c>
      <c r="Q62" s="146">
        <f t="shared" si="37"/>
        <v>1.5198332087125288</v>
      </c>
      <c r="R62" s="146">
        <f t="shared" si="37"/>
        <v>1.5958248691481554</v>
      </c>
      <c r="S62" s="146">
        <f t="shared" si="37"/>
        <v>1.6756161126055631</v>
      </c>
      <c r="T62" s="146"/>
    </row>
    <row r="63" spans="1:20" s="3" customFormat="1" x14ac:dyDescent="0.25">
      <c r="B63" s="43" t="s">
        <v>265</v>
      </c>
      <c r="C63" s="43"/>
      <c r="D63" s="156">
        <f>SUM(D59:D62)</f>
        <v>0</v>
      </c>
      <c r="E63" s="156">
        <f>SUM(E59:E62)</f>
        <v>131.21409</v>
      </c>
      <c r="F63" s="156">
        <f t="shared" ref="F63:T63" si="38">SUM(F59:F62)</f>
        <v>137.03240249999999</v>
      </c>
      <c r="G63" s="156">
        <f t="shared" si="38"/>
        <v>143.141630625</v>
      </c>
      <c r="H63" s="156">
        <f t="shared" si="38"/>
        <v>149.55632015625</v>
      </c>
      <c r="I63" s="156">
        <f t="shared" si="38"/>
        <v>156.29174416406249</v>
      </c>
      <c r="J63" s="156">
        <f t="shared" si="38"/>
        <v>163.36393937226566</v>
      </c>
      <c r="K63" s="156">
        <f t="shared" si="38"/>
        <v>170.78974434087894</v>
      </c>
      <c r="L63" s="156">
        <f t="shared" si="38"/>
        <v>178.5868395579229</v>
      </c>
      <c r="M63" s="156">
        <f t="shared" si="38"/>
        <v>186.77378953581905</v>
      </c>
      <c r="N63" s="156">
        <f t="shared" si="38"/>
        <v>195.37008701261004</v>
      </c>
      <c r="O63" s="156">
        <f t="shared" si="38"/>
        <v>204.39619936324053</v>
      </c>
      <c r="P63" s="156">
        <f t="shared" si="38"/>
        <v>213.87361733140256</v>
      </c>
      <c r="Q63" s="156">
        <f t="shared" si="38"/>
        <v>223.82490619797272</v>
      </c>
      <c r="R63" s="156">
        <f t="shared" si="38"/>
        <v>234.27375950787138</v>
      </c>
      <c r="S63" s="156">
        <f t="shared" si="38"/>
        <v>245.24505548326493</v>
      </c>
      <c r="T63" s="156">
        <f t="shared" si="38"/>
        <v>0</v>
      </c>
    </row>
    <row r="64" spans="1:20" s="3" customFormat="1" x14ac:dyDescent="0.25">
      <c r="B64" s="43"/>
      <c r="C64" s="43"/>
      <c r="D64" s="167"/>
      <c r="E64" s="167"/>
      <c r="F64" s="167"/>
      <c r="G64" s="167"/>
      <c r="H64" s="167"/>
      <c r="I64" s="167"/>
      <c r="J64" s="167"/>
      <c r="K64" s="167"/>
      <c r="L64" s="167"/>
      <c r="M64" s="167"/>
      <c r="N64" s="167"/>
      <c r="O64" s="167"/>
      <c r="P64" s="167"/>
      <c r="Q64" s="167"/>
      <c r="R64" s="167"/>
      <c r="S64" s="167"/>
      <c r="T64" s="167"/>
    </row>
    <row r="65" spans="2:20" s="3" customFormat="1" x14ac:dyDescent="0.25">
      <c r="B65" s="43" t="s">
        <v>270</v>
      </c>
      <c r="C65" s="43"/>
      <c r="D65" s="156">
        <v>0</v>
      </c>
      <c r="E65" s="156">
        <f>D65</f>
        <v>0</v>
      </c>
      <c r="F65" s="156">
        <f t="shared" ref="F65:S66" si="39">E65</f>
        <v>0</v>
      </c>
      <c r="G65" s="156">
        <f t="shared" si="39"/>
        <v>0</v>
      </c>
      <c r="H65" s="156">
        <f t="shared" si="39"/>
        <v>0</v>
      </c>
      <c r="I65" s="156">
        <f t="shared" si="39"/>
        <v>0</v>
      </c>
      <c r="J65" s="156">
        <f t="shared" si="39"/>
        <v>0</v>
      </c>
      <c r="K65" s="156">
        <f t="shared" si="39"/>
        <v>0</v>
      </c>
      <c r="L65" s="156">
        <f t="shared" si="39"/>
        <v>0</v>
      </c>
      <c r="M65" s="156">
        <f t="shared" si="39"/>
        <v>0</v>
      </c>
      <c r="N65" s="156">
        <f t="shared" si="39"/>
        <v>0</v>
      </c>
      <c r="O65" s="156">
        <f t="shared" si="39"/>
        <v>0</v>
      </c>
      <c r="P65" s="156">
        <f t="shared" si="39"/>
        <v>0</v>
      </c>
      <c r="Q65" s="156">
        <f t="shared" si="39"/>
        <v>0</v>
      </c>
      <c r="R65" s="156">
        <f t="shared" si="39"/>
        <v>0</v>
      </c>
      <c r="S65" s="156">
        <f t="shared" si="39"/>
        <v>0</v>
      </c>
      <c r="T65" s="156">
        <f>E26</f>
        <v>53.275810058900007</v>
      </c>
    </row>
    <row r="66" spans="2:20" s="3" customFormat="1" x14ac:dyDescent="0.25">
      <c r="B66" s="43" t="s">
        <v>282</v>
      </c>
      <c r="C66" s="43"/>
      <c r="D66" s="156">
        <v>0</v>
      </c>
      <c r="E66" s="156">
        <f>D66</f>
        <v>0</v>
      </c>
      <c r="F66" s="156">
        <f t="shared" si="39"/>
        <v>0</v>
      </c>
      <c r="G66" s="156">
        <f t="shared" si="39"/>
        <v>0</v>
      </c>
      <c r="H66" s="156">
        <f t="shared" si="39"/>
        <v>0</v>
      </c>
      <c r="I66" s="156">
        <f t="shared" si="39"/>
        <v>0</v>
      </c>
      <c r="J66" s="156">
        <f t="shared" si="39"/>
        <v>0</v>
      </c>
      <c r="K66" s="156">
        <f t="shared" si="39"/>
        <v>0</v>
      </c>
      <c r="L66" s="156">
        <f t="shared" si="39"/>
        <v>0</v>
      </c>
      <c r="M66" s="156">
        <f t="shared" si="39"/>
        <v>0</v>
      </c>
      <c r="N66" s="156">
        <f t="shared" si="39"/>
        <v>0</v>
      </c>
      <c r="O66" s="156">
        <f t="shared" si="39"/>
        <v>0</v>
      </c>
      <c r="P66" s="156">
        <f t="shared" si="39"/>
        <v>0</v>
      </c>
      <c r="Q66" s="156">
        <f t="shared" si="39"/>
        <v>0</v>
      </c>
      <c r="R66" s="156">
        <f t="shared" si="39"/>
        <v>0</v>
      </c>
      <c r="S66" s="156">
        <f t="shared" si="39"/>
        <v>0</v>
      </c>
      <c r="T66" s="156">
        <f>D14</f>
        <v>2.8765000000000001</v>
      </c>
    </row>
    <row r="67" spans="2:20" s="3" customFormat="1" x14ac:dyDescent="0.25">
      <c r="B67" s="43"/>
      <c r="C67" s="43"/>
      <c r="D67" s="167"/>
      <c r="E67" s="167"/>
      <c r="F67" s="167"/>
      <c r="G67" s="167"/>
      <c r="H67" s="167"/>
      <c r="I67" s="167"/>
      <c r="J67" s="167"/>
      <c r="K67" s="167"/>
      <c r="L67" s="167"/>
      <c r="M67" s="167"/>
      <c r="N67" s="167"/>
      <c r="O67" s="167"/>
      <c r="P67" s="167"/>
      <c r="Q67" s="167"/>
      <c r="R67" s="167"/>
      <c r="S67" s="167"/>
      <c r="T67" s="167"/>
    </row>
    <row r="68" spans="2:20" s="3" customFormat="1" x14ac:dyDescent="0.25">
      <c r="B68" s="43" t="s">
        <v>272</v>
      </c>
      <c r="C68" s="43"/>
      <c r="D68" s="156">
        <f t="shared" ref="D68:S68" si="40">D63+D65+D66</f>
        <v>0</v>
      </c>
      <c r="E68" s="156">
        <f t="shared" si="40"/>
        <v>131.21409</v>
      </c>
      <c r="F68" s="156">
        <f t="shared" si="40"/>
        <v>137.03240249999999</v>
      </c>
      <c r="G68" s="156">
        <f t="shared" si="40"/>
        <v>143.141630625</v>
      </c>
      <c r="H68" s="156">
        <f t="shared" si="40"/>
        <v>149.55632015625</v>
      </c>
      <c r="I68" s="156">
        <f t="shared" si="40"/>
        <v>156.29174416406249</v>
      </c>
      <c r="J68" s="156">
        <f t="shared" si="40"/>
        <v>163.36393937226566</v>
      </c>
      <c r="K68" s="156">
        <f t="shared" si="40"/>
        <v>170.78974434087894</v>
      </c>
      <c r="L68" s="156">
        <f t="shared" si="40"/>
        <v>178.5868395579229</v>
      </c>
      <c r="M68" s="156">
        <f t="shared" si="40"/>
        <v>186.77378953581905</v>
      </c>
      <c r="N68" s="156">
        <f t="shared" si="40"/>
        <v>195.37008701261004</v>
      </c>
      <c r="O68" s="156">
        <f t="shared" si="40"/>
        <v>204.39619936324053</v>
      </c>
      <c r="P68" s="156">
        <f t="shared" si="40"/>
        <v>213.87361733140256</v>
      </c>
      <c r="Q68" s="156">
        <f t="shared" si="40"/>
        <v>223.82490619797272</v>
      </c>
      <c r="R68" s="156">
        <f t="shared" si="40"/>
        <v>234.27375950787138</v>
      </c>
      <c r="S68" s="156">
        <f t="shared" si="40"/>
        <v>245.24505548326493</v>
      </c>
      <c r="T68" s="156">
        <f>T63+T65+T66</f>
        <v>56.152310058900007</v>
      </c>
    </row>
    <row r="70" spans="2:20" s="124" customFormat="1" x14ac:dyDescent="0.25">
      <c r="B70" s="179" t="s">
        <v>266</v>
      </c>
      <c r="C70" s="179"/>
      <c r="D70" s="126">
        <f>D68-D56</f>
        <v>-215.00647144599998</v>
      </c>
      <c r="E70" s="126">
        <f>E68-E56</f>
        <v>-310.03469263968367</v>
      </c>
      <c r="F70" s="126">
        <f t="shared" ref="F70:T70" si="41">F68-F56</f>
        <v>-267.60154308866146</v>
      </c>
      <c r="G70" s="126">
        <f t="shared" si="41"/>
        <v>-278.63252213813297</v>
      </c>
      <c r="H70" s="126">
        <f t="shared" si="41"/>
        <v>-290.10149698138889</v>
      </c>
      <c r="I70" s="126">
        <f t="shared" si="41"/>
        <v>-302.02640377090142</v>
      </c>
      <c r="J70" s="126">
        <f t="shared" si="41"/>
        <v>-314.42595163062549</v>
      </c>
      <c r="K70" s="126">
        <f t="shared" si="41"/>
        <v>-327.31965843368823</v>
      </c>
      <c r="L70" s="126">
        <f t="shared" si="41"/>
        <v>-340.72788837908104</v>
      </c>
      <c r="M70" s="126">
        <f t="shared" si="41"/>
        <v>-354.67189146520622</v>
      </c>
      <c r="N70" s="126">
        <f t="shared" si="41"/>
        <v>-369.17384496378986</v>
      </c>
      <c r="O70" s="126">
        <f t="shared" si="41"/>
        <v>-384.25689700366911</v>
      </c>
      <c r="P70" s="126">
        <f t="shared" si="41"/>
        <v>-399.94521238032439</v>
      </c>
      <c r="Q70" s="126">
        <f t="shared" si="41"/>
        <v>-416.26402071377277</v>
      </c>
      <c r="R70" s="126">
        <f t="shared" si="41"/>
        <v>-433.2396670845863</v>
      </c>
      <c r="S70" s="126">
        <f t="shared" si="41"/>
        <v>-428.53899225500396</v>
      </c>
      <c r="T70" s="126">
        <f t="shared" si="41"/>
        <v>55.919830058900004</v>
      </c>
    </row>
    <row r="71" spans="2:20" s="124" customFormat="1" x14ac:dyDescent="0.25">
      <c r="B71" s="179" t="s">
        <v>267</v>
      </c>
      <c r="C71" s="179"/>
      <c r="D71" s="126">
        <f>D70</f>
        <v>-215.00647144599998</v>
      </c>
      <c r="E71" s="126">
        <f>D71+E70</f>
        <v>-525.0411640856837</v>
      </c>
      <c r="F71" s="126">
        <f t="shared" ref="F71:T71" si="42">E71+F70</f>
        <v>-792.64270717434511</v>
      </c>
      <c r="G71" s="126">
        <f t="shared" si="42"/>
        <v>-1071.2752293124781</v>
      </c>
      <c r="H71" s="126">
        <f t="shared" si="42"/>
        <v>-1361.376726293867</v>
      </c>
      <c r="I71" s="126">
        <f t="shared" si="42"/>
        <v>-1663.4031300647684</v>
      </c>
      <c r="J71" s="126">
        <f t="shared" si="42"/>
        <v>-1977.8290816953941</v>
      </c>
      <c r="K71" s="126">
        <f t="shared" si="42"/>
        <v>-2305.1487401290824</v>
      </c>
      <c r="L71" s="126">
        <f t="shared" si="42"/>
        <v>-2645.8766285081633</v>
      </c>
      <c r="M71" s="126">
        <f t="shared" si="42"/>
        <v>-3000.5485199733694</v>
      </c>
      <c r="N71" s="126">
        <f t="shared" si="42"/>
        <v>-3369.722364937159</v>
      </c>
      <c r="O71" s="126">
        <f t="shared" si="42"/>
        <v>-3753.9792619408281</v>
      </c>
      <c r="P71" s="126">
        <f t="shared" si="42"/>
        <v>-4153.924474321153</v>
      </c>
      <c r="Q71" s="126">
        <f t="shared" si="42"/>
        <v>-4570.1884950349258</v>
      </c>
      <c r="R71" s="126">
        <f t="shared" si="42"/>
        <v>-5003.4281621195123</v>
      </c>
      <c r="S71" s="126">
        <f t="shared" si="42"/>
        <v>-5431.9671543745162</v>
      </c>
      <c r="T71" s="126">
        <f t="shared" si="42"/>
        <v>-5376.0473243156166</v>
      </c>
    </row>
    <row r="73" spans="2:20" s="186" customFormat="1" x14ac:dyDescent="0.25">
      <c r="B73" s="180" t="s">
        <v>277</v>
      </c>
      <c r="C73" s="182">
        <f>C79</f>
        <v>0.05</v>
      </c>
      <c r="D73" s="166"/>
      <c r="E73" s="186">
        <f>105%</f>
        <v>1.05</v>
      </c>
      <c r="F73" s="186">
        <f t="shared" ref="F73:T73" si="43">E73*105%</f>
        <v>1.1025</v>
      </c>
      <c r="G73" s="186">
        <f t="shared" si="43"/>
        <v>1.1576250000000001</v>
      </c>
      <c r="H73" s="186">
        <f t="shared" si="43"/>
        <v>1.2155062500000002</v>
      </c>
      <c r="I73" s="186">
        <f t="shared" si="43"/>
        <v>1.2762815625000004</v>
      </c>
      <c r="J73" s="186">
        <f t="shared" si="43"/>
        <v>1.3400956406250004</v>
      </c>
      <c r="K73" s="186">
        <f t="shared" si="43"/>
        <v>1.4071004226562505</v>
      </c>
      <c r="L73" s="186">
        <f t="shared" si="43"/>
        <v>1.477455443789063</v>
      </c>
      <c r="M73" s="186">
        <f t="shared" si="43"/>
        <v>1.5513282159785162</v>
      </c>
      <c r="N73" s="186">
        <f t="shared" si="43"/>
        <v>1.628894626777442</v>
      </c>
      <c r="O73" s="186">
        <f t="shared" si="43"/>
        <v>1.7103393581163142</v>
      </c>
      <c r="P73" s="186">
        <f t="shared" si="43"/>
        <v>1.7958563260221301</v>
      </c>
      <c r="Q73" s="186">
        <f t="shared" si="43"/>
        <v>1.8856491423232367</v>
      </c>
      <c r="R73" s="186">
        <f t="shared" si="43"/>
        <v>1.9799315994393987</v>
      </c>
      <c r="S73" s="186">
        <f t="shared" si="43"/>
        <v>2.0789281794113688</v>
      </c>
      <c r="T73" s="186">
        <f t="shared" si="43"/>
        <v>2.1828745883819374</v>
      </c>
    </row>
    <row r="74" spans="2:20" x14ac:dyDescent="0.25">
      <c r="B74" s="243" t="s">
        <v>369</v>
      </c>
      <c r="C74" s="182"/>
      <c r="E74" s="242">
        <f t="shared" ref="E74:T74" si="44">1/E73</f>
        <v>0.95238095238095233</v>
      </c>
      <c r="F74" s="242">
        <f t="shared" si="44"/>
        <v>0.90702947845804982</v>
      </c>
      <c r="G74" s="242">
        <f t="shared" si="44"/>
        <v>0.86383759853147601</v>
      </c>
      <c r="H74" s="242">
        <f t="shared" si="44"/>
        <v>0.82270247479188185</v>
      </c>
      <c r="I74" s="242">
        <f t="shared" si="44"/>
        <v>0.78352616646845885</v>
      </c>
      <c r="J74" s="242">
        <f t="shared" si="44"/>
        <v>0.74621539663662739</v>
      </c>
      <c r="K74" s="242">
        <f t="shared" si="44"/>
        <v>0.71068133013012136</v>
      </c>
      <c r="L74" s="242">
        <f t="shared" si="44"/>
        <v>0.676839362028687</v>
      </c>
      <c r="M74" s="242">
        <f t="shared" si="44"/>
        <v>0.64460891621779715</v>
      </c>
      <c r="N74" s="242">
        <f t="shared" si="44"/>
        <v>0.6139132535407591</v>
      </c>
      <c r="O74" s="242">
        <f t="shared" si="44"/>
        <v>0.58467928908643729</v>
      </c>
      <c r="P74" s="242">
        <f t="shared" si="44"/>
        <v>0.55683741817755927</v>
      </c>
      <c r="Q74" s="242">
        <f t="shared" si="44"/>
        <v>0.53032135064529451</v>
      </c>
      <c r="R74" s="242">
        <f t="shared" si="44"/>
        <v>0.50506795299551854</v>
      </c>
      <c r="S74" s="242">
        <f t="shared" si="44"/>
        <v>0.48101709809096999</v>
      </c>
      <c r="T74" s="242">
        <f t="shared" si="44"/>
        <v>0.45811152199139993</v>
      </c>
    </row>
    <row r="75" spans="2:20" s="124" customFormat="1" x14ac:dyDescent="0.25">
      <c r="B75" s="179" t="s">
        <v>280</v>
      </c>
      <c r="C75" s="187"/>
      <c r="D75" s="188">
        <f>D70</f>
        <v>-215.00647144599998</v>
      </c>
      <c r="E75" s="124">
        <f>E70</f>
        <v>-310.03469263968367</v>
      </c>
      <c r="F75" s="124">
        <f t="shared" ref="F75:T75" si="45">F70/F73</f>
        <v>-242.72248806227796</v>
      </c>
      <c r="G75" s="124">
        <f t="shared" si="45"/>
        <v>-240.6932487965731</v>
      </c>
      <c r="H75" s="124">
        <f t="shared" si="45"/>
        <v>-238.66721950741828</v>
      </c>
      <c r="I75" s="124">
        <f t="shared" si="45"/>
        <v>-236.64559031886927</v>
      </c>
      <c r="J75" s="124">
        <f t="shared" si="45"/>
        <v>-234.62948620889622</v>
      </c>
      <c r="K75" s="124">
        <f t="shared" si="45"/>
        <v>-232.61997023339055</v>
      </c>
      <c r="L75" s="124">
        <f t="shared" si="45"/>
        <v>-230.61804659587887</v>
      </c>
      <c r="M75" s="124">
        <f t="shared" si="45"/>
        <v>-228.62466357030274</v>
      </c>
      <c r="N75" s="124">
        <f t="shared" si="45"/>
        <v>-226.64071628387202</v>
      </c>
      <c r="O75" s="124">
        <f t="shared" si="45"/>
        <v>-224.66704936666559</v>
      </c>
      <c r="P75" s="124">
        <f t="shared" si="45"/>
        <v>-222.70445947433544</v>
      </c>
      <c r="Q75" s="124">
        <f t="shared" si="45"/>
        <v>-220.75369768996882</v>
      </c>
      <c r="R75" s="124">
        <f t="shared" si="45"/>
        <v>-218.81547181087191</v>
      </c>
      <c r="S75" s="124">
        <f t="shared" si="45"/>
        <v>-206.13458247333065</v>
      </c>
      <c r="T75" s="124">
        <f t="shared" si="45"/>
        <v>25.617518457783117</v>
      </c>
    </row>
    <row r="76" spans="2:20" s="124" customFormat="1" x14ac:dyDescent="0.25">
      <c r="B76" s="179" t="s">
        <v>281</v>
      </c>
      <c r="C76" s="187"/>
      <c r="D76" s="188">
        <f>D75</f>
        <v>-215.00647144599998</v>
      </c>
      <c r="E76" s="124">
        <f t="shared" ref="E76:N76" si="46">D76+E75</f>
        <v>-525.0411640856837</v>
      </c>
      <c r="F76" s="124">
        <f t="shared" si="46"/>
        <v>-767.76365214796169</v>
      </c>
      <c r="G76" s="124">
        <f t="shared" si="46"/>
        <v>-1008.4569009445348</v>
      </c>
      <c r="H76" s="124">
        <f t="shared" si="46"/>
        <v>-1247.1241204519531</v>
      </c>
      <c r="I76" s="124">
        <f t="shared" si="46"/>
        <v>-1483.7697107708223</v>
      </c>
      <c r="J76" s="124">
        <f t="shared" si="46"/>
        <v>-1718.3991969797185</v>
      </c>
      <c r="K76" s="124">
        <f t="shared" si="46"/>
        <v>-1951.0191672131091</v>
      </c>
      <c r="L76" s="124">
        <f t="shared" si="46"/>
        <v>-2181.6372138089878</v>
      </c>
      <c r="M76" s="124">
        <f t="shared" si="46"/>
        <v>-2410.2618773792906</v>
      </c>
      <c r="N76" s="124">
        <f t="shared" si="46"/>
        <v>-2636.9025936631624</v>
      </c>
      <c r="O76" s="124">
        <f t="shared" ref="O76:T76" si="47">N76+O75</f>
        <v>-2861.5696430298281</v>
      </c>
      <c r="P76" s="124">
        <f t="shared" si="47"/>
        <v>-3084.2741025041637</v>
      </c>
      <c r="Q76" s="124">
        <f t="shared" si="47"/>
        <v>-3305.0278001941324</v>
      </c>
      <c r="R76" s="124">
        <f t="shared" si="47"/>
        <v>-3523.8432720050041</v>
      </c>
      <c r="S76" s="124">
        <f t="shared" si="47"/>
        <v>-3729.9778544783348</v>
      </c>
      <c r="T76" s="124">
        <f t="shared" si="47"/>
        <v>-3704.3603360205516</v>
      </c>
    </row>
    <row r="77" spans="2:20" s="124" customFormat="1" x14ac:dyDescent="0.25">
      <c r="B77" s="179"/>
      <c r="C77" s="187"/>
      <c r="D77" s="188"/>
    </row>
    <row r="78" spans="2:20" x14ac:dyDescent="0.25">
      <c r="B78" s="179" t="s">
        <v>349</v>
      </c>
    </row>
    <row r="79" spans="2:20" x14ac:dyDescent="0.25">
      <c r="B79" s="180" t="s">
        <v>351</v>
      </c>
      <c r="C79" s="182">
        <f>C80+C81</f>
        <v>0.05</v>
      </c>
    </row>
    <row r="80" spans="2:20" x14ac:dyDescent="0.25">
      <c r="B80" s="162" t="s">
        <v>352</v>
      </c>
      <c r="C80" s="184">
        <v>0.03</v>
      </c>
    </row>
    <row r="81" spans="2:5" x14ac:dyDescent="0.25">
      <c r="B81" s="162" t="s">
        <v>368</v>
      </c>
      <c r="C81" s="184">
        <v>0.02</v>
      </c>
    </row>
    <row r="82" spans="2:5" x14ac:dyDescent="0.25">
      <c r="B82" s="43" t="s">
        <v>350</v>
      </c>
    </row>
    <row r="83" spans="2:5" x14ac:dyDescent="0.25">
      <c r="B83" s="43" t="s">
        <v>367</v>
      </c>
    </row>
    <row r="88" spans="2:5" x14ac:dyDescent="0.25">
      <c r="D88" s="250" t="s">
        <v>370</v>
      </c>
      <c r="E88" s="249">
        <v>1000000</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7D404-8D33-4DA2-9A79-FADD78A21BBB}">
  <sheetPr>
    <tabColor theme="2" tint="-9.9978637043366805E-2"/>
  </sheetPr>
  <dimension ref="A1:U89"/>
  <sheetViews>
    <sheetView zoomScale="60" zoomScaleNormal="60" workbookViewId="0">
      <pane xSplit="2" ySplit="2" topLeftCell="C3" activePane="bottomRight" state="frozen"/>
      <selection pane="topRight" activeCell="C1" sqref="C1"/>
      <selection pane="bottomLeft" activeCell="A3" sqref="A3"/>
      <selection pane="bottomRight" activeCell="S43" sqref="S43"/>
    </sheetView>
  </sheetViews>
  <sheetFormatPr defaultRowHeight="15" x14ac:dyDescent="0.25"/>
  <cols>
    <col min="1" max="1" width="4.5703125" customWidth="1"/>
    <col min="2" max="2" width="58" style="40" customWidth="1"/>
    <col min="3" max="3" width="6.140625" style="40" customWidth="1"/>
    <col min="4" max="4" width="12" style="164" bestFit="1" customWidth="1"/>
    <col min="5" max="5" width="10.85546875" style="146" bestFit="1" customWidth="1"/>
    <col min="6" max="7" width="7.28515625" bestFit="1" customWidth="1"/>
    <col min="8" max="20" width="8" bestFit="1" customWidth="1"/>
    <col min="21" max="21" width="16.28515625" bestFit="1" customWidth="1"/>
  </cols>
  <sheetData>
    <row r="1" spans="1:20" ht="15.75" x14ac:dyDescent="0.25">
      <c r="A1" s="245" t="s">
        <v>354</v>
      </c>
      <c r="D1" s="149" t="s">
        <v>254</v>
      </c>
      <c r="E1" s="149" t="s">
        <v>239</v>
      </c>
      <c r="F1" s="176" t="s">
        <v>240</v>
      </c>
      <c r="G1" s="176" t="s">
        <v>241</v>
      </c>
      <c r="H1" s="176" t="s">
        <v>242</v>
      </c>
      <c r="I1" s="176" t="s">
        <v>243</v>
      </c>
      <c r="J1" s="176" t="s">
        <v>244</v>
      </c>
      <c r="K1" s="176" t="s">
        <v>245</v>
      </c>
      <c r="L1" s="176" t="s">
        <v>246</v>
      </c>
      <c r="M1" s="176" t="s">
        <v>247</v>
      </c>
      <c r="N1" s="176" t="s">
        <v>248</v>
      </c>
      <c r="O1" s="176" t="s">
        <v>249</v>
      </c>
      <c r="P1" s="176" t="s">
        <v>250</v>
      </c>
      <c r="Q1" s="176" t="s">
        <v>251</v>
      </c>
      <c r="R1" s="176" t="s">
        <v>252</v>
      </c>
      <c r="S1" s="176" t="s">
        <v>253</v>
      </c>
      <c r="T1" s="176" t="s">
        <v>256</v>
      </c>
    </row>
    <row r="2" spans="1:20" s="173" customFormat="1" ht="18.75" x14ac:dyDescent="0.3">
      <c r="A2" s="246" t="s">
        <v>371</v>
      </c>
      <c r="B2" s="174"/>
      <c r="C2" s="174"/>
      <c r="D2" s="175">
        <v>2020</v>
      </c>
      <c r="E2" s="175">
        <v>2021</v>
      </c>
      <c r="F2" s="175">
        <v>2022</v>
      </c>
      <c r="G2" s="175">
        <v>2023</v>
      </c>
      <c r="H2" s="175">
        <v>2024</v>
      </c>
      <c r="I2" s="175">
        <v>2025</v>
      </c>
      <c r="J2" s="175">
        <v>2026</v>
      </c>
      <c r="K2" s="175">
        <v>2027</v>
      </c>
      <c r="L2" s="175">
        <v>2028</v>
      </c>
      <c r="M2" s="175">
        <v>2029</v>
      </c>
      <c r="N2" s="175">
        <v>2030</v>
      </c>
      <c r="O2" s="175">
        <v>2031</v>
      </c>
      <c r="P2" s="175">
        <v>2032</v>
      </c>
      <c r="Q2" s="175">
        <v>2033</v>
      </c>
      <c r="R2" s="175">
        <v>2034</v>
      </c>
      <c r="S2" s="175">
        <v>2035</v>
      </c>
      <c r="T2" s="175">
        <v>2036</v>
      </c>
    </row>
    <row r="3" spans="1:20" s="169" customFormat="1" x14ac:dyDescent="0.25">
      <c r="B3" s="172" t="s">
        <v>274</v>
      </c>
      <c r="C3" s="172"/>
      <c r="D3" s="168"/>
      <c r="E3" s="177">
        <v>1.04</v>
      </c>
      <c r="F3" s="177">
        <v>1.04</v>
      </c>
      <c r="G3" s="177">
        <f>F3</f>
        <v>1.04</v>
      </c>
      <c r="H3" s="177">
        <f t="shared" ref="H3:T5" si="0">G3</f>
        <v>1.04</v>
      </c>
      <c r="I3" s="177">
        <f t="shared" si="0"/>
        <v>1.04</v>
      </c>
      <c r="J3" s="177">
        <f t="shared" si="0"/>
        <v>1.04</v>
      </c>
      <c r="K3" s="177">
        <f t="shared" si="0"/>
        <v>1.04</v>
      </c>
      <c r="L3" s="177">
        <f t="shared" si="0"/>
        <v>1.04</v>
      </c>
      <c r="M3" s="177">
        <f t="shared" si="0"/>
        <v>1.04</v>
      </c>
      <c r="N3" s="177">
        <f t="shared" si="0"/>
        <v>1.04</v>
      </c>
      <c r="O3" s="177">
        <f t="shared" si="0"/>
        <v>1.04</v>
      </c>
      <c r="P3" s="177">
        <f t="shared" si="0"/>
        <v>1.04</v>
      </c>
      <c r="Q3" s="177">
        <f t="shared" si="0"/>
        <v>1.04</v>
      </c>
      <c r="R3" s="177">
        <f t="shared" si="0"/>
        <v>1.04</v>
      </c>
      <c r="S3" s="177">
        <f t="shared" si="0"/>
        <v>1.04</v>
      </c>
      <c r="T3" s="177">
        <f t="shared" si="0"/>
        <v>1.04</v>
      </c>
    </row>
    <row r="4" spans="1:20" s="169" customFormat="1" x14ac:dyDescent="0.25">
      <c r="B4" s="172" t="s">
        <v>275</v>
      </c>
      <c r="C4" s="172"/>
      <c r="D4" s="168"/>
      <c r="E4" s="177">
        <v>1.06</v>
      </c>
      <c r="F4" s="177">
        <v>1.06</v>
      </c>
      <c r="G4" s="177">
        <f>F4</f>
        <v>1.06</v>
      </c>
      <c r="H4" s="177">
        <f t="shared" si="0"/>
        <v>1.06</v>
      </c>
      <c r="I4" s="177">
        <f t="shared" si="0"/>
        <v>1.06</v>
      </c>
      <c r="J4" s="177">
        <f t="shared" si="0"/>
        <v>1.06</v>
      </c>
      <c r="K4" s="177">
        <f t="shared" si="0"/>
        <v>1.06</v>
      </c>
      <c r="L4" s="177">
        <f t="shared" si="0"/>
        <v>1.06</v>
      </c>
      <c r="M4" s="177">
        <f t="shared" si="0"/>
        <v>1.06</v>
      </c>
      <c r="N4" s="177">
        <f t="shared" si="0"/>
        <v>1.06</v>
      </c>
      <c r="O4" s="177">
        <f t="shared" si="0"/>
        <v>1.06</v>
      </c>
      <c r="P4" s="177">
        <f t="shared" si="0"/>
        <v>1.06</v>
      </c>
      <c r="Q4" s="177">
        <f t="shared" si="0"/>
        <v>1.06</v>
      </c>
      <c r="R4" s="177">
        <f t="shared" si="0"/>
        <v>1.06</v>
      </c>
      <c r="S4" s="177">
        <f t="shared" si="0"/>
        <v>1.06</v>
      </c>
      <c r="T4" s="177">
        <f t="shared" si="0"/>
        <v>1.06</v>
      </c>
    </row>
    <row r="5" spans="1:20" s="169" customFormat="1" x14ac:dyDescent="0.25">
      <c r="B5" s="172" t="s">
        <v>273</v>
      </c>
      <c r="C5" s="172"/>
      <c r="D5" s="168"/>
      <c r="E5" s="177">
        <v>1.05</v>
      </c>
      <c r="F5" s="177">
        <v>1.05</v>
      </c>
      <c r="G5" s="177">
        <f>F5</f>
        <v>1.05</v>
      </c>
      <c r="H5" s="177">
        <f t="shared" si="0"/>
        <v>1.05</v>
      </c>
      <c r="I5" s="177">
        <f t="shared" si="0"/>
        <v>1.05</v>
      </c>
      <c r="J5" s="177">
        <f t="shared" si="0"/>
        <v>1.05</v>
      </c>
      <c r="K5" s="177">
        <f t="shared" si="0"/>
        <v>1.05</v>
      </c>
      <c r="L5" s="177">
        <f t="shared" si="0"/>
        <v>1.05</v>
      </c>
      <c r="M5" s="177">
        <f t="shared" si="0"/>
        <v>1.05</v>
      </c>
      <c r="N5" s="177">
        <f t="shared" si="0"/>
        <v>1.05</v>
      </c>
      <c r="O5" s="177">
        <f t="shared" si="0"/>
        <v>1.05</v>
      </c>
      <c r="P5" s="177">
        <f t="shared" si="0"/>
        <v>1.05</v>
      </c>
      <c r="Q5" s="177">
        <f t="shared" si="0"/>
        <v>1.05</v>
      </c>
      <c r="R5" s="177">
        <f t="shared" si="0"/>
        <v>1.05</v>
      </c>
      <c r="S5" s="177">
        <f t="shared" si="0"/>
        <v>1.05</v>
      </c>
      <c r="T5" s="177">
        <f t="shared" si="0"/>
        <v>1.05</v>
      </c>
    </row>
    <row r="6" spans="1:20" x14ac:dyDescent="0.25">
      <c r="A6" s="3" t="s">
        <v>255</v>
      </c>
      <c r="B6" s="43"/>
      <c r="C6" s="43"/>
    </row>
    <row r="7" spans="1:20" x14ac:dyDescent="0.25">
      <c r="A7" s="3"/>
      <c r="B7" s="43" t="s">
        <v>177</v>
      </c>
      <c r="C7" s="43"/>
    </row>
    <row r="8" spans="1:20" x14ac:dyDescent="0.25">
      <c r="B8" s="162" t="s">
        <v>131</v>
      </c>
      <c r="C8" s="162"/>
      <c r="D8" s="146">
        <f>'cost summary'!H4/E89</f>
        <v>60.230696519999995</v>
      </c>
    </row>
    <row r="9" spans="1:20" x14ac:dyDescent="0.25">
      <c r="B9" s="162" t="s">
        <v>133</v>
      </c>
      <c r="C9" s="162"/>
      <c r="D9" s="146">
        <f>'cost summary'!H5/E89</f>
        <v>27.103813433999999</v>
      </c>
    </row>
    <row r="10" spans="1:20" x14ac:dyDescent="0.25">
      <c r="B10" s="162" t="s">
        <v>134</v>
      </c>
      <c r="C10" s="162"/>
      <c r="D10" s="146">
        <f>'cost summary'!H6/E89</f>
        <v>27.103813433999999</v>
      </c>
    </row>
    <row r="11" spans="1:20" x14ac:dyDescent="0.25">
      <c r="B11" s="162" t="s">
        <v>135</v>
      </c>
      <c r="C11" s="162"/>
      <c r="D11" s="146">
        <f>'cost summary'!H7/E89</f>
        <v>9.0346044779999986</v>
      </c>
    </row>
    <row r="12" spans="1:20" x14ac:dyDescent="0.25">
      <c r="B12" s="162" t="s">
        <v>136</v>
      </c>
      <c r="C12" s="162"/>
      <c r="D12" s="146">
        <f>'cost summary'!H8/E89</f>
        <v>6.0230696519999993</v>
      </c>
    </row>
    <row r="13" spans="1:20" x14ac:dyDescent="0.25">
      <c r="B13" s="162" t="s">
        <v>137</v>
      </c>
      <c r="C13" s="162"/>
      <c r="D13" s="146">
        <f>'cost summary'!H9/E89</f>
        <v>6.0230696519999993</v>
      </c>
    </row>
    <row r="14" spans="1:20" x14ac:dyDescent="0.25">
      <c r="B14" s="162" t="s">
        <v>82</v>
      </c>
      <c r="C14" s="162"/>
      <c r="D14" s="146">
        <f>'cost summary'!H10/E89</f>
        <v>2.8765000000000001</v>
      </c>
    </row>
    <row r="15" spans="1:20" x14ac:dyDescent="0.25">
      <c r="B15" s="162" t="s">
        <v>138</v>
      </c>
      <c r="C15" s="162"/>
      <c r="D15" s="146">
        <f>'cost summary'!H13/E89</f>
        <v>34.598891792499998</v>
      </c>
    </row>
    <row r="16" spans="1:20" x14ac:dyDescent="0.25">
      <c r="B16" s="162" t="s">
        <v>139</v>
      </c>
      <c r="C16" s="162"/>
      <c r="D16" s="154">
        <f>'cost summary'!H14/E89</f>
        <v>6.9197783585000003</v>
      </c>
      <c r="E16" s="154"/>
      <c r="F16" s="117"/>
      <c r="G16" s="117"/>
      <c r="H16" s="117"/>
      <c r="I16" s="117"/>
      <c r="J16" s="117"/>
      <c r="K16" s="117"/>
      <c r="L16" s="117"/>
      <c r="M16" s="117"/>
      <c r="N16" s="117"/>
      <c r="O16" s="117"/>
      <c r="P16" s="117"/>
      <c r="Q16" s="117"/>
      <c r="R16" s="117"/>
      <c r="S16" s="117"/>
      <c r="T16" s="117"/>
    </row>
    <row r="17" spans="2:20" x14ac:dyDescent="0.25">
      <c r="B17" s="43" t="s">
        <v>260</v>
      </c>
      <c r="C17" s="43"/>
      <c r="D17" s="167">
        <f>SUM(D8:D16)</f>
        <v>179.914237321</v>
      </c>
      <c r="E17" s="167">
        <f t="shared" ref="E17:T17" si="1">SUM(E8:E16)</f>
        <v>0</v>
      </c>
      <c r="F17" s="167">
        <f t="shared" si="1"/>
        <v>0</v>
      </c>
      <c r="G17" s="167">
        <f t="shared" si="1"/>
        <v>0</v>
      </c>
      <c r="H17" s="167">
        <f t="shared" si="1"/>
        <v>0</v>
      </c>
      <c r="I17" s="167">
        <f t="shared" si="1"/>
        <v>0</v>
      </c>
      <c r="J17" s="167">
        <f t="shared" si="1"/>
        <v>0</v>
      </c>
      <c r="K17" s="167">
        <f t="shared" si="1"/>
        <v>0</v>
      </c>
      <c r="L17" s="167">
        <f t="shared" si="1"/>
        <v>0</v>
      </c>
      <c r="M17" s="167">
        <f t="shared" si="1"/>
        <v>0</v>
      </c>
      <c r="N17" s="167">
        <f t="shared" si="1"/>
        <v>0</v>
      </c>
      <c r="O17" s="167">
        <f t="shared" si="1"/>
        <v>0</v>
      </c>
      <c r="P17" s="167">
        <f t="shared" si="1"/>
        <v>0</v>
      </c>
      <c r="Q17" s="167">
        <f t="shared" si="1"/>
        <v>0</v>
      </c>
      <c r="R17" s="167">
        <f t="shared" si="1"/>
        <v>0</v>
      </c>
      <c r="S17" s="167">
        <f t="shared" si="1"/>
        <v>0</v>
      </c>
      <c r="T17" s="167">
        <f t="shared" si="1"/>
        <v>0</v>
      </c>
    </row>
    <row r="19" spans="2:20" x14ac:dyDescent="0.25">
      <c r="B19" s="43" t="s">
        <v>172</v>
      </c>
      <c r="C19" s="43"/>
      <c r="D19" s="165"/>
    </row>
    <row r="20" spans="2:20" x14ac:dyDescent="0.25">
      <c r="B20" s="162" t="s">
        <v>353</v>
      </c>
      <c r="C20" s="162"/>
      <c r="E20" s="146">
        <f>'cost summary'!H20/E89</f>
        <v>2.2999999999999998</v>
      </c>
    </row>
    <row r="21" spans="2:20" x14ac:dyDescent="0.25">
      <c r="B21" s="162" t="s">
        <v>178</v>
      </c>
      <c r="C21" s="162"/>
      <c r="E21" s="146">
        <f>'cost summary'!H21/E89</f>
        <v>1.4858800000000001</v>
      </c>
    </row>
    <row r="22" spans="2:20" x14ac:dyDescent="0.25">
      <c r="B22" s="162" t="s">
        <v>271</v>
      </c>
      <c r="C22" s="162"/>
      <c r="D22" s="166"/>
      <c r="E22" s="146">
        <f>'cost summary'!H22/E89</f>
        <v>8.9957118660499997</v>
      </c>
    </row>
    <row r="23" spans="2:20" x14ac:dyDescent="0.25">
      <c r="B23" s="162" t="s">
        <v>222</v>
      </c>
      <c r="C23" s="162"/>
      <c r="D23" s="166"/>
      <c r="E23" s="146">
        <f>'cost summary'!H23/E89</f>
        <v>8.9957118660499997</v>
      </c>
    </row>
    <row r="24" spans="2:20" x14ac:dyDescent="0.25">
      <c r="B24" s="162" t="s">
        <v>176</v>
      </c>
      <c r="C24" s="162"/>
      <c r="D24" s="170"/>
      <c r="E24" s="146">
        <f>'cost summary'!H24/E89</f>
        <v>13.839556717000001</v>
      </c>
      <c r="F24" s="171"/>
      <c r="G24" s="171"/>
      <c r="H24" s="171"/>
      <c r="I24" s="171"/>
      <c r="J24" s="171"/>
      <c r="K24" s="171"/>
      <c r="L24" s="171"/>
      <c r="M24" s="171"/>
      <c r="N24" s="171"/>
      <c r="O24" s="171"/>
      <c r="P24" s="171"/>
      <c r="Q24" s="171"/>
      <c r="R24" s="171"/>
      <c r="S24" s="171"/>
      <c r="T24" s="171"/>
    </row>
    <row r="25" spans="2:20" x14ac:dyDescent="0.25">
      <c r="B25" s="162" t="s">
        <v>223</v>
      </c>
      <c r="C25" s="162"/>
      <c r="D25" s="154">
        <f>'cost summary'!D25</f>
        <v>0</v>
      </c>
      <c r="E25" s="154">
        <f>'cost summary'!E25</f>
        <v>0</v>
      </c>
      <c r="F25" s="154">
        <f>'cost summary'!F25</f>
        <v>0</v>
      </c>
      <c r="G25" s="154">
        <f>'cost summary'!H25</f>
        <v>0</v>
      </c>
      <c r="H25" s="154">
        <f>'cost summary'!I25</f>
        <v>0</v>
      </c>
      <c r="I25" s="154">
        <f>'cost summary'!J25</f>
        <v>0</v>
      </c>
      <c r="J25" s="154">
        <f>'cost summary'!K25</f>
        <v>0</v>
      </c>
      <c r="K25" s="154">
        <f>'cost summary'!L25</f>
        <v>0</v>
      </c>
      <c r="L25" s="154">
        <f>'cost summary'!M25</f>
        <v>0</v>
      </c>
      <c r="M25" s="154">
        <f>'cost summary'!N25</f>
        <v>0</v>
      </c>
      <c r="N25" s="154">
        <f>'cost summary'!O25</f>
        <v>0</v>
      </c>
      <c r="O25" s="154">
        <f>'cost summary'!P25</f>
        <v>0</v>
      </c>
      <c r="P25" s="154">
        <f>'cost summary'!Q25</f>
        <v>0</v>
      </c>
      <c r="Q25" s="154">
        <f>'cost summary'!R25</f>
        <v>0</v>
      </c>
      <c r="R25" s="154">
        <f>'cost summary'!S25</f>
        <v>0</v>
      </c>
      <c r="S25" s="154">
        <f>'cost summary'!T25</f>
        <v>0</v>
      </c>
      <c r="T25" s="154">
        <f>'cost summary'!U25</f>
        <v>0</v>
      </c>
    </row>
    <row r="26" spans="2:20" x14ac:dyDescent="0.25">
      <c r="B26" s="43" t="s">
        <v>261</v>
      </c>
      <c r="C26" s="43"/>
      <c r="D26" s="142">
        <f>SUM(D20:D25)</f>
        <v>0</v>
      </c>
      <c r="E26" s="142">
        <f>SUM(E20:E25)</f>
        <v>35.616860449100002</v>
      </c>
      <c r="F26" s="142">
        <f t="shared" ref="F26:T26" si="2">SUM(F20:F25)</f>
        <v>0</v>
      </c>
      <c r="G26" s="142">
        <f t="shared" si="2"/>
        <v>0</v>
      </c>
      <c r="H26" s="142">
        <f t="shared" si="2"/>
        <v>0</v>
      </c>
      <c r="I26" s="142">
        <f t="shared" si="2"/>
        <v>0</v>
      </c>
      <c r="J26" s="142">
        <f t="shared" si="2"/>
        <v>0</v>
      </c>
      <c r="K26" s="142">
        <f t="shared" si="2"/>
        <v>0</v>
      </c>
      <c r="L26" s="142">
        <f t="shared" si="2"/>
        <v>0</v>
      </c>
      <c r="M26" s="142">
        <f t="shared" si="2"/>
        <v>0</v>
      </c>
      <c r="N26" s="142">
        <f t="shared" si="2"/>
        <v>0</v>
      </c>
      <c r="O26" s="142">
        <f t="shared" si="2"/>
        <v>0</v>
      </c>
      <c r="P26" s="142">
        <f t="shared" si="2"/>
        <v>0</v>
      </c>
      <c r="Q26" s="142">
        <f t="shared" si="2"/>
        <v>0</v>
      </c>
      <c r="R26" s="142">
        <f t="shared" si="2"/>
        <v>0</v>
      </c>
      <c r="S26" s="142">
        <f t="shared" si="2"/>
        <v>0</v>
      </c>
      <c r="T26" s="142">
        <f t="shared" si="2"/>
        <v>0</v>
      </c>
    </row>
    <row r="28" spans="2:20" x14ac:dyDescent="0.25">
      <c r="B28" s="43" t="s">
        <v>129</v>
      </c>
      <c r="C28" s="43"/>
    </row>
    <row r="29" spans="2:20" x14ac:dyDescent="0.25">
      <c r="B29" s="43" t="s">
        <v>224</v>
      </c>
      <c r="C29" s="43"/>
      <c r="E29" s="149"/>
    </row>
    <row r="30" spans="2:20" x14ac:dyDescent="0.25">
      <c r="B30" s="162" t="s">
        <v>146</v>
      </c>
      <c r="C30" s="162"/>
      <c r="E30" s="141">
        <f>'cost summary'!H32*E3/E89</f>
        <v>171.011836528</v>
      </c>
      <c r="F30" s="146">
        <f>E30*F3</f>
        <v>177.85230998912002</v>
      </c>
      <c r="G30" s="146">
        <f t="shared" ref="G30:R30" si="3">F30*G3</f>
        <v>184.96640238868483</v>
      </c>
      <c r="H30" s="146">
        <f t="shared" si="3"/>
        <v>192.36505848423224</v>
      </c>
      <c r="I30" s="146">
        <f t="shared" si="3"/>
        <v>200.05966082360152</v>
      </c>
      <c r="J30" s="146">
        <f t="shared" si="3"/>
        <v>208.06204725654558</v>
      </c>
      <c r="K30" s="146">
        <f t="shared" si="3"/>
        <v>216.38452914680741</v>
      </c>
      <c r="L30" s="146">
        <f t="shared" si="3"/>
        <v>225.03991031267972</v>
      </c>
      <c r="M30" s="146">
        <f t="shared" si="3"/>
        <v>234.04150672518691</v>
      </c>
      <c r="N30" s="146">
        <f t="shared" si="3"/>
        <v>243.40316699419438</v>
      </c>
      <c r="O30" s="146">
        <f t="shared" si="3"/>
        <v>253.13929367396216</v>
      </c>
      <c r="P30" s="146">
        <f t="shared" si="3"/>
        <v>263.26486542092067</v>
      </c>
      <c r="Q30" s="146">
        <f t="shared" si="3"/>
        <v>273.79546003775749</v>
      </c>
      <c r="R30" s="146">
        <f t="shared" si="3"/>
        <v>284.7472784392678</v>
      </c>
      <c r="S30" s="146">
        <f>R30*S3-E22*S3</f>
        <v>286.7816292361465</v>
      </c>
      <c r="T30" s="146">
        <v>0</v>
      </c>
    </row>
    <row r="31" spans="2:20" x14ac:dyDescent="0.25">
      <c r="B31" s="162" t="s">
        <v>152</v>
      </c>
      <c r="C31" s="162"/>
      <c r="E31" s="141">
        <f>'cost summary'!H33*E3/E89</f>
        <v>0.9355540340691999</v>
      </c>
      <c r="F31" s="146">
        <f>E31*F3</f>
        <v>0.97297619543196789</v>
      </c>
      <c r="G31" s="146">
        <f t="shared" ref="G31:S31" si="4">F31*G3</f>
        <v>1.0118952432492467</v>
      </c>
      <c r="H31" s="146">
        <f t="shared" si="4"/>
        <v>1.0523710529792167</v>
      </c>
      <c r="I31" s="146">
        <f t="shared" si="4"/>
        <v>1.0944658950983854</v>
      </c>
      <c r="J31" s="146">
        <f t="shared" si="4"/>
        <v>1.1382445309023208</v>
      </c>
      <c r="K31" s="146">
        <f t="shared" si="4"/>
        <v>1.1837743121384137</v>
      </c>
      <c r="L31" s="146">
        <f t="shared" si="4"/>
        <v>1.2311252846239502</v>
      </c>
      <c r="M31" s="146">
        <f t="shared" si="4"/>
        <v>1.2803702960089083</v>
      </c>
      <c r="N31" s="146">
        <f t="shared" si="4"/>
        <v>1.3315851078492646</v>
      </c>
      <c r="O31" s="146">
        <f t="shared" si="4"/>
        <v>1.3848485121632352</v>
      </c>
      <c r="P31" s="146">
        <f t="shared" si="4"/>
        <v>1.4402424526497648</v>
      </c>
      <c r="Q31" s="146">
        <f t="shared" si="4"/>
        <v>1.4978521507557554</v>
      </c>
      <c r="R31" s="146">
        <f t="shared" si="4"/>
        <v>1.5577662367859857</v>
      </c>
      <c r="S31" s="146">
        <f t="shared" si="4"/>
        <v>1.6200768862574251</v>
      </c>
      <c r="T31" s="146">
        <v>0</v>
      </c>
    </row>
    <row r="32" spans="2:20" x14ac:dyDescent="0.25">
      <c r="B32" s="43" t="s">
        <v>153</v>
      </c>
      <c r="C32" s="43"/>
      <c r="D32" s="147">
        <f>'cost summary'!D34</f>
        <v>0</v>
      </c>
      <c r="E32" s="141">
        <f>'cost summary'!H34*E3/E89</f>
        <v>122.8209983788237</v>
      </c>
      <c r="F32" s="154">
        <f>E32*F3</f>
        <v>127.73383831397666</v>
      </c>
      <c r="G32" s="154">
        <f t="shared" ref="G32:S32" si="5">F32*G3</f>
        <v>132.84319184653575</v>
      </c>
      <c r="H32" s="154">
        <f t="shared" si="5"/>
        <v>138.15691952039717</v>
      </c>
      <c r="I32" s="154">
        <f t="shared" si="5"/>
        <v>143.68319630121306</v>
      </c>
      <c r="J32" s="154">
        <f t="shared" si="5"/>
        <v>149.43052415326159</v>
      </c>
      <c r="K32" s="154">
        <f t="shared" si="5"/>
        <v>155.40774511939205</v>
      </c>
      <c r="L32" s="154">
        <f t="shared" si="5"/>
        <v>161.62405492416772</v>
      </c>
      <c r="M32" s="154">
        <f t="shared" si="5"/>
        <v>168.08901712113445</v>
      </c>
      <c r="N32" s="154">
        <f t="shared" si="5"/>
        <v>174.81257780597983</v>
      </c>
      <c r="O32" s="154">
        <f t="shared" si="5"/>
        <v>181.80508091821903</v>
      </c>
      <c r="P32" s="154">
        <f t="shared" si="5"/>
        <v>189.07728415494779</v>
      </c>
      <c r="Q32" s="154">
        <f t="shared" si="5"/>
        <v>196.6403755211457</v>
      </c>
      <c r="R32" s="154">
        <f t="shared" si="5"/>
        <v>204.50599054199154</v>
      </c>
      <c r="S32" s="154">
        <f t="shared" si="5"/>
        <v>212.68623016367121</v>
      </c>
      <c r="T32" s="154">
        <v>0</v>
      </c>
    </row>
    <row r="33" spans="2:21" s="3" customFormat="1" x14ac:dyDescent="0.25">
      <c r="B33" s="43" t="s">
        <v>259</v>
      </c>
      <c r="C33" s="43"/>
      <c r="D33" s="149">
        <f>SUM(D30:D32)</f>
        <v>0</v>
      </c>
      <c r="E33" s="149">
        <f>SUM(E30:E32)</f>
        <v>294.76838894089292</v>
      </c>
      <c r="F33" s="149">
        <f t="shared" ref="F33:T33" si="6">SUM(F30:F32)</f>
        <v>306.5591244985286</v>
      </c>
      <c r="G33" s="149">
        <f t="shared" si="6"/>
        <v>318.82148947846986</v>
      </c>
      <c r="H33" s="149">
        <f t="shared" si="6"/>
        <v>331.57434905760863</v>
      </c>
      <c r="I33" s="149">
        <f t="shared" si="6"/>
        <v>344.83732301991296</v>
      </c>
      <c r="J33" s="149">
        <f t="shared" si="6"/>
        <v>358.63081594070945</v>
      </c>
      <c r="K33" s="149">
        <f t="shared" si="6"/>
        <v>372.9760485783379</v>
      </c>
      <c r="L33" s="149">
        <f t="shared" si="6"/>
        <v>387.89509052147139</v>
      </c>
      <c r="M33" s="149">
        <f t="shared" si="6"/>
        <v>403.41089414233022</v>
      </c>
      <c r="N33" s="149">
        <f t="shared" si="6"/>
        <v>419.54732990802347</v>
      </c>
      <c r="O33" s="149">
        <f t="shared" si="6"/>
        <v>436.32922310434446</v>
      </c>
      <c r="P33" s="149">
        <f t="shared" si="6"/>
        <v>453.78239202851825</v>
      </c>
      <c r="Q33" s="149">
        <f t="shared" si="6"/>
        <v>471.93368770965895</v>
      </c>
      <c r="R33" s="149">
        <f t="shared" si="6"/>
        <v>490.81103521804533</v>
      </c>
      <c r="S33" s="149">
        <f t="shared" si="6"/>
        <v>501.08793628607515</v>
      </c>
      <c r="T33" s="149">
        <f t="shared" si="6"/>
        <v>0</v>
      </c>
    </row>
    <row r="34" spans="2:21" x14ac:dyDescent="0.25">
      <c r="E34" s="141"/>
    </row>
    <row r="35" spans="2:21" x14ac:dyDescent="0.25">
      <c r="B35" s="43" t="s">
        <v>225</v>
      </c>
      <c r="C35" s="43"/>
      <c r="E35" s="149"/>
    </row>
    <row r="36" spans="2:21" x14ac:dyDescent="0.25">
      <c r="B36" s="162" t="s">
        <v>160</v>
      </c>
      <c r="C36" s="162"/>
      <c r="E36" s="146">
        <f>'cost summary'!H38*E4/E89</f>
        <v>9.5354545780129989</v>
      </c>
      <c r="F36" s="146">
        <f>E36*F4</f>
        <v>10.10758185269378</v>
      </c>
      <c r="G36" s="146">
        <f t="shared" ref="G36:S36" si="7">F36*G4</f>
        <v>10.714036763855407</v>
      </c>
      <c r="H36" s="146">
        <f t="shared" si="7"/>
        <v>11.356878969686733</v>
      </c>
      <c r="I36" s="146">
        <f t="shared" si="7"/>
        <v>12.038291707867938</v>
      </c>
      <c r="J36" s="146">
        <f t="shared" si="7"/>
        <v>12.760589210340015</v>
      </c>
      <c r="K36" s="146">
        <f t="shared" si="7"/>
        <v>13.526224562960417</v>
      </c>
      <c r="L36" s="146">
        <f t="shared" si="7"/>
        <v>14.337798036738043</v>
      </c>
      <c r="M36" s="146">
        <f t="shared" si="7"/>
        <v>15.198065918942326</v>
      </c>
      <c r="N36" s="146">
        <f t="shared" si="7"/>
        <v>16.109949874078868</v>
      </c>
      <c r="O36" s="146">
        <f t="shared" si="7"/>
        <v>17.0765468665236</v>
      </c>
      <c r="P36" s="146">
        <f t="shared" si="7"/>
        <v>18.101139678515018</v>
      </c>
      <c r="Q36" s="146">
        <f t="shared" si="7"/>
        <v>19.18720805922592</v>
      </c>
      <c r="R36" s="146">
        <f t="shared" si="7"/>
        <v>20.338440542779477</v>
      </c>
      <c r="S36" s="146">
        <f t="shared" si="7"/>
        <v>21.558746975346246</v>
      </c>
      <c r="T36" s="146"/>
    </row>
    <row r="37" spans="2:21" x14ac:dyDescent="0.25">
      <c r="B37" s="162" t="s">
        <v>161</v>
      </c>
      <c r="C37" s="162"/>
      <c r="E37" s="146">
        <f>'cost summary'!H39*E4/E89</f>
        <v>14.974173317366976</v>
      </c>
      <c r="F37" s="146">
        <f>E37*F4</f>
        <v>15.872623716408995</v>
      </c>
      <c r="G37" s="146">
        <f t="shared" ref="G37:S37" si="8">F37*G4</f>
        <v>16.824981139393536</v>
      </c>
      <c r="H37" s="146">
        <f t="shared" si="8"/>
        <v>17.834480007757151</v>
      </c>
      <c r="I37" s="146">
        <f t="shared" si="8"/>
        <v>18.904548808222582</v>
      </c>
      <c r="J37" s="146">
        <f t="shared" si="8"/>
        <v>20.038821736715938</v>
      </c>
      <c r="K37" s="146">
        <f t="shared" si="8"/>
        <v>21.241151040918897</v>
      </c>
      <c r="L37" s="146">
        <f t="shared" si="8"/>
        <v>22.515620103374033</v>
      </c>
      <c r="M37" s="146">
        <f t="shared" si="8"/>
        <v>23.866557309576475</v>
      </c>
      <c r="N37" s="146">
        <f t="shared" si="8"/>
        <v>25.298550748151065</v>
      </c>
      <c r="O37" s="146">
        <f t="shared" si="8"/>
        <v>26.816463793040132</v>
      </c>
      <c r="P37" s="146">
        <f t="shared" si="8"/>
        <v>28.425451620622542</v>
      </c>
      <c r="Q37" s="146">
        <f t="shared" si="8"/>
        <v>30.130978717859897</v>
      </c>
      <c r="R37" s="146">
        <f t="shared" si="8"/>
        <v>31.938837440931493</v>
      </c>
      <c r="S37" s="146">
        <f t="shared" si="8"/>
        <v>33.855167687387386</v>
      </c>
      <c r="T37" s="146"/>
    </row>
    <row r="38" spans="2:21" x14ac:dyDescent="0.25">
      <c r="B38" s="162" t="s">
        <v>162</v>
      </c>
      <c r="C38" s="162"/>
      <c r="E38" s="146">
        <f>'cost summary'!H40*E4/E89</f>
        <v>2.9948346634733958</v>
      </c>
      <c r="F38" s="146">
        <f>E38*F4</f>
        <v>3.1745247432817996</v>
      </c>
      <c r="G38" s="146">
        <f t="shared" ref="G38:S38" si="9">F38*G4</f>
        <v>3.3649962278787076</v>
      </c>
      <c r="H38" s="146">
        <f t="shared" si="9"/>
        <v>3.5668960015514304</v>
      </c>
      <c r="I38" s="146">
        <f t="shared" si="9"/>
        <v>3.7809097616445162</v>
      </c>
      <c r="J38" s="146">
        <f t="shared" si="9"/>
        <v>4.007764347343187</v>
      </c>
      <c r="K38" s="146">
        <f t="shared" si="9"/>
        <v>4.2482302081837782</v>
      </c>
      <c r="L38" s="146">
        <f t="shared" si="9"/>
        <v>4.5031240206748047</v>
      </c>
      <c r="M38" s="146">
        <f t="shared" si="9"/>
        <v>4.7733114619152932</v>
      </c>
      <c r="N38" s="146">
        <f t="shared" si="9"/>
        <v>5.0597101496302113</v>
      </c>
      <c r="O38" s="146">
        <f t="shared" si="9"/>
        <v>5.3632927586080239</v>
      </c>
      <c r="P38" s="146">
        <f t="shared" si="9"/>
        <v>5.6850903241245057</v>
      </c>
      <c r="Q38" s="146">
        <f t="shared" si="9"/>
        <v>6.026195743571976</v>
      </c>
      <c r="R38" s="146">
        <f t="shared" si="9"/>
        <v>6.3877674881862951</v>
      </c>
      <c r="S38" s="146">
        <f t="shared" si="9"/>
        <v>6.7710335374774733</v>
      </c>
      <c r="T38" s="146"/>
    </row>
    <row r="39" spans="2:21" x14ac:dyDescent="0.25">
      <c r="B39" s="162" t="s">
        <v>163</v>
      </c>
      <c r="C39" s="162"/>
      <c r="E39" s="146">
        <f>'cost summary'!H41*E4/E89</f>
        <v>2.1868859999999999</v>
      </c>
      <c r="F39" s="146">
        <f>E39*F4</f>
        <v>2.31809916</v>
      </c>
      <c r="G39" s="146">
        <f t="shared" ref="G39:S39" si="10">F39*G4</f>
        <v>2.4571851096000001</v>
      </c>
      <c r="H39" s="146">
        <f t="shared" si="10"/>
        <v>2.6046162161760003</v>
      </c>
      <c r="I39" s="146">
        <f t="shared" si="10"/>
        <v>2.7608931891465605</v>
      </c>
      <c r="J39" s="146">
        <f t="shared" si="10"/>
        <v>2.9265467804953542</v>
      </c>
      <c r="K39" s="146">
        <f t="shared" si="10"/>
        <v>3.1021395873250754</v>
      </c>
      <c r="L39" s="146">
        <f t="shared" si="10"/>
        <v>3.2882679625645803</v>
      </c>
      <c r="M39" s="146">
        <f t="shared" si="10"/>
        <v>3.4855640403184553</v>
      </c>
      <c r="N39" s="146">
        <f t="shared" si="10"/>
        <v>3.6946978827375627</v>
      </c>
      <c r="O39" s="146">
        <f t="shared" si="10"/>
        <v>3.9163797557018167</v>
      </c>
      <c r="P39" s="146">
        <f t="shared" si="10"/>
        <v>4.1513625410439259</v>
      </c>
      <c r="Q39" s="146">
        <f t="shared" si="10"/>
        <v>4.4004442935065615</v>
      </c>
      <c r="R39" s="146">
        <f t="shared" si="10"/>
        <v>4.6644709511169555</v>
      </c>
      <c r="S39" s="146">
        <f t="shared" si="10"/>
        <v>4.9443392081839734</v>
      </c>
      <c r="T39" s="146"/>
    </row>
    <row r="40" spans="2:21" x14ac:dyDescent="0.25">
      <c r="B40" s="162" t="s">
        <v>164</v>
      </c>
      <c r="C40" s="162"/>
      <c r="E40" s="146">
        <f>'cost summary'!H42/E89</f>
        <v>7.0632893006447999</v>
      </c>
      <c r="F40" s="146">
        <f>E40*F4</f>
        <v>7.4870866586834879</v>
      </c>
      <c r="G40" s="146">
        <f t="shared" ref="G40:S40" si="11">F40*G4</f>
        <v>7.9363118582044976</v>
      </c>
      <c r="H40" s="146">
        <f t="shared" si="11"/>
        <v>8.412490569696768</v>
      </c>
      <c r="I40" s="146">
        <f t="shared" si="11"/>
        <v>8.9172400038785753</v>
      </c>
      <c r="J40" s="146">
        <f t="shared" si="11"/>
        <v>9.4522744041112912</v>
      </c>
      <c r="K40" s="146">
        <f t="shared" si="11"/>
        <v>10.019410868357969</v>
      </c>
      <c r="L40" s="146">
        <f t="shared" si="11"/>
        <v>10.620575520459449</v>
      </c>
      <c r="M40" s="146">
        <f t="shared" si="11"/>
        <v>11.257810051687017</v>
      </c>
      <c r="N40" s="146">
        <f t="shared" si="11"/>
        <v>11.933278654788237</v>
      </c>
      <c r="O40" s="146">
        <f t="shared" si="11"/>
        <v>12.649275374075533</v>
      </c>
      <c r="P40" s="146">
        <f t="shared" si="11"/>
        <v>13.408231896520066</v>
      </c>
      <c r="Q40" s="146">
        <f t="shared" si="11"/>
        <v>14.212725810311271</v>
      </c>
      <c r="R40" s="146">
        <f t="shared" si="11"/>
        <v>15.065489358929948</v>
      </c>
      <c r="S40" s="146">
        <f t="shared" si="11"/>
        <v>15.969418720465747</v>
      </c>
      <c r="T40" s="146"/>
    </row>
    <row r="41" spans="2:21" x14ac:dyDescent="0.25">
      <c r="B41" s="162" t="s">
        <v>226</v>
      </c>
      <c r="C41" s="162"/>
      <c r="E41" s="146">
        <v>0</v>
      </c>
      <c r="F41" s="146"/>
      <c r="G41" s="146"/>
      <c r="H41" s="146"/>
      <c r="I41" s="146"/>
      <c r="J41" s="146"/>
      <c r="K41" s="146"/>
      <c r="L41" s="146"/>
      <c r="M41" s="146"/>
      <c r="N41" s="146"/>
      <c r="O41" s="146"/>
      <c r="P41" s="146"/>
      <c r="Q41" s="146"/>
      <c r="R41" s="146"/>
      <c r="S41" s="146"/>
      <c r="T41" s="146"/>
    </row>
    <row r="42" spans="2:21" x14ac:dyDescent="0.25">
      <c r="B42" s="162" t="s">
        <v>227</v>
      </c>
      <c r="C42" s="162"/>
      <c r="E42" s="146">
        <v>0</v>
      </c>
    </row>
    <row r="43" spans="2:21" x14ac:dyDescent="0.25">
      <c r="B43" s="162" t="s">
        <v>230</v>
      </c>
      <c r="C43" s="162"/>
      <c r="E43" s="146">
        <v>0</v>
      </c>
      <c r="F43" s="146">
        <f>'cost summary'!H45/E89</f>
        <v>0.23247999999999999</v>
      </c>
      <c r="G43" s="146">
        <f>F43</f>
        <v>0.23247999999999999</v>
      </c>
      <c r="H43" s="146">
        <f t="shared" ref="H43:T43" si="12">G43</f>
        <v>0.23247999999999999</v>
      </c>
      <c r="I43" s="146">
        <f t="shared" si="12"/>
        <v>0.23247999999999999</v>
      </c>
      <c r="J43" s="146">
        <f t="shared" si="12"/>
        <v>0.23247999999999999</v>
      </c>
      <c r="K43" s="146">
        <f t="shared" si="12"/>
        <v>0.23247999999999999</v>
      </c>
      <c r="L43" s="146">
        <f t="shared" si="12"/>
        <v>0.23247999999999999</v>
      </c>
      <c r="M43" s="146">
        <f t="shared" si="12"/>
        <v>0.23247999999999999</v>
      </c>
      <c r="N43" s="146">
        <f t="shared" si="12"/>
        <v>0.23247999999999999</v>
      </c>
      <c r="O43" s="146">
        <f t="shared" si="12"/>
        <v>0.23247999999999999</v>
      </c>
      <c r="P43" s="146">
        <f t="shared" si="12"/>
        <v>0.23247999999999999</v>
      </c>
      <c r="Q43" s="146">
        <f t="shared" si="12"/>
        <v>0.23247999999999999</v>
      </c>
      <c r="R43" s="146">
        <f t="shared" si="12"/>
        <v>0.23247999999999999</v>
      </c>
      <c r="S43" s="146">
        <f t="shared" si="12"/>
        <v>0.23247999999999999</v>
      </c>
      <c r="T43" s="146">
        <f t="shared" si="12"/>
        <v>0.23247999999999999</v>
      </c>
    </row>
    <row r="44" spans="2:21" x14ac:dyDescent="0.25">
      <c r="B44" s="162" t="s">
        <v>231</v>
      </c>
      <c r="C44" s="162"/>
      <c r="E44" s="154">
        <f>'cost summary'!E46</f>
        <v>0</v>
      </c>
      <c r="F44" s="117"/>
      <c r="G44" s="117"/>
      <c r="H44" s="117"/>
      <c r="I44" s="117"/>
      <c r="J44" s="117"/>
      <c r="K44" s="117"/>
      <c r="L44" s="117"/>
      <c r="M44" s="117"/>
      <c r="N44" s="117"/>
      <c r="O44" s="117"/>
      <c r="P44" s="117"/>
      <c r="Q44" s="117"/>
      <c r="R44" s="117"/>
      <c r="S44" s="117"/>
      <c r="T44" s="117"/>
    </row>
    <row r="45" spans="2:21" s="3" customFormat="1" x14ac:dyDescent="0.25">
      <c r="B45" s="43" t="s">
        <v>229</v>
      </c>
      <c r="C45" s="43"/>
      <c r="D45" s="142">
        <f>SUM(D36:D44)</f>
        <v>0</v>
      </c>
      <c r="E45" s="142">
        <f>SUM(E36:E44)</f>
        <v>36.754637859498168</v>
      </c>
      <c r="F45" s="142">
        <f t="shared" ref="F45:T45" si="13">SUM(F36:F44)</f>
        <v>39.192396131068065</v>
      </c>
      <c r="G45" s="142">
        <f t="shared" si="13"/>
        <v>41.52999109893215</v>
      </c>
      <c r="H45" s="142">
        <f t="shared" si="13"/>
        <v>44.007841764868083</v>
      </c>
      <c r="I45" s="142">
        <f t="shared" si="13"/>
        <v>46.634363470760171</v>
      </c>
      <c r="J45" s="142">
        <f t="shared" si="13"/>
        <v>49.418476479005797</v>
      </c>
      <c r="K45" s="142">
        <f t="shared" si="13"/>
        <v>52.369636267746138</v>
      </c>
      <c r="L45" s="142">
        <f t="shared" si="13"/>
        <v>55.497865643810911</v>
      </c>
      <c r="M45" s="142">
        <f t="shared" si="13"/>
        <v>58.813788782439566</v>
      </c>
      <c r="N45" s="142">
        <f t="shared" si="13"/>
        <v>62.328667309385956</v>
      </c>
      <c r="O45" s="142">
        <f t="shared" si="13"/>
        <v>66.054438547949104</v>
      </c>
      <c r="P45" s="142">
        <f t="shared" si="13"/>
        <v>70.003756060826049</v>
      </c>
      <c r="Q45" s="142">
        <f t="shared" si="13"/>
        <v>74.19003262447562</v>
      </c>
      <c r="R45" s="142">
        <f t="shared" si="13"/>
        <v>78.627485781944173</v>
      </c>
      <c r="S45" s="142">
        <f t="shared" si="13"/>
        <v>83.331186128860807</v>
      </c>
      <c r="T45" s="142">
        <f t="shared" si="13"/>
        <v>0.23247999999999999</v>
      </c>
      <c r="U45" s="142"/>
    </row>
    <row r="46" spans="2:21" s="3" customFormat="1" x14ac:dyDescent="0.25">
      <c r="B46" s="43"/>
      <c r="C46" s="43"/>
      <c r="D46" s="142"/>
      <c r="E46" s="142"/>
      <c r="F46" s="142"/>
      <c r="G46" s="142"/>
      <c r="H46" s="142"/>
      <c r="I46" s="142"/>
      <c r="J46" s="142"/>
      <c r="K46" s="142"/>
      <c r="L46" s="142"/>
      <c r="M46" s="142"/>
      <c r="N46" s="142"/>
      <c r="O46" s="142"/>
      <c r="P46" s="142"/>
      <c r="Q46" s="142"/>
      <c r="R46" s="142"/>
      <c r="S46" s="142"/>
      <c r="T46" s="142"/>
      <c r="U46" s="142"/>
    </row>
    <row r="47" spans="2:21" s="3" customFormat="1" x14ac:dyDescent="0.25">
      <c r="B47" s="43" t="s">
        <v>232</v>
      </c>
      <c r="C47" s="43"/>
      <c r="D47" s="156">
        <f>D33+D45</f>
        <v>0</v>
      </c>
      <c r="E47" s="156">
        <f>E33+E45</f>
        <v>331.52302680039111</v>
      </c>
      <c r="F47" s="156">
        <f t="shared" ref="F47:T47" si="14">F33+F45</f>
        <v>345.75152062959665</v>
      </c>
      <c r="G47" s="156">
        <f t="shared" si="14"/>
        <v>360.35148057740201</v>
      </c>
      <c r="H47" s="156">
        <f t="shared" si="14"/>
        <v>375.58219082247672</v>
      </c>
      <c r="I47" s="156">
        <f t="shared" si="14"/>
        <v>391.47168649067311</v>
      </c>
      <c r="J47" s="156">
        <f t="shared" si="14"/>
        <v>408.04929241971524</v>
      </c>
      <c r="K47" s="156">
        <f t="shared" si="14"/>
        <v>425.34568484608405</v>
      </c>
      <c r="L47" s="156">
        <f t="shared" si="14"/>
        <v>443.39295616528227</v>
      </c>
      <c r="M47" s="156">
        <f t="shared" si="14"/>
        <v>462.22468292476981</v>
      </c>
      <c r="N47" s="156">
        <f t="shared" si="14"/>
        <v>481.87599721740941</v>
      </c>
      <c r="O47" s="156">
        <f t="shared" si="14"/>
        <v>502.38366165229354</v>
      </c>
      <c r="P47" s="156">
        <f t="shared" si="14"/>
        <v>523.78614808934435</v>
      </c>
      <c r="Q47" s="156">
        <f t="shared" si="14"/>
        <v>546.12372033413453</v>
      </c>
      <c r="R47" s="156">
        <f t="shared" si="14"/>
        <v>569.43852099998946</v>
      </c>
      <c r="S47" s="156">
        <f t="shared" si="14"/>
        <v>584.41912241493594</v>
      </c>
      <c r="T47" s="156">
        <f t="shared" si="14"/>
        <v>0.23247999999999999</v>
      </c>
      <c r="U47" s="156"/>
    </row>
    <row r="48" spans="2:21" x14ac:dyDescent="0.25">
      <c r="B48" s="43"/>
      <c r="C48" s="43"/>
    </row>
    <row r="49" spans="1:20" ht="18.75" x14ac:dyDescent="0.3">
      <c r="B49" s="163" t="s">
        <v>234</v>
      </c>
      <c r="C49" s="163"/>
      <c r="E49" s="149"/>
    </row>
    <row r="50" spans="1:20" x14ac:dyDescent="0.25">
      <c r="B50" s="162" t="s">
        <v>169</v>
      </c>
      <c r="C50" s="162"/>
      <c r="E50" s="146">
        <f>'cost summary'!H52*E3/E89</f>
        <v>8.8430516682267868</v>
      </c>
      <c r="F50" s="146">
        <f>E50*$F$3</f>
        <v>9.1967737349558583</v>
      </c>
      <c r="G50" s="146">
        <f t="shared" ref="G50:S50" si="15">F50*$F$3</f>
        <v>9.5646446843540929</v>
      </c>
      <c r="H50" s="146">
        <f t="shared" si="15"/>
        <v>9.9472304717282576</v>
      </c>
      <c r="I50" s="146">
        <f t="shared" si="15"/>
        <v>10.345119690597388</v>
      </c>
      <c r="J50" s="146">
        <f t="shared" si="15"/>
        <v>10.758924478221283</v>
      </c>
      <c r="K50" s="146">
        <f t="shared" si="15"/>
        <v>11.189281457350136</v>
      </c>
      <c r="L50" s="146">
        <f t="shared" si="15"/>
        <v>11.636852715644142</v>
      </c>
      <c r="M50" s="146">
        <f t="shared" si="15"/>
        <v>12.102326824269909</v>
      </c>
      <c r="N50" s="146">
        <f t="shared" si="15"/>
        <v>12.586419897240706</v>
      </c>
      <c r="O50" s="146">
        <f t="shared" si="15"/>
        <v>13.089876693130334</v>
      </c>
      <c r="P50" s="146">
        <f t="shared" si="15"/>
        <v>13.613471760855548</v>
      </c>
      <c r="Q50" s="146">
        <f t="shared" si="15"/>
        <v>14.15801063128977</v>
      </c>
      <c r="R50" s="146">
        <f t="shared" si="15"/>
        <v>14.724331056541361</v>
      </c>
      <c r="S50" s="146">
        <f t="shared" si="15"/>
        <v>15.313304298803017</v>
      </c>
    </row>
    <row r="51" spans="1:20" x14ac:dyDescent="0.25">
      <c r="B51" s="162" t="s">
        <v>166</v>
      </c>
      <c r="C51" s="162"/>
      <c r="E51" s="146">
        <f>'cost summary'!H53*E3/E89</f>
        <v>3.7422161362767996</v>
      </c>
      <c r="F51" s="146">
        <f t="shared" ref="F51:S53" si="16">E51*$F$3</f>
        <v>3.8919047817278716</v>
      </c>
      <c r="G51" s="146">
        <f t="shared" si="16"/>
        <v>4.0475809729969869</v>
      </c>
      <c r="H51" s="146">
        <f t="shared" si="16"/>
        <v>4.2094842119168669</v>
      </c>
      <c r="I51" s="146">
        <f t="shared" si="16"/>
        <v>4.3778635803935417</v>
      </c>
      <c r="J51" s="146">
        <f t="shared" si="16"/>
        <v>4.5529781236092832</v>
      </c>
      <c r="K51" s="146">
        <f t="shared" si="16"/>
        <v>4.7350972485536547</v>
      </c>
      <c r="L51" s="146">
        <f t="shared" si="16"/>
        <v>4.9245011384958008</v>
      </c>
      <c r="M51" s="146">
        <f t="shared" si="16"/>
        <v>5.1214811840356331</v>
      </c>
      <c r="N51" s="146">
        <f t="shared" si="16"/>
        <v>5.3263404313970586</v>
      </c>
      <c r="O51" s="146">
        <f t="shared" si="16"/>
        <v>5.5393940486529409</v>
      </c>
      <c r="P51" s="146">
        <f t="shared" si="16"/>
        <v>5.7609698105990592</v>
      </c>
      <c r="Q51" s="146">
        <f t="shared" si="16"/>
        <v>5.9914086030230216</v>
      </c>
      <c r="R51" s="146">
        <f t="shared" si="16"/>
        <v>6.2310649471439428</v>
      </c>
      <c r="S51" s="146">
        <f t="shared" si="16"/>
        <v>6.4803075450297003</v>
      </c>
    </row>
    <row r="52" spans="1:20" x14ac:dyDescent="0.25">
      <c r="B52" s="162" t="s">
        <v>343</v>
      </c>
      <c r="C52" s="162"/>
      <c r="E52" s="146">
        <f>'cost summary'!H54*E3/E89</f>
        <v>1.2996443200000001</v>
      </c>
      <c r="F52" s="146">
        <f t="shared" si="16"/>
        <v>1.3516300928</v>
      </c>
      <c r="G52" s="146">
        <f t="shared" si="16"/>
        <v>1.405695296512</v>
      </c>
      <c r="H52" s="146">
        <f t="shared" si="16"/>
        <v>1.46192310837248</v>
      </c>
      <c r="I52" s="146">
        <f t="shared" si="16"/>
        <v>1.5204000327073792</v>
      </c>
      <c r="J52" s="146">
        <f t="shared" si="16"/>
        <v>1.5812160340156745</v>
      </c>
      <c r="K52" s="146">
        <f t="shared" si="16"/>
        <v>1.6444646753763015</v>
      </c>
      <c r="L52" s="146">
        <f t="shared" si="16"/>
        <v>1.7102432623913535</v>
      </c>
      <c r="M52" s="146">
        <f t="shared" si="16"/>
        <v>1.7786529928870076</v>
      </c>
      <c r="N52" s="146">
        <f t="shared" si="16"/>
        <v>1.849799112602488</v>
      </c>
      <c r="O52" s="146">
        <f t="shared" si="16"/>
        <v>1.9237910771065876</v>
      </c>
      <c r="P52" s="146">
        <f t="shared" si="16"/>
        <v>2.0007427201908512</v>
      </c>
      <c r="Q52" s="146">
        <f t="shared" si="16"/>
        <v>2.0807724289984852</v>
      </c>
      <c r="R52" s="146">
        <f t="shared" si="16"/>
        <v>2.1640033261584248</v>
      </c>
      <c r="S52" s="146">
        <f t="shared" si="16"/>
        <v>2.2505634592047619</v>
      </c>
    </row>
    <row r="53" spans="1:20" x14ac:dyDescent="0.25">
      <c r="B53" s="162" t="s">
        <v>170</v>
      </c>
      <c r="C53" s="162"/>
      <c r="E53" s="146">
        <f>'cost summary'!H55*E3/E89</f>
        <v>8.8430516682267868</v>
      </c>
      <c r="F53" s="146">
        <f t="shared" si="16"/>
        <v>9.1967737349558583</v>
      </c>
      <c r="G53" s="146">
        <f t="shared" si="16"/>
        <v>9.5646446843540929</v>
      </c>
      <c r="H53" s="146">
        <f t="shared" si="16"/>
        <v>9.9472304717282576</v>
      </c>
      <c r="I53" s="146">
        <f t="shared" si="16"/>
        <v>10.345119690597388</v>
      </c>
      <c r="J53" s="146">
        <f t="shared" si="16"/>
        <v>10.758924478221283</v>
      </c>
      <c r="K53" s="146">
        <f t="shared" si="16"/>
        <v>11.189281457350136</v>
      </c>
      <c r="L53" s="146">
        <f t="shared" si="16"/>
        <v>11.636852715644142</v>
      </c>
      <c r="M53" s="146">
        <f t="shared" si="16"/>
        <v>12.102326824269909</v>
      </c>
      <c r="N53" s="146">
        <f t="shared" si="16"/>
        <v>12.586419897240706</v>
      </c>
      <c r="O53" s="146">
        <f t="shared" si="16"/>
        <v>13.089876693130334</v>
      </c>
      <c r="P53" s="146">
        <f t="shared" si="16"/>
        <v>13.613471760855548</v>
      </c>
      <c r="Q53" s="146">
        <f t="shared" si="16"/>
        <v>14.15801063128977</v>
      </c>
      <c r="R53" s="146">
        <f t="shared" si="16"/>
        <v>14.724331056541361</v>
      </c>
      <c r="S53" s="146">
        <f t="shared" si="16"/>
        <v>15.313304298803017</v>
      </c>
    </row>
    <row r="54" spans="1:20" x14ac:dyDescent="0.25">
      <c r="B54" s="162" t="s">
        <v>171</v>
      </c>
      <c r="C54" s="162"/>
      <c r="E54" s="155">
        <f>'cost summary'!E56*E3</f>
        <v>0</v>
      </c>
      <c r="F54" s="146">
        <f t="shared" ref="F54" si="17">E54*$F$3</f>
        <v>0</v>
      </c>
      <c r="G54" s="146">
        <f t="shared" ref="G54" si="18">F54*$G$3</f>
        <v>0</v>
      </c>
      <c r="H54" s="146">
        <f t="shared" ref="H54" si="19">G54*$H$3</f>
        <v>0</v>
      </c>
      <c r="I54" s="146">
        <f t="shared" ref="I54" si="20">H54*$I$3</f>
        <v>0</v>
      </c>
      <c r="J54" s="146">
        <f t="shared" ref="J54" si="21">I54*$J$3</f>
        <v>0</v>
      </c>
      <c r="K54" s="146">
        <f t="shared" ref="K54" si="22">J54*$K$3</f>
        <v>0</v>
      </c>
      <c r="L54" s="146">
        <f t="shared" ref="L54" si="23">K54*$L$3</f>
        <v>0</v>
      </c>
      <c r="M54" s="146">
        <f t="shared" ref="M54" si="24">L54*$M$3</f>
        <v>0</v>
      </c>
      <c r="N54" s="146">
        <f t="shared" ref="N54" si="25">M54*$N$3</f>
        <v>0</v>
      </c>
      <c r="O54" s="146">
        <f t="shared" ref="O54" si="26">N54*$O$3</f>
        <v>0</v>
      </c>
      <c r="P54" s="146">
        <f t="shared" ref="P54" si="27">O54*$P$3</f>
        <v>0</v>
      </c>
      <c r="Q54" s="146">
        <f t="shared" ref="Q54" si="28">P54*$Q$3</f>
        <v>0</v>
      </c>
      <c r="R54" s="146">
        <f t="shared" ref="R54" si="29">Q54*$R$3</f>
        <v>0</v>
      </c>
      <c r="S54" s="146">
        <f t="shared" ref="S54" si="30">R54*$S$3</f>
        <v>0</v>
      </c>
    </row>
    <row r="55" spans="1:20" s="3" customFormat="1" x14ac:dyDescent="0.25">
      <c r="B55" s="43" t="s">
        <v>233</v>
      </c>
      <c r="C55" s="43"/>
      <c r="D55" s="156">
        <f>SUM(D50:D54)</f>
        <v>0</v>
      </c>
      <c r="E55" s="156">
        <f>SUM(E50:E54)</f>
        <v>22.727963792730375</v>
      </c>
      <c r="F55" s="156">
        <f t="shared" ref="F55:T55" si="31">SUM(F50:F54)</f>
        <v>23.637082344439591</v>
      </c>
      <c r="G55" s="156">
        <f t="shared" si="31"/>
        <v>24.582565638217172</v>
      </c>
      <c r="H55" s="156">
        <f t="shared" si="31"/>
        <v>25.565868263745863</v>
      </c>
      <c r="I55" s="156">
        <f t="shared" si="31"/>
        <v>26.588502994295695</v>
      </c>
      <c r="J55" s="156">
        <f t="shared" si="31"/>
        <v>27.652043114067524</v>
      </c>
      <c r="K55" s="156">
        <f t="shared" si="31"/>
        <v>28.758124838630231</v>
      </c>
      <c r="L55" s="156">
        <f t="shared" si="31"/>
        <v>29.908449832175442</v>
      </c>
      <c r="M55" s="156">
        <f t="shared" si="31"/>
        <v>31.104787825462459</v>
      </c>
      <c r="N55" s="156">
        <f t="shared" si="31"/>
        <v>32.348979338480959</v>
      </c>
      <c r="O55" s="156">
        <f t="shared" si="31"/>
        <v>33.642938512020194</v>
      </c>
      <c r="P55" s="156">
        <f t="shared" si="31"/>
        <v>34.988656052501007</v>
      </c>
      <c r="Q55" s="156">
        <f t="shared" si="31"/>
        <v>36.388202294601044</v>
      </c>
      <c r="R55" s="156">
        <f t="shared" si="31"/>
        <v>37.84373038638509</v>
      </c>
      <c r="S55" s="156">
        <f t="shared" si="31"/>
        <v>39.357479601840495</v>
      </c>
      <c r="T55" s="156">
        <f t="shared" si="31"/>
        <v>0</v>
      </c>
    </row>
    <row r="56" spans="1:20" x14ac:dyDescent="0.25">
      <c r="B56" s="43" t="s">
        <v>258</v>
      </c>
      <c r="C56" s="43"/>
      <c r="D56" s="167">
        <f>D55+D47</f>
        <v>0</v>
      </c>
      <c r="E56" s="167">
        <f>E55+E47</f>
        <v>354.25099059312146</v>
      </c>
      <c r="F56" s="167">
        <f t="shared" ref="F56:T56" si="32">F55+F47</f>
        <v>369.38860297403625</v>
      </c>
      <c r="G56" s="167">
        <f t="shared" si="32"/>
        <v>384.93404621561916</v>
      </c>
      <c r="H56" s="167">
        <f t="shared" si="32"/>
        <v>401.14805908622259</v>
      </c>
      <c r="I56" s="167">
        <f t="shared" si="32"/>
        <v>418.06018948496882</v>
      </c>
      <c r="J56" s="167">
        <f t="shared" si="32"/>
        <v>435.70133553378275</v>
      </c>
      <c r="K56" s="167">
        <f t="shared" si="32"/>
        <v>454.10380968471429</v>
      </c>
      <c r="L56" s="167">
        <f t="shared" si="32"/>
        <v>473.30140599745772</v>
      </c>
      <c r="M56" s="167">
        <f t="shared" si="32"/>
        <v>493.32947075023225</v>
      </c>
      <c r="N56" s="167">
        <f t="shared" si="32"/>
        <v>514.22497655589041</v>
      </c>
      <c r="O56" s="167">
        <f t="shared" si="32"/>
        <v>536.02660016431378</v>
      </c>
      <c r="P56" s="167">
        <f t="shared" si="32"/>
        <v>558.77480414184538</v>
      </c>
      <c r="Q56" s="167">
        <f t="shared" si="32"/>
        <v>582.51192262873553</v>
      </c>
      <c r="R56" s="167">
        <f t="shared" si="32"/>
        <v>607.28225138637458</v>
      </c>
      <c r="S56" s="167">
        <f t="shared" si="32"/>
        <v>623.77660201677645</v>
      </c>
      <c r="T56" s="167">
        <f t="shared" si="32"/>
        <v>0.23247999999999999</v>
      </c>
    </row>
    <row r="58" spans="1:20" s="3" customFormat="1" x14ac:dyDescent="0.25">
      <c r="B58" s="43" t="s">
        <v>262</v>
      </c>
      <c r="C58" s="43"/>
      <c r="D58" s="156">
        <f>D17+D26+D56</f>
        <v>179.914237321</v>
      </c>
      <c r="E58" s="156">
        <f>E17+E26+E56</f>
        <v>389.86785104222145</v>
      </c>
      <c r="F58" s="156">
        <f t="shared" ref="F58:T58" si="33">F17+F26+F56</f>
        <v>369.38860297403625</v>
      </c>
      <c r="G58" s="156">
        <f t="shared" si="33"/>
        <v>384.93404621561916</v>
      </c>
      <c r="H58" s="156">
        <f t="shared" si="33"/>
        <v>401.14805908622259</v>
      </c>
      <c r="I58" s="156">
        <f t="shared" si="33"/>
        <v>418.06018948496882</v>
      </c>
      <c r="J58" s="156">
        <f t="shared" si="33"/>
        <v>435.70133553378275</v>
      </c>
      <c r="K58" s="156">
        <f t="shared" si="33"/>
        <v>454.10380968471429</v>
      </c>
      <c r="L58" s="156">
        <f t="shared" si="33"/>
        <v>473.30140599745772</v>
      </c>
      <c r="M58" s="156">
        <f t="shared" si="33"/>
        <v>493.32947075023225</v>
      </c>
      <c r="N58" s="156">
        <f t="shared" si="33"/>
        <v>514.22497655589041</v>
      </c>
      <c r="O58" s="156">
        <f t="shared" si="33"/>
        <v>536.02660016431378</v>
      </c>
      <c r="P58" s="156">
        <f t="shared" si="33"/>
        <v>558.77480414184538</v>
      </c>
      <c r="Q58" s="156">
        <f t="shared" si="33"/>
        <v>582.51192262873553</v>
      </c>
      <c r="R58" s="156">
        <f t="shared" si="33"/>
        <v>607.28225138637458</v>
      </c>
      <c r="S58" s="156">
        <f t="shared" si="33"/>
        <v>623.77660201677645</v>
      </c>
      <c r="T58" s="156">
        <f t="shared" si="33"/>
        <v>0.23247999999999999</v>
      </c>
    </row>
    <row r="60" spans="1:20" x14ac:dyDescent="0.25">
      <c r="A60" s="3" t="s">
        <v>263</v>
      </c>
    </row>
    <row r="61" spans="1:20" x14ac:dyDescent="0.25">
      <c r="B61" s="162" t="str">
        <f>sales!B4</f>
        <v>BUTANOL</v>
      </c>
      <c r="C61" s="162"/>
      <c r="E61" s="146">
        <f>sales!C4*E5/E89</f>
        <v>107.1</v>
      </c>
      <c r="F61" s="146">
        <f>E61*F5</f>
        <v>112.455</v>
      </c>
      <c r="G61" s="146">
        <f t="shared" ref="G61:S61" si="34">F61*G5</f>
        <v>118.07775000000001</v>
      </c>
      <c r="H61" s="146">
        <f t="shared" si="34"/>
        <v>123.98163750000002</v>
      </c>
      <c r="I61" s="146">
        <f t="shared" si="34"/>
        <v>130.18071937500002</v>
      </c>
      <c r="J61" s="146">
        <f t="shared" si="34"/>
        <v>136.68975534375002</v>
      </c>
      <c r="K61" s="146">
        <f t="shared" si="34"/>
        <v>143.52424311093753</v>
      </c>
      <c r="L61" s="146">
        <f t="shared" si="34"/>
        <v>150.70045526648443</v>
      </c>
      <c r="M61" s="146">
        <f t="shared" si="34"/>
        <v>158.23547802980866</v>
      </c>
      <c r="N61" s="146">
        <f t="shared" si="34"/>
        <v>166.14725193129911</v>
      </c>
      <c r="O61" s="146">
        <f t="shared" si="34"/>
        <v>174.45461452786407</v>
      </c>
      <c r="P61" s="146">
        <f t="shared" si="34"/>
        <v>183.17734525425729</v>
      </c>
      <c r="Q61" s="146">
        <f t="shared" si="34"/>
        <v>192.33621251697016</v>
      </c>
      <c r="R61" s="146">
        <f t="shared" si="34"/>
        <v>201.95302314281869</v>
      </c>
      <c r="S61" s="146">
        <f t="shared" si="34"/>
        <v>212.05067429995964</v>
      </c>
      <c r="T61" s="146"/>
    </row>
    <row r="62" spans="1:20" x14ac:dyDescent="0.25">
      <c r="B62" s="162" t="str">
        <f>sales!B5</f>
        <v>ETHANOL</v>
      </c>
      <c r="C62" s="162"/>
      <c r="E62" s="146">
        <f>sales!C5*E5/E89</f>
        <v>8.41995</v>
      </c>
      <c r="F62" s="146">
        <f>E62*F5</f>
        <v>8.8409475000000004</v>
      </c>
      <c r="G62" s="146">
        <f t="shared" ref="G62:S62" si="35">F62*G5</f>
        <v>9.282994875</v>
      </c>
      <c r="H62" s="146">
        <f t="shared" si="35"/>
        <v>9.747144618750001</v>
      </c>
      <c r="I62" s="146">
        <f t="shared" si="35"/>
        <v>10.234501849687501</v>
      </c>
      <c r="J62" s="146">
        <f t="shared" si="35"/>
        <v>10.746226942171877</v>
      </c>
      <c r="K62" s="146">
        <f t="shared" si="35"/>
        <v>11.283538289280472</v>
      </c>
      <c r="L62" s="146">
        <f t="shared" si="35"/>
        <v>11.847715203744496</v>
      </c>
      <c r="M62" s="146">
        <f t="shared" si="35"/>
        <v>12.440100963931721</v>
      </c>
      <c r="N62" s="146">
        <f t="shared" si="35"/>
        <v>13.062106012128307</v>
      </c>
      <c r="O62" s="146">
        <f t="shared" si="35"/>
        <v>13.715211312734723</v>
      </c>
      <c r="P62" s="146">
        <f t="shared" si="35"/>
        <v>14.400971878371461</v>
      </c>
      <c r="Q62" s="146">
        <f t="shared" si="35"/>
        <v>15.121020472290034</v>
      </c>
      <c r="R62" s="146">
        <f t="shared" si="35"/>
        <v>15.877071495904536</v>
      </c>
      <c r="S62" s="146">
        <f t="shared" si="35"/>
        <v>16.670925070699763</v>
      </c>
      <c r="T62" s="146"/>
    </row>
    <row r="63" spans="1:20" x14ac:dyDescent="0.25">
      <c r="B63" s="162" t="str">
        <f>sales!B6</f>
        <v>ACETONE</v>
      </c>
      <c r="C63" s="162"/>
      <c r="E63" s="146">
        <f>sales!C6*E5/E89</f>
        <v>14.84784</v>
      </c>
      <c r="F63" s="146">
        <f>E63</f>
        <v>14.84784</v>
      </c>
      <c r="G63" s="146">
        <f t="shared" ref="G63:S63" si="36">F63</f>
        <v>14.84784</v>
      </c>
      <c r="H63" s="146">
        <f t="shared" si="36"/>
        <v>14.84784</v>
      </c>
      <c r="I63" s="146">
        <f t="shared" si="36"/>
        <v>14.84784</v>
      </c>
      <c r="J63" s="146">
        <f t="shared" si="36"/>
        <v>14.84784</v>
      </c>
      <c r="K63" s="146">
        <f t="shared" si="36"/>
        <v>14.84784</v>
      </c>
      <c r="L63" s="146">
        <f t="shared" si="36"/>
        <v>14.84784</v>
      </c>
      <c r="M63" s="146">
        <f t="shared" si="36"/>
        <v>14.84784</v>
      </c>
      <c r="N63" s="146">
        <f t="shared" si="36"/>
        <v>14.84784</v>
      </c>
      <c r="O63" s="146">
        <f t="shared" si="36"/>
        <v>14.84784</v>
      </c>
      <c r="P63" s="146">
        <f t="shared" si="36"/>
        <v>14.84784</v>
      </c>
      <c r="Q63" s="146">
        <f t="shared" si="36"/>
        <v>14.84784</v>
      </c>
      <c r="R63" s="146">
        <f t="shared" si="36"/>
        <v>14.84784</v>
      </c>
      <c r="S63" s="146">
        <f t="shared" si="36"/>
        <v>14.84784</v>
      </c>
      <c r="T63" s="146"/>
    </row>
    <row r="64" spans="1:20" x14ac:dyDescent="0.25">
      <c r="B64" s="162" t="str">
        <f>sales!B7</f>
        <v>HYDROGEN</v>
      </c>
      <c r="C64" s="162"/>
      <c r="D64" s="178"/>
      <c r="E64" s="155">
        <f>sales!C7*E5/E89</f>
        <v>0.84630000000000005</v>
      </c>
      <c r="F64" s="146">
        <f>E64*F5</f>
        <v>0.88861500000000004</v>
      </c>
      <c r="G64" s="146">
        <f t="shared" ref="G64:S64" si="37">F64*G5</f>
        <v>0.93304575000000012</v>
      </c>
      <c r="H64" s="146">
        <f t="shared" si="37"/>
        <v>0.97969803750000017</v>
      </c>
      <c r="I64" s="146">
        <f t="shared" si="37"/>
        <v>1.0286829393750003</v>
      </c>
      <c r="J64" s="146">
        <f t="shared" si="37"/>
        <v>1.0801170863437504</v>
      </c>
      <c r="K64" s="146">
        <f t="shared" si="37"/>
        <v>1.1341229406609379</v>
      </c>
      <c r="L64" s="146">
        <f t="shared" si="37"/>
        <v>1.1908290876939849</v>
      </c>
      <c r="M64" s="146">
        <f t="shared" si="37"/>
        <v>1.2503705420786841</v>
      </c>
      <c r="N64" s="146">
        <f t="shared" si="37"/>
        <v>1.3128890691826185</v>
      </c>
      <c r="O64" s="146">
        <f t="shared" si="37"/>
        <v>1.3785335226417494</v>
      </c>
      <c r="P64" s="146">
        <f t="shared" si="37"/>
        <v>1.4474601987738369</v>
      </c>
      <c r="Q64" s="146">
        <f t="shared" si="37"/>
        <v>1.5198332087125288</v>
      </c>
      <c r="R64" s="146">
        <f t="shared" si="37"/>
        <v>1.5958248691481554</v>
      </c>
      <c r="S64" s="146">
        <f t="shared" si="37"/>
        <v>1.6756161126055631</v>
      </c>
      <c r="T64" s="146"/>
    </row>
    <row r="65" spans="2:20" s="3" customFormat="1" x14ac:dyDescent="0.25">
      <c r="B65" s="43" t="s">
        <v>265</v>
      </c>
      <c r="C65" s="43"/>
      <c r="D65" s="156">
        <f>SUM(D61:D64)</f>
        <v>0</v>
      </c>
      <c r="E65" s="156">
        <f>SUM(E61:E64)</f>
        <v>131.21409</v>
      </c>
      <c r="F65" s="156">
        <f t="shared" ref="F65:T65" si="38">SUM(F61:F64)</f>
        <v>137.03240249999999</v>
      </c>
      <c r="G65" s="156">
        <f t="shared" si="38"/>
        <v>143.141630625</v>
      </c>
      <c r="H65" s="156">
        <f t="shared" si="38"/>
        <v>149.55632015625</v>
      </c>
      <c r="I65" s="156">
        <f t="shared" si="38"/>
        <v>156.29174416406249</v>
      </c>
      <c r="J65" s="156">
        <f t="shared" si="38"/>
        <v>163.36393937226566</v>
      </c>
      <c r="K65" s="156">
        <f t="shared" si="38"/>
        <v>170.78974434087894</v>
      </c>
      <c r="L65" s="156">
        <f t="shared" si="38"/>
        <v>178.5868395579229</v>
      </c>
      <c r="M65" s="156">
        <f t="shared" si="38"/>
        <v>186.77378953581905</v>
      </c>
      <c r="N65" s="156">
        <f t="shared" si="38"/>
        <v>195.37008701261004</v>
      </c>
      <c r="O65" s="156">
        <f t="shared" si="38"/>
        <v>204.39619936324053</v>
      </c>
      <c r="P65" s="156">
        <f t="shared" si="38"/>
        <v>213.87361733140256</v>
      </c>
      <c r="Q65" s="156">
        <f t="shared" si="38"/>
        <v>223.82490619797272</v>
      </c>
      <c r="R65" s="156">
        <f t="shared" si="38"/>
        <v>234.27375950787138</v>
      </c>
      <c r="S65" s="156">
        <f t="shared" si="38"/>
        <v>245.24505548326493</v>
      </c>
      <c r="T65" s="156">
        <f t="shared" si="38"/>
        <v>0</v>
      </c>
    </row>
    <row r="66" spans="2:20" s="3" customFormat="1" x14ac:dyDescent="0.25">
      <c r="B66" s="43"/>
      <c r="C66" s="43"/>
      <c r="D66" s="167"/>
      <c r="E66" s="167"/>
      <c r="F66" s="167"/>
      <c r="G66" s="167"/>
      <c r="H66" s="167"/>
      <c r="I66" s="167"/>
      <c r="J66" s="167"/>
      <c r="K66" s="167"/>
      <c r="L66" s="167"/>
      <c r="M66" s="167"/>
      <c r="N66" s="167"/>
      <c r="O66" s="167"/>
      <c r="P66" s="167"/>
      <c r="Q66" s="167"/>
      <c r="R66" s="167"/>
      <c r="S66" s="167"/>
      <c r="T66" s="167"/>
    </row>
    <row r="67" spans="2:20" s="3" customFormat="1" x14ac:dyDescent="0.25">
      <c r="B67" s="43" t="s">
        <v>270</v>
      </c>
      <c r="C67" s="43"/>
      <c r="D67" s="156">
        <v>0</v>
      </c>
      <c r="E67" s="156">
        <f>D67</f>
        <v>0</v>
      </c>
      <c r="F67" s="156">
        <f t="shared" ref="F67:S68" si="39">E67</f>
        <v>0</v>
      </c>
      <c r="G67" s="156">
        <f t="shared" si="39"/>
        <v>0</v>
      </c>
      <c r="H67" s="156">
        <f t="shared" si="39"/>
        <v>0</v>
      </c>
      <c r="I67" s="156">
        <f t="shared" si="39"/>
        <v>0</v>
      </c>
      <c r="J67" s="156">
        <f t="shared" si="39"/>
        <v>0</v>
      </c>
      <c r="K67" s="156">
        <f t="shared" si="39"/>
        <v>0</v>
      </c>
      <c r="L67" s="156">
        <f t="shared" si="39"/>
        <v>0</v>
      </c>
      <c r="M67" s="156">
        <f t="shared" si="39"/>
        <v>0</v>
      </c>
      <c r="N67" s="156">
        <f t="shared" si="39"/>
        <v>0</v>
      </c>
      <c r="O67" s="156">
        <f t="shared" si="39"/>
        <v>0</v>
      </c>
      <c r="P67" s="156">
        <f t="shared" si="39"/>
        <v>0</v>
      </c>
      <c r="Q67" s="156">
        <f t="shared" si="39"/>
        <v>0</v>
      </c>
      <c r="R67" s="156">
        <f t="shared" si="39"/>
        <v>0</v>
      </c>
      <c r="S67" s="156">
        <f t="shared" si="39"/>
        <v>0</v>
      </c>
      <c r="T67" s="156">
        <f>E26</f>
        <v>35.616860449100002</v>
      </c>
    </row>
    <row r="68" spans="2:20" s="3" customFormat="1" x14ac:dyDescent="0.25">
      <c r="B68" s="43" t="s">
        <v>282</v>
      </c>
      <c r="C68" s="43"/>
      <c r="D68" s="156">
        <v>0</v>
      </c>
      <c r="E68" s="156">
        <f>D68</f>
        <v>0</v>
      </c>
      <c r="F68" s="156">
        <f t="shared" si="39"/>
        <v>0</v>
      </c>
      <c r="G68" s="156">
        <f t="shared" si="39"/>
        <v>0</v>
      </c>
      <c r="H68" s="156">
        <f t="shared" si="39"/>
        <v>0</v>
      </c>
      <c r="I68" s="156">
        <f t="shared" si="39"/>
        <v>0</v>
      </c>
      <c r="J68" s="156">
        <f t="shared" si="39"/>
        <v>0</v>
      </c>
      <c r="K68" s="156">
        <f t="shared" si="39"/>
        <v>0</v>
      </c>
      <c r="L68" s="156">
        <f t="shared" si="39"/>
        <v>0</v>
      </c>
      <c r="M68" s="156">
        <f t="shared" si="39"/>
        <v>0</v>
      </c>
      <c r="N68" s="156">
        <f t="shared" si="39"/>
        <v>0</v>
      </c>
      <c r="O68" s="156">
        <f t="shared" si="39"/>
        <v>0</v>
      </c>
      <c r="P68" s="156">
        <f t="shared" si="39"/>
        <v>0</v>
      </c>
      <c r="Q68" s="156">
        <f t="shared" si="39"/>
        <v>0</v>
      </c>
      <c r="R68" s="156">
        <f t="shared" si="39"/>
        <v>0</v>
      </c>
      <c r="S68" s="156">
        <f t="shared" si="39"/>
        <v>0</v>
      </c>
      <c r="T68" s="156">
        <f>D14</f>
        <v>2.8765000000000001</v>
      </c>
    </row>
    <row r="69" spans="2:20" s="3" customFormat="1" x14ac:dyDescent="0.25">
      <c r="B69" s="43"/>
      <c r="C69" s="43"/>
      <c r="D69" s="167"/>
      <c r="E69" s="167"/>
      <c r="F69" s="167"/>
      <c r="G69" s="167"/>
      <c r="H69" s="167"/>
      <c r="I69" s="167"/>
      <c r="J69" s="167"/>
      <c r="K69" s="167"/>
      <c r="L69" s="167"/>
      <c r="M69" s="167"/>
      <c r="N69" s="167"/>
      <c r="O69" s="167"/>
      <c r="P69" s="167"/>
      <c r="Q69" s="167"/>
      <c r="R69" s="167"/>
      <c r="S69" s="167"/>
      <c r="T69" s="167"/>
    </row>
    <row r="70" spans="2:20" s="3" customFormat="1" x14ac:dyDescent="0.25">
      <c r="B70" s="43" t="s">
        <v>272</v>
      </c>
      <c r="C70" s="43"/>
      <c r="D70" s="156">
        <f t="shared" ref="D70:S70" si="40">D65+D67+D68</f>
        <v>0</v>
      </c>
      <c r="E70" s="156">
        <f t="shared" si="40"/>
        <v>131.21409</v>
      </c>
      <c r="F70" s="156">
        <f t="shared" si="40"/>
        <v>137.03240249999999</v>
      </c>
      <c r="G70" s="156">
        <f t="shared" si="40"/>
        <v>143.141630625</v>
      </c>
      <c r="H70" s="156">
        <f t="shared" si="40"/>
        <v>149.55632015625</v>
      </c>
      <c r="I70" s="156">
        <f t="shared" si="40"/>
        <v>156.29174416406249</v>
      </c>
      <c r="J70" s="156">
        <f t="shared" si="40"/>
        <v>163.36393937226566</v>
      </c>
      <c r="K70" s="156">
        <f t="shared" si="40"/>
        <v>170.78974434087894</v>
      </c>
      <c r="L70" s="156">
        <f t="shared" si="40"/>
        <v>178.5868395579229</v>
      </c>
      <c r="M70" s="156">
        <f t="shared" si="40"/>
        <v>186.77378953581905</v>
      </c>
      <c r="N70" s="156">
        <f t="shared" si="40"/>
        <v>195.37008701261004</v>
      </c>
      <c r="O70" s="156">
        <f t="shared" si="40"/>
        <v>204.39619936324053</v>
      </c>
      <c r="P70" s="156">
        <f t="shared" si="40"/>
        <v>213.87361733140256</v>
      </c>
      <c r="Q70" s="156">
        <f t="shared" si="40"/>
        <v>223.82490619797272</v>
      </c>
      <c r="R70" s="156">
        <f t="shared" si="40"/>
        <v>234.27375950787138</v>
      </c>
      <c r="S70" s="156">
        <f t="shared" si="40"/>
        <v>245.24505548326493</v>
      </c>
      <c r="T70" s="156">
        <f>T65+T67+T68</f>
        <v>38.493360449100003</v>
      </c>
    </row>
    <row r="72" spans="2:20" s="124" customFormat="1" x14ac:dyDescent="0.25">
      <c r="B72" s="179" t="s">
        <v>266</v>
      </c>
      <c r="C72" s="179"/>
      <c r="D72" s="126">
        <f>D70-D58</f>
        <v>-179.914237321</v>
      </c>
      <c r="E72" s="126">
        <f>E70-E58</f>
        <v>-258.65376104222145</v>
      </c>
      <c r="F72" s="126">
        <f t="shared" ref="F72:T72" si="41">F70-F58</f>
        <v>-232.35620047403626</v>
      </c>
      <c r="G72" s="126">
        <f t="shared" si="41"/>
        <v>-241.79241559061916</v>
      </c>
      <c r="H72" s="126">
        <f t="shared" si="41"/>
        <v>-251.59173892997259</v>
      </c>
      <c r="I72" s="126">
        <f t="shared" si="41"/>
        <v>-261.76844532090632</v>
      </c>
      <c r="J72" s="126">
        <f t="shared" si="41"/>
        <v>-272.33739616151706</v>
      </c>
      <c r="K72" s="126">
        <f t="shared" si="41"/>
        <v>-283.31406534383535</v>
      </c>
      <c r="L72" s="126">
        <f t="shared" si="41"/>
        <v>-294.71456643953479</v>
      </c>
      <c r="M72" s="126">
        <f t="shared" si="41"/>
        <v>-306.5556812144132</v>
      </c>
      <c r="N72" s="126">
        <f t="shared" si="41"/>
        <v>-318.85488954328036</v>
      </c>
      <c r="O72" s="126">
        <f t="shared" si="41"/>
        <v>-331.63040080107328</v>
      </c>
      <c r="P72" s="126">
        <f t="shared" si="41"/>
        <v>-344.90118681044282</v>
      </c>
      <c r="Q72" s="126">
        <f t="shared" si="41"/>
        <v>-358.68701643076281</v>
      </c>
      <c r="R72" s="126">
        <f t="shared" si="41"/>
        <v>-373.00849187850321</v>
      </c>
      <c r="S72" s="126">
        <f t="shared" si="41"/>
        <v>-378.53154653351152</v>
      </c>
      <c r="T72" s="126">
        <f t="shared" si="41"/>
        <v>38.2608804491</v>
      </c>
    </row>
    <row r="73" spans="2:20" s="124" customFormat="1" x14ac:dyDescent="0.25">
      <c r="B73" s="179" t="s">
        <v>267</v>
      </c>
      <c r="C73" s="179"/>
      <c r="D73" s="126">
        <f>D72</f>
        <v>-179.914237321</v>
      </c>
      <c r="E73" s="126">
        <f>D73+E72</f>
        <v>-438.56799836322148</v>
      </c>
      <c r="F73" s="126">
        <f t="shared" ref="F73:T73" si="42">E73+F72</f>
        <v>-670.92419883725779</v>
      </c>
      <c r="G73" s="126">
        <f t="shared" si="42"/>
        <v>-912.71661442787695</v>
      </c>
      <c r="H73" s="126">
        <f t="shared" si="42"/>
        <v>-1164.3083533578495</v>
      </c>
      <c r="I73" s="126">
        <f t="shared" si="42"/>
        <v>-1426.0767986787557</v>
      </c>
      <c r="J73" s="126">
        <f t="shared" si="42"/>
        <v>-1698.4141948402728</v>
      </c>
      <c r="K73" s="126">
        <f t="shared" si="42"/>
        <v>-1981.7282601841082</v>
      </c>
      <c r="L73" s="126">
        <f t="shared" si="42"/>
        <v>-2276.4428266236428</v>
      </c>
      <c r="M73" s="126">
        <f t="shared" si="42"/>
        <v>-2582.998507838056</v>
      </c>
      <c r="N73" s="126">
        <f t="shared" si="42"/>
        <v>-2901.8533973813364</v>
      </c>
      <c r="O73" s="126">
        <f t="shared" si="42"/>
        <v>-3233.4837981824098</v>
      </c>
      <c r="P73" s="126">
        <f t="shared" si="42"/>
        <v>-3578.3849849928529</v>
      </c>
      <c r="Q73" s="126">
        <f t="shared" si="42"/>
        <v>-3937.0720014236158</v>
      </c>
      <c r="R73" s="126">
        <f t="shared" si="42"/>
        <v>-4310.0804933021191</v>
      </c>
      <c r="S73" s="126">
        <f t="shared" si="42"/>
        <v>-4688.6120398356306</v>
      </c>
      <c r="T73" s="126">
        <f t="shared" si="42"/>
        <v>-4650.3511593865305</v>
      </c>
    </row>
    <row r="75" spans="2:20" s="186" customFormat="1" x14ac:dyDescent="0.25">
      <c r="B75" s="180" t="s">
        <v>277</v>
      </c>
      <c r="C75" s="182">
        <f>C81</f>
        <v>0.05</v>
      </c>
      <c r="D75" s="166"/>
      <c r="E75" s="186">
        <f>105%</f>
        <v>1.05</v>
      </c>
      <c r="F75" s="186">
        <f t="shared" ref="F75:T75" si="43">E75*105%</f>
        <v>1.1025</v>
      </c>
      <c r="G75" s="186">
        <f t="shared" si="43"/>
        <v>1.1576250000000001</v>
      </c>
      <c r="H75" s="186">
        <f t="shared" si="43"/>
        <v>1.2155062500000002</v>
      </c>
      <c r="I75" s="186">
        <f t="shared" si="43"/>
        <v>1.2762815625000004</v>
      </c>
      <c r="J75" s="186">
        <f t="shared" si="43"/>
        <v>1.3400956406250004</v>
      </c>
      <c r="K75" s="186">
        <f t="shared" si="43"/>
        <v>1.4071004226562505</v>
      </c>
      <c r="L75" s="186">
        <f t="shared" si="43"/>
        <v>1.477455443789063</v>
      </c>
      <c r="M75" s="186">
        <f t="shared" si="43"/>
        <v>1.5513282159785162</v>
      </c>
      <c r="N75" s="186">
        <f t="shared" si="43"/>
        <v>1.628894626777442</v>
      </c>
      <c r="O75" s="186">
        <f t="shared" si="43"/>
        <v>1.7103393581163142</v>
      </c>
      <c r="P75" s="186">
        <f t="shared" si="43"/>
        <v>1.7958563260221301</v>
      </c>
      <c r="Q75" s="186">
        <f t="shared" si="43"/>
        <v>1.8856491423232367</v>
      </c>
      <c r="R75" s="186">
        <f t="shared" si="43"/>
        <v>1.9799315994393987</v>
      </c>
      <c r="S75" s="186">
        <f t="shared" si="43"/>
        <v>2.0789281794113688</v>
      </c>
      <c r="T75" s="186">
        <f t="shared" si="43"/>
        <v>2.1828745883819374</v>
      </c>
    </row>
    <row r="76" spans="2:20" x14ac:dyDescent="0.25">
      <c r="B76" s="243" t="s">
        <v>369</v>
      </c>
      <c r="C76" s="181"/>
      <c r="E76" s="242">
        <f t="shared" ref="E76:T76" si="44">1/E75</f>
        <v>0.95238095238095233</v>
      </c>
      <c r="F76" s="242">
        <f t="shared" si="44"/>
        <v>0.90702947845804982</v>
      </c>
      <c r="G76" s="242">
        <f t="shared" si="44"/>
        <v>0.86383759853147601</v>
      </c>
      <c r="H76" s="242">
        <f t="shared" si="44"/>
        <v>0.82270247479188185</v>
      </c>
      <c r="I76" s="242">
        <f t="shared" si="44"/>
        <v>0.78352616646845885</v>
      </c>
      <c r="J76" s="242">
        <f t="shared" si="44"/>
        <v>0.74621539663662739</v>
      </c>
      <c r="K76" s="242">
        <f t="shared" si="44"/>
        <v>0.71068133013012136</v>
      </c>
      <c r="L76" s="242">
        <f t="shared" si="44"/>
        <v>0.676839362028687</v>
      </c>
      <c r="M76" s="242">
        <f t="shared" si="44"/>
        <v>0.64460891621779715</v>
      </c>
      <c r="N76" s="242">
        <f t="shared" si="44"/>
        <v>0.6139132535407591</v>
      </c>
      <c r="O76" s="242">
        <f t="shared" si="44"/>
        <v>0.58467928908643729</v>
      </c>
      <c r="P76" s="242">
        <f t="shared" si="44"/>
        <v>0.55683741817755927</v>
      </c>
      <c r="Q76" s="242">
        <f t="shared" si="44"/>
        <v>0.53032135064529451</v>
      </c>
      <c r="R76" s="242">
        <f t="shared" si="44"/>
        <v>0.50506795299551854</v>
      </c>
      <c r="S76" s="242">
        <f t="shared" si="44"/>
        <v>0.48101709809096999</v>
      </c>
      <c r="T76" s="242">
        <f t="shared" si="44"/>
        <v>0.45811152199139993</v>
      </c>
    </row>
    <row r="77" spans="2:20" s="124" customFormat="1" x14ac:dyDescent="0.25">
      <c r="B77" s="179" t="s">
        <v>280</v>
      </c>
      <c r="C77" s="187"/>
      <c r="D77" s="188">
        <f>D72</f>
        <v>-179.914237321</v>
      </c>
      <c r="E77" s="124">
        <f>E72</f>
        <v>-258.65376104222145</v>
      </c>
      <c r="F77" s="124">
        <f t="shared" ref="F77:T77" si="45">F72/F75</f>
        <v>-210.75392333245918</v>
      </c>
      <c r="G77" s="124">
        <f t="shared" si="45"/>
        <v>-208.86937962692508</v>
      </c>
      <c r="H77" s="124">
        <f t="shared" si="45"/>
        <v>-206.9851462548815</v>
      </c>
      <c r="I77" s="124">
        <f t="shared" si="45"/>
        <v>-205.10242646469811</v>
      </c>
      <c r="J77" s="124">
        <f t="shared" si="45"/>
        <v>-203.22235809565279</v>
      </c>
      <c r="K77" s="124">
        <f t="shared" si="45"/>
        <v>-201.34601680312903</v>
      </c>
      <c r="L77" s="124">
        <f t="shared" si="45"/>
        <v>-199.4744191294958</v>
      </c>
      <c r="M77" s="124">
        <f t="shared" si="45"/>
        <v>-197.60852542803138</v>
      </c>
      <c r="N77" s="124">
        <f t="shared" si="45"/>
        <v>-195.74924264689463</v>
      </c>
      <c r="O77" s="124">
        <f t="shared" si="45"/>
        <v>-193.89742697982177</v>
      </c>
      <c r="P77" s="124">
        <f t="shared" si="45"/>
        <v>-192.05388638990303</v>
      </c>
      <c r="Q77" s="124">
        <f t="shared" si="45"/>
        <v>-190.21938301249307</v>
      </c>
      <c r="R77" s="124">
        <f t="shared" si="45"/>
        <v>-188.39463544302112</v>
      </c>
      <c r="S77" s="124">
        <f t="shared" si="45"/>
        <v>-182.08014604943668</v>
      </c>
      <c r="T77" s="124">
        <f t="shared" si="45"/>
        <v>17.527750175268199</v>
      </c>
    </row>
    <row r="78" spans="2:20" s="124" customFormat="1" x14ac:dyDescent="0.25">
      <c r="B78" s="179" t="s">
        <v>281</v>
      </c>
      <c r="C78" s="187"/>
      <c r="D78" s="188">
        <f>D77</f>
        <v>-179.914237321</v>
      </c>
      <c r="E78" s="124">
        <f t="shared" ref="E78:T78" si="46">D78+E77</f>
        <v>-438.56799836322148</v>
      </c>
      <c r="F78" s="124">
        <f t="shared" si="46"/>
        <v>-649.32192169568066</v>
      </c>
      <c r="G78" s="124">
        <f t="shared" si="46"/>
        <v>-858.1913013226058</v>
      </c>
      <c r="H78" s="124">
        <f t="shared" si="46"/>
        <v>-1065.1764475774874</v>
      </c>
      <c r="I78" s="124">
        <f t="shared" si="46"/>
        <v>-1270.2788740421854</v>
      </c>
      <c r="J78" s="124">
        <f t="shared" si="46"/>
        <v>-1473.5012321378381</v>
      </c>
      <c r="K78" s="124">
        <f t="shared" si="46"/>
        <v>-1674.8472489409671</v>
      </c>
      <c r="L78" s="124">
        <f t="shared" si="46"/>
        <v>-1874.3216680704629</v>
      </c>
      <c r="M78" s="124">
        <f t="shared" si="46"/>
        <v>-2071.9301934984942</v>
      </c>
      <c r="N78" s="124">
        <f t="shared" si="46"/>
        <v>-2267.679436145389</v>
      </c>
      <c r="O78" s="124">
        <f t="shared" si="46"/>
        <v>-2461.5768631252108</v>
      </c>
      <c r="P78" s="124">
        <f t="shared" si="46"/>
        <v>-2653.6307495151141</v>
      </c>
      <c r="Q78" s="124">
        <f t="shared" si="46"/>
        <v>-2843.850132527607</v>
      </c>
      <c r="R78" s="124">
        <f t="shared" si="46"/>
        <v>-3032.2447679706283</v>
      </c>
      <c r="S78" s="124">
        <f t="shared" si="46"/>
        <v>-3214.3249140200651</v>
      </c>
      <c r="T78" s="124">
        <f t="shared" si="46"/>
        <v>-3196.7971638447971</v>
      </c>
    </row>
    <row r="80" spans="2:20" x14ac:dyDescent="0.25">
      <c r="B80" s="43" t="s">
        <v>349</v>
      </c>
    </row>
    <row r="81" spans="2:5" x14ac:dyDescent="0.25">
      <c r="B81" s="180" t="s">
        <v>351</v>
      </c>
      <c r="C81" s="182">
        <f>C82+C83</f>
        <v>0.05</v>
      </c>
    </row>
    <row r="82" spans="2:5" x14ac:dyDescent="0.25">
      <c r="B82" s="162" t="s">
        <v>352</v>
      </c>
      <c r="C82" s="184">
        <v>0.03</v>
      </c>
    </row>
    <row r="83" spans="2:5" x14ac:dyDescent="0.25">
      <c r="B83" s="162" t="s">
        <v>368</v>
      </c>
      <c r="C83" s="184">
        <v>0.02</v>
      </c>
    </row>
    <row r="84" spans="2:5" x14ac:dyDescent="0.25">
      <c r="B84" s="43" t="s">
        <v>350</v>
      </c>
    </row>
    <row r="85" spans="2:5" x14ac:dyDescent="0.25">
      <c r="B85" s="43" t="s">
        <v>367</v>
      </c>
    </row>
    <row r="89" spans="2:5" x14ac:dyDescent="0.25">
      <c r="D89" s="250" t="s">
        <v>370</v>
      </c>
      <c r="E89" s="249">
        <v>1000000</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89084-6829-497D-87FA-809FEACFB115}">
  <sheetPr>
    <tabColor rgb="FFFFC000"/>
  </sheetPr>
  <dimension ref="A2:G35"/>
  <sheetViews>
    <sheetView zoomScale="82" zoomScaleNormal="82" workbookViewId="0">
      <selection activeCell="C22" sqref="C22"/>
    </sheetView>
  </sheetViews>
  <sheetFormatPr defaultRowHeight="15" x14ac:dyDescent="0.25"/>
  <cols>
    <col min="2" max="2" width="24.7109375" style="18" bestFit="1" customWidth="1"/>
    <col min="3" max="3" width="12.7109375" style="18" bestFit="1" customWidth="1"/>
    <col min="4" max="4" width="8" bestFit="1" customWidth="1"/>
  </cols>
  <sheetData>
    <row r="2" spans="2:4" ht="15.75" thickBot="1" x14ac:dyDescent="0.3">
      <c r="B2" s="64" t="s">
        <v>202</v>
      </c>
    </row>
    <row r="3" spans="2:4" x14ac:dyDescent="0.25">
      <c r="B3" s="48" t="s">
        <v>0</v>
      </c>
      <c r="C3" s="49" t="s">
        <v>210</v>
      </c>
      <c r="D3" s="50" t="s">
        <v>24</v>
      </c>
    </row>
    <row r="4" spans="2:4" x14ac:dyDescent="0.25">
      <c r="B4" s="51" t="s">
        <v>1</v>
      </c>
      <c r="C4" s="52">
        <f>160</f>
        <v>160</v>
      </c>
      <c r="D4" s="53" t="s">
        <v>25</v>
      </c>
    </row>
    <row r="5" spans="2:4" x14ac:dyDescent="0.25">
      <c r="B5" s="51" t="s">
        <v>2</v>
      </c>
      <c r="C5" s="52">
        <f>78</f>
        <v>78</v>
      </c>
      <c r="D5" s="53" t="s">
        <v>25</v>
      </c>
    </row>
    <row r="6" spans="2:4" x14ac:dyDescent="0.25">
      <c r="B6" s="51" t="s">
        <v>3</v>
      </c>
      <c r="C6" s="52">
        <f>80</f>
        <v>80</v>
      </c>
      <c r="D6" s="53" t="s">
        <v>25</v>
      </c>
    </row>
    <row r="7" spans="2:4" x14ac:dyDescent="0.25">
      <c r="B7" s="51" t="s">
        <v>4</v>
      </c>
      <c r="C7" s="52">
        <f>200</f>
        <v>200</v>
      </c>
      <c r="D7" s="53" t="s">
        <v>25</v>
      </c>
    </row>
    <row r="8" spans="2:4" x14ac:dyDescent="0.25">
      <c r="B8" s="51" t="s">
        <v>9</v>
      </c>
      <c r="C8" s="52">
        <f>3</f>
        <v>3</v>
      </c>
      <c r="D8" s="53" t="s">
        <v>25</v>
      </c>
    </row>
    <row r="9" spans="2:4" x14ac:dyDescent="0.25">
      <c r="B9" s="51" t="s">
        <v>10</v>
      </c>
      <c r="C9" s="52">
        <f>5</f>
        <v>5</v>
      </c>
      <c r="D9" s="53" t="s">
        <v>25</v>
      </c>
    </row>
    <row r="10" spans="2:4" x14ac:dyDescent="0.25">
      <c r="B10" s="51" t="s">
        <v>11</v>
      </c>
      <c r="C10" s="52">
        <f>0</f>
        <v>0</v>
      </c>
      <c r="D10" s="53" t="s">
        <v>25</v>
      </c>
    </row>
    <row r="11" spans="2:4" ht="15.75" thickBot="1" x14ac:dyDescent="0.3">
      <c r="B11" s="54" t="s">
        <v>12</v>
      </c>
      <c r="C11" s="55">
        <f>270</f>
        <v>270</v>
      </c>
      <c r="D11" s="56" t="s">
        <v>25</v>
      </c>
    </row>
    <row r="12" spans="2:4" x14ac:dyDescent="0.25">
      <c r="B12"/>
      <c r="D12" s="18"/>
    </row>
    <row r="13" spans="2:4" ht="15.75" thickBot="1" x14ac:dyDescent="0.3">
      <c r="B13" s="64" t="s">
        <v>203</v>
      </c>
      <c r="D13" s="18"/>
    </row>
    <row r="14" spans="2:4" x14ac:dyDescent="0.25">
      <c r="B14" s="48" t="s">
        <v>13</v>
      </c>
      <c r="C14" s="49" t="s">
        <v>14</v>
      </c>
      <c r="D14" s="50" t="s">
        <v>24</v>
      </c>
    </row>
    <row r="15" spans="2:4" x14ac:dyDescent="0.25">
      <c r="B15" s="51" t="s">
        <v>16</v>
      </c>
      <c r="C15" s="52">
        <f>1.35</f>
        <v>1.35</v>
      </c>
      <c r="D15" s="53" t="s">
        <v>25</v>
      </c>
    </row>
    <row r="16" spans="2:4" x14ac:dyDescent="0.25">
      <c r="B16" s="51" t="s">
        <v>17</v>
      </c>
      <c r="C16" s="52">
        <f>0.07</f>
        <v>7.0000000000000007E-2</v>
      </c>
      <c r="D16" s="53" t="s">
        <v>25</v>
      </c>
    </row>
    <row r="17" spans="1:7" x14ac:dyDescent="0.25">
      <c r="B17" s="51" t="s">
        <v>18</v>
      </c>
      <c r="C17" s="52">
        <f>10</f>
        <v>10</v>
      </c>
      <c r="D17" s="53" t="s">
        <v>25</v>
      </c>
    </row>
    <row r="18" spans="1:7" x14ac:dyDescent="0.25">
      <c r="B18" s="51" t="s">
        <v>19</v>
      </c>
      <c r="C18" s="52">
        <f>16.25</f>
        <v>16.25</v>
      </c>
      <c r="D18" s="53" t="s">
        <v>25</v>
      </c>
    </row>
    <row r="19" spans="1:7" x14ac:dyDescent="0.25">
      <c r="B19" s="51" t="s">
        <v>20</v>
      </c>
      <c r="C19" s="52">
        <f>1.9</f>
        <v>1.9</v>
      </c>
      <c r="D19" s="53" t="s">
        <v>25</v>
      </c>
    </row>
    <row r="20" spans="1:7" x14ac:dyDescent="0.25">
      <c r="B20" s="51" t="s">
        <v>21</v>
      </c>
      <c r="C20" s="52">
        <f>0.5/100</f>
        <v>5.0000000000000001E-3</v>
      </c>
      <c r="D20" s="53" t="s">
        <v>26</v>
      </c>
    </row>
    <row r="21" spans="1:7" x14ac:dyDescent="0.25">
      <c r="B21" s="51" t="s">
        <v>22</v>
      </c>
      <c r="C21" s="52">
        <f>10/100</f>
        <v>0.1</v>
      </c>
      <c r="D21" s="53" t="s">
        <v>26</v>
      </c>
    </row>
    <row r="22" spans="1:7" ht="15.75" thickBot="1" x14ac:dyDescent="0.3">
      <c r="B22" s="54" t="s">
        <v>15</v>
      </c>
      <c r="C22" s="55">
        <f>0.11</f>
        <v>0.11</v>
      </c>
      <c r="D22" s="56" t="s">
        <v>27</v>
      </c>
    </row>
    <row r="23" spans="1:7" x14ac:dyDescent="0.25">
      <c r="B23"/>
      <c r="D23" s="18"/>
    </row>
    <row r="24" spans="1:7" ht="15.75" thickBot="1" x14ac:dyDescent="0.3">
      <c r="B24" s="64" t="s">
        <v>204</v>
      </c>
      <c r="D24" s="18"/>
    </row>
    <row r="25" spans="1:7" x14ac:dyDescent="0.25">
      <c r="B25" s="57" t="s">
        <v>30</v>
      </c>
      <c r="C25" s="58" t="s">
        <v>31</v>
      </c>
      <c r="D25" s="59"/>
    </row>
    <row r="26" spans="1:7" x14ac:dyDescent="0.25">
      <c r="B26" s="60">
        <f>523*275</f>
        <v>143825</v>
      </c>
      <c r="C26" s="52">
        <f>B26/10000</f>
        <v>14.3825</v>
      </c>
      <c r="D26" s="61"/>
      <c r="G26" s="146"/>
    </row>
    <row r="27" spans="1:7" x14ac:dyDescent="0.25">
      <c r="B27" s="51" t="s">
        <v>28</v>
      </c>
      <c r="C27" s="62" t="s">
        <v>32</v>
      </c>
      <c r="D27" s="61"/>
    </row>
    <row r="28" spans="1:7" s="18" customFormat="1" ht="15.75" thickBot="1" x14ac:dyDescent="0.3">
      <c r="A28"/>
      <c r="B28" s="54" t="s">
        <v>29</v>
      </c>
      <c r="C28" s="158">
        <f>200*10^3*C26</f>
        <v>2876500</v>
      </c>
      <c r="D28" s="63"/>
      <c r="E28"/>
      <c r="F28"/>
    </row>
    <row r="29" spans="1:7" x14ac:dyDescent="0.25">
      <c r="B29"/>
      <c r="D29" s="18"/>
    </row>
    <row r="30" spans="1:7" x14ac:dyDescent="0.25">
      <c r="B30"/>
      <c r="D30" s="18"/>
    </row>
    <row r="31" spans="1:7" ht="15.75" thickBot="1" x14ac:dyDescent="0.3">
      <c r="B31" s="64" t="s">
        <v>205</v>
      </c>
    </row>
    <row r="32" spans="1:7" x14ac:dyDescent="0.25">
      <c r="B32" s="66" t="s">
        <v>5</v>
      </c>
      <c r="C32" s="159">
        <f>750</f>
        <v>750</v>
      </c>
      <c r="D32" s="50" t="s">
        <v>25</v>
      </c>
    </row>
    <row r="33" spans="2:4" x14ac:dyDescent="0.25">
      <c r="B33" s="65" t="s">
        <v>6</v>
      </c>
      <c r="C33" s="160">
        <f>1020</f>
        <v>1020</v>
      </c>
      <c r="D33" s="53" t="s">
        <v>25</v>
      </c>
    </row>
    <row r="34" spans="2:4" x14ac:dyDescent="0.25">
      <c r="B34" s="65" t="s">
        <v>7</v>
      </c>
      <c r="C34" s="160">
        <f>300</f>
        <v>300</v>
      </c>
      <c r="D34" s="53" t="s">
        <v>25</v>
      </c>
    </row>
    <row r="35" spans="2:4" ht="15.75" thickBot="1" x14ac:dyDescent="0.3">
      <c r="B35" s="67" t="s">
        <v>8</v>
      </c>
      <c r="C35" s="55">
        <f>0.2</f>
        <v>0.2</v>
      </c>
      <c r="D35" s="56" t="s">
        <v>26</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CEECB-5971-4B96-A03F-A9078270077D}">
  <sheetPr>
    <tabColor theme="3" tint="-0.499984740745262"/>
  </sheetPr>
  <dimension ref="B1:H12"/>
  <sheetViews>
    <sheetView zoomScale="82" zoomScaleNormal="82" workbookViewId="0">
      <selection activeCell="C4" sqref="C4"/>
    </sheetView>
  </sheetViews>
  <sheetFormatPr defaultRowHeight="15" x14ac:dyDescent="0.25"/>
  <cols>
    <col min="2" max="2" width="19" customWidth="1"/>
    <col min="3" max="3" width="21.28515625" customWidth="1"/>
    <col min="4" max="4" width="10.140625" style="102" customWidth="1"/>
    <col min="6" max="6" width="10.85546875" style="141" customWidth="1"/>
    <col min="8" max="8" width="14.42578125" bestFit="1" customWidth="1"/>
  </cols>
  <sheetData>
    <row r="1" spans="2:8" ht="15.75" thickBot="1" x14ac:dyDescent="0.3"/>
    <row r="2" spans="2:8" ht="36" x14ac:dyDescent="0.55000000000000004">
      <c r="B2" s="103" t="s">
        <v>212</v>
      </c>
      <c r="C2" s="104"/>
      <c r="D2" s="105"/>
    </row>
    <row r="3" spans="2:8" ht="20.100000000000001" customHeight="1" x14ac:dyDescent="0.25">
      <c r="B3" s="106" t="s">
        <v>83</v>
      </c>
      <c r="C3" s="107" t="s">
        <v>211</v>
      </c>
      <c r="D3" s="108"/>
      <c r="F3" s="141" t="s">
        <v>236</v>
      </c>
    </row>
    <row r="4" spans="2:8" ht="20.100000000000001" customHeight="1" x14ac:dyDescent="0.25">
      <c r="B4" s="109" t="s">
        <v>84</v>
      </c>
      <c r="C4" s="110">
        <f>100000*'ass. costs &amp; sale prices'!C33</f>
        <v>102000000</v>
      </c>
      <c r="D4" s="108">
        <f>C4/$C$8</f>
        <v>0.81622331869999631</v>
      </c>
      <c r="F4" s="141">
        <v>100000</v>
      </c>
      <c r="G4" s="146">
        <f>'ass. costs &amp; sale prices'!C33</f>
        <v>1020</v>
      </c>
      <c r="H4" s="110">
        <f>F4*G4</f>
        <v>102000000</v>
      </c>
    </row>
    <row r="5" spans="2:8" ht="20.100000000000001" customHeight="1" x14ac:dyDescent="0.25">
      <c r="B5" s="109" t="s">
        <v>85</v>
      </c>
      <c r="C5" s="110">
        <f>10692*'ass. costs &amp; sale prices'!C32</f>
        <v>8019000</v>
      </c>
      <c r="D5" s="108">
        <f t="shared" ref="D5:D7" si="0">C5/$C$8</f>
        <v>6.416955679073795E-2</v>
      </c>
      <c r="F5" s="141">
        <v>10692</v>
      </c>
      <c r="G5" s="146">
        <f>'ass. costs &amp; sale prices'!C32</f>
        <v>750</v>
      </c>
      <c r="H5" s="110">
        <f t="shared" ref="H5:H6" si="1">F5*G5</f>
        <v>8019000</v>
      </c>
    </row>
    <row r="6" spans="2:8" ht="20.100000000000001" customHeight="1" x14ac:dyDescent="0.25">
      <c r="B6" s="109" t="s">
        <v>87</v>
      </c>
      <c r="C6" s="110">
        <f>47136*'ass. costs &amp; sale prices'!C34</f>
        <v>14140800</v>
      </c>
      <c r="D6" s="108">
        <f t="shared" si="0"/>
        <v>0.11315735985365596</v>
      </c>
      <c r="F6" s="141">
        <v>47136</v>
      </c>
      <c r="G6" s="146">
        <f>'ass. costs &amp; sale prices'!C34</f>
        <v>300</v>
      </c>
      <c r="H6" s="110">
        <f t="shared" si="1"/>
        <v>14140800</v>
      </c>
    </row>
    <row r="7" spans="2:8" ht="20.100000000000001" customHeight="1" x14ac:dyDescent="0.25">
      <c r="B7" s="109" t="s">
        <v>86</v>
      </c>
      <c r="C7" s="21">
        <f>4030000*'ass. costs &amp; sale prices'!C35</f>
        <v>806000</v>
      </c>
      <c r="D7" s="108">
        <f t="shared" si="0"/>
        <v>6.449764655609775E-3</v>
      </c>
    </row>
    <row r="8" spans="2:8" ht="15.75" thickBot="1" x14ac:dyDescent="0.3">
      <c r="B8" s="111"/>
      <c r="C8" s="112">
        <f>SUM(C4:C7)</f>
        <v>124965800</v>
      </c>
      <c r="D8" s="113">
        <f>SUM(D4:D7)</f>
        <v>1</v>
      </c>
    </row>
    <row r="12" spans="2:8" x14ac:dyDescent="0.25">
      <c r="B12" s="1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notes</vt:lpstr>
      <vt:lpstr>p&amp;l summary</vt:lpstr>
      <vt:lpstr>p&amp;l S1</vt:lpstr>
      <vt:lpstr>p&amp;l S2</vt:lpstr>
      <vt:lpstr>c-f s1 Summary</vt:lpstr>
      <vt:lpstr>c-f s1</vt:lpstr>
      <vt:lpstr>c-f s2</vt:lpstr>
      <vt:lpstr>ass. costs &amp; sale prices</vt:lpstr>
      <vt:lpstr>sales</vt:lpstr>
      <vt:lpstr>cost summary</vt:lpstr>
      <vt:lpstr>Supervision</vt:lpstr>
      <vt:lpstr>opex S1</vt:lpstr>
      <vt:lpstr>opex S2</vt:lpstr>
      <vt:lpstr>capex</vt:lpstr>
      <vt:lpstr>capex-lang factors</vt:lpstr>
      <vt:lpstr>DESIGN REVIEW MEETING OBJECTIVE</vt:lpstr>
      <vt:lpstr>COST SUMMARY old</vt:lpstr>
      <vt:lpstr>associated cost</vt:lpstr>
      <vt:lpstr>opex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Nataly Ploussiou</dc:creator>
  <cp:lastModifiedBy>Nataly Ploussiou</cp:lastModifiedBy>
  <dcterms:created xsi:type="dcterms:W3CDTF">2020-05-09T07:17:33Z</dcterms:created>
  <dcterms:modified xsi:type="dcterms:W3CDTF">2020-06-03T19:19:21Z</dcterms:modified>
</cp:coreProperties>
</file>