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oussiou\Desktop\DP 2020\Task C\"/>
    </mc:Choice>
  </mc:AlternateContent>
  <xr:revisionPtr revIDLastSave="0" documentId="13_ncr:1_{7EEC1388-3751-4805-A9A9-FD4746C29F5E}" xr6:coauthVersionLast="45" xr6:coauthVersionMax="45" xr10:uidLastSave="{00000000-0000-0000-0000-000000000000}"/>
  <bookViews>
    <workbookView xWindow="-120" yWindow="-120" windowWidth="20730" windowHeight="11160" activeTab="1" xr2:uid="{5AF0C5F8-4DA2-41EB-ACE5-8F141116EC25}"/>
  </bookViews>
  <sheets>
    <sheet name="Sheet1" sheetId="1" r:id="rId1"/>
    <sheet name="Sheet2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C10" i="1" l="1"/>
  <c r="X7" i="1"/>
  <c r="X12" i="1"/>
  <c r="N8" i="1"/>
  <c r="Q4" i="1"/>
  <c r="O4" i="1"/>
  <c r="N4" i="1"/>
  <c r="M12" i="1"/>
  <c r="C30" i="1" l="1"/>
  <c r="J11" i="2"/>
  <c r="J12" i="2"/>
  <c r="J10" i="2"/>
  <c r="E13" i="2" l="1"/>
  <c r="E12" i="2"/>
  <c r="F12" i="2" s="1"/>
  <c r="G12" i="2" s="1"/>
  <c r="F13" i="2"/>
  <c r="G13" i="2" s="1"/>
  <c r="H13" i="2" s="1"/>
  <c r="B12" i="2"/>
  <c r="B13" i="2"/>
  <c r="B5" i="1"/>
  <c r="B18" i="1"/>
  <c r="B7" i="1"/>
  <c r="K12" i="2"/>
  <c r="L12" i="2" s="1"/>
  <c r="K11" i="2"/>
  <c r="L11" i="2" s="1"/>
  <c r="K10" i="2"/>
  <c r="L10" i="2" s="1"/>
  <c r="G11" i="2"/>
  <c r="H11" i="2" s="1"/>
  <c r="G10" i="2"/>
  <c r="H10" i="2" s="1"/>
  <c r="F11" i="2"/>
  <c r="F10" i="2"/>
  <c r="E11" i="2"/>
  <c r="E10" i="2"/>
  <c r="L14" i="2" l="1"/>
  <c r="H12" i="2"/>
  <c r="H14" i="2"/>
  <c r="H15" i="2" l="1"/>
  <c r="B11" i="2"/>
  <c r="B10" i="2"/>
  <c r="C31" i="1" l="1"/>
  <c r="D31" i="1" s="1"/>
  <c r="C7" i="1"/>
  <c r="C8" i="1"/>
  <c r="C9" i="1"/>
  <c r="C6" i="1"/>
  <c r="I10" i="1"/>
  <c r="H10" i="1"/>
  <c r="D13" i="1"/>
  <c r="B9" i="1"/>
  <c r="I6" i="1"/>
  <c r="I7" i="1"/>
  <c r="I8" i="1"/>
  <c r="I5" i="1"/>
  <c r="E50" i="1"/>
  <c r="P7" i="1"/>
  <c r="C18" i="1"/>
  <c r="D18" i="1"/>
  <c r="H5" i="1"/>
  <c r="H7" i="1"/>
  <c r="Y8" i="1"/>
  <c r="AC4" i="1"/>
  <c r="Z4" i="1"/>
  <c r="Y4" i="1"/>
  <c r="AB4" i="1"/>
  <c r="AA4" i="1"/>
  <c r="R4" i="1"/>
  <c r="Z15" i="1"/>
  <c r="Y15" i="1"/>
  <c r="U11" i="1" l="1"/>
  <c r="S11" i="1"/>
  <c r="T9" i="1"/>
  <c r="T11" i="1" s="1"/>
  <c r="U9" i="1"/>
  <c r="V9" i="1"/>
  <c r="O6" i="1"/>
  <c r="P6" i="1" s="1"/>
  <c r="Z6" i="1"/>
  <c r="AA6" i="1" s="1"/>
  <c r="AA7" i="1" s="1"/>
  <c r="X6" i="1"/>
  <c r="M6" i="1"/>
  <c r="M7" i="1" s="1"/>
  <c r="W12" i="1"/>
  <c r="W11" i="1"/>
  <c r="X11" i="1" s="1"/>
  <c r="X4" i="1"/>
  <c r="AD4" i="1"/>
  <c r="U4" i="1"/>
  <c r="T4" i="1"/>
  <c r="M4" i="1"/>
  <c r="M11" i="1"/>
  <c r="L12" i="1"/>
  <c r="L11" i="1"/>
  <c r="S4" i="1"/>
  <c r="B26" i="1"/>
  <c r="H8" i="1"/>
  <c r="H6" i="1"/>
  <c r="C5" i="1"/>
  <c r="C10" i="1" s="1"/>
  <c r="H20" i="1"/>
  <c r="B6" i="1"/>
  <c r="B8" i="1"/>
  <c r="H33" i="1"/>
  <c r="G33" i="1"/>
  <c r="F33" i="1"/>
  <c r="E33" i="1"/>
  <c r="D33" i="1"/>
  <c r="C33" i="1"/>
  <c r="B33" i="1"/>
  <c r="H32" i="1"/>
  <c r="G32" i="1"/>
  <c r="F32" i="1"/>
  <c r="E32" i="1"/>
  <c r="D32" i="1"/>
  <c r="C32" i="1"/>
  <c r="B32" i="1"/>
  <c r="E31" i="1"/>
  <c r="H9" i="1" s="1"/>
  <c r="I9" i="1" s="1"/>
  <c r="I11" i="1" s="1"/>
  <c r="D30" i="1"/>
  <c r="B30" i="1"/>
  <c r="C25" i="1"/>
  <c r="B27" i="1"/>
  <c r="B25" i="1"/>
  <c r="H21" i="1"/>
  <c r="G21" i="1"/>
  <c r="F21" i="1"/>
  <c r="E21" i="1"/>
  <c r="D21" i="1"/>
  <c r="C21" i="1"/>
  <c r="B21" i="1"/>
  <c r="G20" i="1"/>
  <c r="F20" i="1"/>
  <c r="E20" i="1"/>
  <c r="D20" i="1"/>
  <c r="C20" i="1"/>
  <c r="B20" i="1"/>
  <c r="B19" i="1"/>
  <c r="C13" i="1"/>
  <c r="B15" i="1"/>
  <c r="B14" i="1"/>
  <c r="B13" i="1"/>
  <c r="B50" i="1"/>
  <c r="B44" i="1"/>
  <c r="E49" i="1"/>
  <c r="B49" i="1"/>
  <c r="E45" i="1"/>
  <c r="B47" i="1"/>
  <c r="E47" i="1"/>
  <c r="B46" i="1"/>
  <c r="B45" i="1"/>
  <c r="R10" i="1" l="1"/>
  <c r="D25" i="1"/>
</calcChain>
</file>

<file path=xl/sharedStrings.xml><?xml version="1.0" encoding="utf-8"?>
<sst xmlns="http://schemas.openxmlformats.org/spreadsheetml/2006/main" count="173" uniqueCount="125">
  <si>
    <t>COSTING</t>
  </si>
  <si>
    <t>LIQUEFACTION UNITS</t>
  </si>
  <si>
    <t>SACCHARIFICATION UNITS</t>
  </si>
  <si>
    <t>HEAT EXCHANGER FOR HEATING TOWNS WATER</t>
  </si>
  <si>
    <t>PUMP</t>
  </si>
  <si>
    <t>HEAT EXCHANGER FOR COOLING GLUCOSE SOLUTION</t>
  </si>
  <si>
    <t>INTERNALS</t>
  </si>
  <si>
    <t>SHAFT</t>
  </si>
  <si>
    <t>TURBINES</t>
  </si>
  <si>
    <t>TURBINES PITCH BLADE</t>
  </si>
  <si>
    <t>HEATING JACKET</t>
  </si>
  <si>
    <t>BAFFLES</t>
  </si>
  <si>
    <t>SUPPORT STRUCTURE</t>
  </si>
  <si>
    <t>sy</t>
  </si>
  <si>
    <t>ro</t>
  </si>
  <si>
    <t>price</t>
  </si>
  <si>
    <t>global composite steel price and index also carbon steel and ss grade 304 indices</t>
  </si>
  <si>
    <t>price $/t</t>
  </si>
  <si>
    <t>index</t>
  </si>
  <si>
    <t>https://worldsteelprices.com/</t>
  </si>
  <si>
    <t>world steel prices</t>
  </si>
  <si>
    <t>AINSI MATERIAL FOR PROPERTIES</t>
  </si>
  <si>
    <t>GRADE 304 SS</t>
  </si>
  <si>
    <t>CARBON STEEL</t>
  </si>
  <si>
    <t>CURRENT INDEX</t>
  </si>
  <si>
    <t>CONVERSION</t>
  </si>
  <si>
    <t>PRICE IN £/t</t>
  </si>
  <si>
    <t>MASS</t>
  </si>
  <si>
    <t>LIQUEFACTION REACTOR</t>
  </si>
  <si>
    <t>WALL</t>
  </si>
  <si>
    <t>HEIGHT</t>
  </si>
  <si>
    <t>DIAMETER</t>
  </si>
  <si>
    <t>TOTAL MASS</t>
  </si>
  <si>
    <t>Shaft</t>
  </si>
  <si>
    <t>FOR HEATING JACKET USE PERRY P.18-23 AND 18-24  jacket and heating coils</t>
  </si>
  <si>
    <t>reduce area for liquefaction heating specified</t>
  </si>
  <si>
    <t>HEATING JACKET area</t>
  </si>
  <si>
    <t>BAFFLES height width and thickness thickness typically DT/100</t>
  </si>
  <si>
    <t>FOR BLADE THICKNESS PITCHED BLADE TURBINE DOWN FLOW r.mezaki  M. Mochizuki, engineering data on mixing elsevier 1st edition 2000, p 197</t>
  </si>
  <si>
    <t>TURBINES length, diameter and thickness</t>
  </si>
  <si>
    <t>Saccharification reactor mass</t>
  </si>
  <si>
    <t>design at 5 bar stainless steel</t>
  </si>
  <si>
    <t>sterilisation sparge witrh steam initially or heat prior to cooling. Incoming substance at 90 C</t>
  </si>
  <si>
    <t>COMMON STERILISING TEMPERATURES PERFORMED BY STEAM ARE 121 DEGREES. Achieve trace heating for minimal time in both reactors. SUPPLY PRESENT</t>
  </si>
  <si>
    <t>HELICAL COOLING COILS</t>
  </si>
  <si>
    <t>proposal for heat integration scheme B. Ivanov K. Peneva N. Bancheva Heat integration in batch reactors operating in different time intervals part I. A hot cold reactor system with two storage tanks  Hungarian Journal of Industrial Chemistry VESZPREM  Vol. 21 pp. 201-207 (1993)</t>
  </si>
  <si>
    <t xml:space="preserve">Duty </t>
  </si>
  <si>
    <t>Tube outer</t>
  </si>
  <si>
    <t>Tube inner</t>
  </si>
  <si>
    <t>Length</t>
  </si>
  <si>
    <t>number</t>
  </si>
  <si>
    <t>mass</t>
  </si>
  <si>
    <t>for tubes</t>
  </si>
  <si>
    <t>Shell diam</t>
  </si>
  <si>
    <t>design pressure</t>
  </si>
  <si>
    <t>for shell thickness</t>
  </si>
  <si>
    <t>use lmtd</t>
  </si>
  <si>
    <t>lmtd</t>
  </si>
  <si>
    <t>for such a heat exchanger</t>
  </si>
  <si>
    <t>tema standard</t>
  </si>
  <si>
    <t>ACCORDING TO TEMA</t>
  </si>
  <si>
    <t>STICK WITH THIS</t>
  </si>
  <si>
    <t>OVERALL PRICE</t>
  </si>
  <si>
    <t>RPM</t>
  </si>
  <si>
    <t>D AFFINITY LAWS</t>
  </si>
  <si>
    <t>roughly 110 000</t>
  </si>
  <si>
    <t>https://link.springer.com/content/pdf/bbm%3A978-94-011-6544-0%2F1.pdf</t>
  </si>
  <si>
    <t>equipment cost estimates</t>
  </si>
  <si>
    <t>p.11-44 PERRY</t>
  </si>
  <si>
    <t>1960 MARSHALL AND SWIFT INDEX</t>
  </si>
  <si>
    <t xml:space="preserve">675 BACK THEN </t>
  </si>
  <si>
    <t>NOW 1400</t>
  </si>
  <si>
    <t>PRICE</t>
  </si>
  <si>
    <t xml:space="preserve">COULSON AND RICHARDSON P.259 </t>
  </si>
  <si>
    <t>MID 2004</t>
  </si>
  <si>
    <t>EQUATION Ce=CS^n</t>
  </si>
  <si>
    <t>C</t>
  </si>
  <si>
    <t>S</t>
  </si>
  <si>
    <t>n</t>
  </si>
  <si>
    <t>Ce</t>
  </si>
  <si>
    <t>accuracy within +-25%</t>
  </si>
  <si>
    <t>cost today</t>
  </si>
  <si>
    <t>avg inflation rate</t>
  </si>
  <si>
    <t>250-450 coulsonand richardson chemical engineering design vol.6 p.639</t>
  </si>
  <si>
    <t>dtlm</t>
  </si>
  <si>
    <t>A</t>
  </si>
  <si>
    <t>cost</t>
  </si>
  <si>
    <t>liquefaction body</t>
  </si>
  <si>
    <t>saccharification body</t>
  </si>
  <si>
    <t>total</t>
  </si>
  <si>
    <t>TOTAL</t>
  </si>
  <si>
    <t>COST</t>
  </si>
  <si>
    <t>UTILITY REQUIREMENTS</t>
  </si>
  <si>
    <t>LPS</t>
  </si>
  <si>
    <t>COOLING WATER</t>
  </si>
  <si>
    <t>DT SACCHARIFICATION IS 9,33</t>
  </si>
  <si>
    <t>DT LIQUEFACTION IS 14.06</t>
  </si>
  <si>
    <t>ENERGY DUTY</t>
  </si>
  <si>
    <t>TOWNS WATER HEATING</t>
  </si>
  <si>
    <t xml:space="preserve">GLUCOSE SOLUTION COOLING </t>
  </si>
  <si>
    <t>LIQUEFACTION REACTORS</t>
  </si>
  <si>
    <t>SACCHARIFICATION REACTORS</t>
  </si>
  <si>
    <t>POWER DUTY</t>
  </si>
  <si>
    <t>SACCHARIFICATION</t>
  </si>
  <si>
    <t>LIQUEFACTION</t>
  </si>
  <si>
    <t>MET BY ELECTRICITY SUPPLY</t>
  </si>
  <si>
    <t>UTILITY</t>
  </si>
  <si>
    <t>Lps 1,77 bar and 131 C</t>
  </si>
  <si>
    <t>cooling water 5 bar 18 C</t>
  </si>
  <si>
    <t>utility outlet</t>
  </si>
  <si>
    <t>lps 1 bar 102.5 C</t>
  </si>
  <si>
    <t>cooling water 42 C 4.5 BAR</t>
  </si>
  <si>
    <t>LPS 1.2 BAR 117 C</t>
  </si>
  <si>
    <t>COOLING WATER 27.3 C 4.5 BAR</t>
  </si>
  <si>
    <t>UTILITY REQUIREMENT KG/S</t>
  </si>
  <si>
    <t>IN KG/h</t>
  </si>
  <si>
    <t>in t/y</t>
  </si>
  <si>
    <t>opex per year</t>
  </si>
  <si>
    <t>identify potential heat integration</t>
  </si>
  <si>
    <t>sum</t>
  </si>
  <si>
    <t xml:space="preserve">cooling water stream being heated to 55  degrees can be warmed by the glucose stream being cooled down </t>
  </si>
  <si>
    <t>batch reactors mention heat integration thu sminimise opex substantially and make process slightly more attractive</t>
  </si>
  <si>
    <t>for saccharification and liquefaction recall every 2 hours and every 10 hours</t>
  </si>
  <si>
    <t>total per annum</t>
  </si>
  <si>
    <t>OPEX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</si>
</sst>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scheme val="minor"/>
    </font>
    <font>
      <sz val="11"/>
      <color rgb="FF00B0F0"/>
      <name val="Calibri"/>
      <family val="2"/>
      <charset val="16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0" fillId="5" borderId="0" xfId="0" applyFill="1"/>
    <xf numFmtId="0" fontId="1" fillId="3" borderId="0" xfId="0" applyFont="1" applyFill="1"/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REAM%20TABLES%20VERSION%20CORRECT%20FLOW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5"/>
      <sheetName val="Sheet4"/>
    </sheetNames>
    <sheetDataSet>
      <sheetData sheetId="0"/>
      <sheetData sheetId="1">
        <row r="5">
          <cell r="Z5">
            <v>3.5376025568217355</v>
          </cell>
        </row>
        <row r="13">
          <cell r="Z13">
            <v>28.300820454573884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ink.springer.com/content/pdf/bbm%3A978-94-011-6544-0%2F1.pdf" TargetMode="External"/><Relationship Id="rId1" Type="http://schemas.openxmlformats.org/officeDocument/2006/relationships/hyperlink" Target="https://worldsteelprice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35802-7785-4CB8-A68B-261670116A91}">
  <dimension ref="A1:AD58"/>
  <sheetViews>
    <sheetView topLeftCell="A43" zoomScale="93" zoomScaleNormal="93" workbookViewId="0">
      <selection activeCell="AA4" sqref="AA4"/>
    </sheetView>
  </sheetViews>
  <sheetFormatPr defaultRowHeight="15" x14ac:dyDescent="0.25"/>
  <cols>
    <col min="2" max="2" width="10" bestFit="1" customWidth="1"/>
    <col min="3" max="3" width="11.85546875" bestFit="1" customWidth="1"/>
    <col min="5" max="5" width="10" bestFit="1" customWidth="1"/>
    <col min="9" max="9" width="11.85546875" bestFit="1" customWidth="1"/>
    <col min="15" max="15" width="11" bestFit="1" customWidth="1"/>
  </cols>
  <sheetData>
    <row r="1" spans="1:30" x14ac:dyDescent="0.25">
      <c r="A1" s="1" t="s">
        <v>0</v>
      </c>
      <c r="B1" t="s">
        <v>22</v>
      </c>
      <c r="H1" t="s">
        <v>22</v>
      </c>
      <c r="M1" t="s">
        <v>23</v>
      </c>
      <c r="T1" t="s">
        <v>23</v>
      </c>
      <c r="X1" t="s">
        <v>23</v>
      </c>
    </row>
    <row r="2" spans="1:30" x14ac:dyDescent="0.25">
      <c r="A2" s="1" t="s">
        <v>1</v>
      </c>
      <c r="G2" s="1" t="s">
        <v>2</v>
      </c>
      <c r="M2" s="1" t="s">
        <v>3</v>
      </c>
      <c r="T2" s="1" t="s">
        <v>4</v>
      </c>
      <c r="X2" s="1" t="s">
        <v>5</v>
      </c>
    </row>
    <row r="3" spans="1:30" x14ac:dyDescent="0.25">
      <c r="M3" s="4" t="s">
        <v>46</v>
      </c>
      <c r="N3" s="4" t="s">
        <v>47</v>
      </c>
      <c r="O3" s="4" t="s">
        <v>48</v>
      </c>
      <c r="P3" s="4" t="s">
        <v>49</v>
      </c>
      <c r="Q3" s="4" t="s">
        <v>50</v>
      </c>
      <c r="R3" s="4" t="s">
        <v>53</v>
      </c>
      <c r="S3" s="4" t="s">
        <v>54</v>
      </c>
      <c r="T3" s="4" t="s">
        <v>63</v>
      </c>
      <c r="U3" s="4" t="s">
        <v>64</v>
      </c>
      <c r="X3" s="4" t="s">
        <v>46</v>
      </c>
      <c r="Y3" s="4" t="s">
        <v>47</v>
      </c>
      <c r="Z3" s="4" t="s">
        <v>48</v>
      </c>
      <c r="AA3" s="4" t="s">
        <v>49</v>
      </c>
      <c r="AB3" s="4" t="s">
        <v>50</v>
      </c>
      <c r="AC3" s="4" t="s">
        <v>53</v>
      </c>
      <c r="AD3" s="4" t="s">
        <v>54</v>
      </c>
    </row>
    <row r="4" spans="1:30" x14ac:dyDescent="0.25">
      <c r="A4" t="s">
        <v>6</v>
      </c>
      <c r="B4" t="s">
        <v>27</v>
      </c>
      <c r="C4" t="s">
        <v>91</v>
      </c>
      <c r="G4" t="s">
        <v>6</v>
      </c>
      <c r="I4" t="s">
        <v>86</v>
      </c>
      <c r="M4">
        <f>39.36*10^6</f>
        <v>39360000</v>
      </c>
      <c r="N4">
        <f>97.5*10^-3</f>
        <v>9.7500000000000003E-2</v>
      </c>
      <c r="O4">
        <f>91.5*10^-3</f>
        <v>9.1499999999999998E-2</v>
      </c>
      <c r="P4">
        <v>8</v>
      </c>
      <c r="Q4">
        <f>620</f>
        <v>620</v>
      </c>
      <c r="R4">
        <f>4</f>
        <v>4</v>
      </c>
      <c r="S4">
        <f>7*10^5</f>
        <v>700000</v>
      </c>
      <c r="T4">
        <f>2284.03</f>
        <v>2284.0300000000002</v>
      </c>
      <c r="U4">
        <f>1.37</f>
        <v>1.37</v>
      </c>
      <c r="X4">
        <f>28.75*10^6</f>
        <v>28750000</v>
      </c>
      <c r="Y4">
        <f>120*10^-3</f>
        <v>0.12</v>
      </c>
      <c r="Z4">
        <f>115*10^-3</f>
        <v>0.115</v>
      </c>
      <c r="AA4">
        <f>10.9</f>
        <v>10.9</v>
      </c>
      <c r="AB4">
        <f>960</f>
        <v>960</v>
      </c>
      <c r="AC4">
        <f>5</f>
        <v>5</v>
      </c>
      <c r="AD4">
        <f>7*10^5</f>
        <v>700000</v>
      </c>
    </row>
    <row r="5" spans="1:30" x14ac:dyDescent="0.25">
      <c r="A5" s="1" t="s">
        <v>7</v>
      </c>
      <c r="B5">
        <f>D18</f>
        <v>105837.39407499292</v>
      </c>
      <c r="C5">
        <f>B5*$B$50/10^3</f>
        <v>213864.87997106806</v>
      </c>
      <c r="G5" s="1" t="s">
        <v>7</v>
      </c>
      <c r="H5">
        <f>D30</f>
        <v>333352.34021205659</v>
      </c>
      <c r="I5">
        <f>H5*$B$50/10^3</f>
        <v>673602.73607087007</v>
      </c>
      <c r="L5" s="3" t="s">
        <v>52</v>
      </c>
      <c r="M5" s="3" t="s">
        <v>51</v>
      </c>
      <c r="N5" s="3"/>
      <c r="O5" s="3" t="s">
        <v>55</v>
      </c>
      <c r="P5" s="3" t="s">
        <v>51</v>
      </c>
      <c r="T5" t="s">
        <v>73</v>
      </c>
      <c r="W5" s="3" t="s">
        <v>52</v>
      </c>
      <c r="X5" s="3" t="s">
        <v>51</v>
      </c>
      <c r="Y5" s="3"/>
      <c r="Z5" s="3" t="s">
        <v>55</v>
      </c>
      <c r="AA5" s="3" t="s">
        <v>51</v>
      </c>
    </row>
    <row r="6" spans="1:30" x14ac:dyDescent="0.25">
      <c r="A6" s="1" t="s">
        <v>9</v>
      </c>
      <c r="B6">
        <f>H21</f>
        <v>1404.3744000000004</v>
      </c>
      <c r="C6">
        <f>B6*$B$50/10^3</f>
        <v>2837.8095012205722</v>
      </c>
      <c r="G6" s="1" t="s">
        <v>8</v>
      </c>
      <c r="H6">
        <f>H33</f>
        <v>11734.815583636364</v>
      </c>
      <c r="I6">
        <f t="shared" ref="I6:I10" si="0">H6*$B$50/10^3</f>
        <v>23712.459553744713</v>
      </c>
      <c r="L6" s="3"/>
      <c r="M6" s="3">
        <f>Q4*(N4^2-O4^2)*PI()*E46/4</f>
        <v>4345.7962194780357</v>
      </c>
      <c r="N6" s="3"/>
      <c r="O6" s="3">
        <f>S4*R4*0.8*10/(2*E45)</f>
        <v>3.6601307189542485E-2</v>
      </c>
      <c r="P6" s="3">
        <f>PI()*R4*O6*P4*E46</f>
        <v>28958.174416524835</v>
      </c>
      <c r="Q6" t="s">
        <v>68</v>
      </c>
      <c r="T6" t="s">
        <v>74</v>
      </c>
      <c r="W6" s="3"/>
      <c r="X6" s="3">
        <f>AB4*(Y4^2-Z4^2)*PI()*E46/4</f>
        <v>6972.2622398179647</v>
      </c>
      <c r="Y6" s="3"/>
      <c r="Z6" s="3">
        <f>AD4*AC4*0.8*10/(2*E45)</f>
        <v>4.5751633986928102E-2</v>
      </c>
      <c r="AA6" s="3">
        <f>PI()*AC4*Z6*AA4*E46</f>
        <v>61649.238503929824</v>
      </c>
      <c r="AB6" t="s">
        <v>68</v>
      </c>
    </row>
    <row r="7" spans="1:30" x14ac:dyDescent="0.25">
      <c r="A7" s="1" t="s">
        <v>10</v>
      </c>
      <c r="B7">
        <f>70*0.6*B46*10</f>
        <v>3385200</v>
      </c>
      <c r="C7">
        <f t="shared" ref="C7:C9" si="1">B7*$B$50/10^3</f>
        <v>6840449.8996363636</v>
      </c>
      <c r="G7" s="1" t="s">
        <v>11</v>
      </c>
      <c r="H7">
        <f>H32</f>
        <v>316036.56874399999</v>
      </c>
      <c r="I7">
        <f t="shared" si="0"/>
        <v>638612.87810064852</v>
      </c>
      <c r="L7" s="3" t="s">
        <v>15</v>
      </c>
      <c r="M7" s="3">
        <f>M6*E50/10^3</f>
        <v>2184.8083326989672</v>
      </c>
      <c r="N7" s="3"/>
      <c r="O7" s="3"/>
      <c r="P7" s="3">
        <f>(E50/10^3)*P6</f>
        <v>14558.450872915642</v>
      </c>
      <c r="Q7" t="s">
        <v>69</v>
      </c>
      <c r="T7" t="s">
        <v>75</v>
      </c>
      <c r="W7" s="3" t="s">
        <v>15</v>
      </c>
      <c r="X7" s="3">
        <f>X6*E50/10^3</f>
        <v>3505.2395165335811</v>
      </c>
      <c r="Y7" s="3"/>
      <c r="Z7" s="3"/>
      <c r="AA7" s="7">
        <f>(E50/10^3)*AA6</f>
        <v>30993.577053668068</v>
      </c>
      <c r="AB7" t="s">
        <v>69</v>
      </c>
    </row>
    <row r="8" spans="1:30" x14ac:dyDescent="0.25">
      <c r="A8" s="1" t="s">
        <v>11</v>
      </c>
      <c r="B8">
        <f>H20</f>
        <v>74669.810611968001</v>
      </c>
      <c r="C8">
        <f t="shared" si="1"/>
        <v>150884.76264519166</v>
      </c>
      <c r="G8" s="1" t="s">
        <v>12</v>
      </c>
      <c r="H8">
        <f>((11.44*PI()*0.21^2)/4)*2*10*B46</f>
        <v>63873.32622229858</v>
      </c>
      <c r="I8">
        <f t="shared" si="0"/>
        <v>129068.38235459148</v>
      </c>
      <c r="L8" s="3" t="s">
        <v>61</v>
      </c>
      <c r="M8" s="3" t="s">
        <v>62</v>
      </c>
      <c r="N8" s="9">
        <f>P7+M7</f>
        <v>16743.25920561461</v>
      </c>
      <c r="O8" s="3"/>
      <c r="P8" s="3"/>
      <c r="Q8" t="s">
        <v>70</v>
      </c>
      <c r="T8" s="3" t="s">
        <v>76</v>
      </c>
      <c r="U8" s="3" t="s">
        <v>77</v>
      </c>
      <c r="V8" s="3" t="s">
        <v>78</v>
      </c>
      <c r="W8" s="3" t="s">
        <v>61</v>
      </c>
      <c r="X8" s="3" t="s">
        <v>62</v>
      </c>
      <c r="Y8" s="3">
        <f>AA7+X7</f>
        <v>34498.816570201649</v>
      </c>
      <c r="Z8" s="3"/>
      <c r="AA8" s="3"/>
      <c r="AB8" t="s">
        <v>70</v>
      </c>
    </row>
    <row r="9" spans="1:30" x14ac:dyDescent="0.25">
      <c r="A9" s="1" t="s">
        <v>87</v>
      </c>
      <c r="B9">
        <f>D13</f>
        <v>1524193.2145515189</v>
      </c>
      <c r="C9">
        <f t="shared" si="1"/>
        <v>3079926.5394970356</v>
      </c>
      <c r="G9" s="1" t="s">
        <v>44</v>
      </c>
      <c r="H9">
        <f>E31</f>
        <v>20826.717258075496</v>
      </c>
      <c r="I9">
        <f t="shared" si="0"/>
        <v>42084.401505895505</v>
      </c>
      <c r="N9" t="s">
        <v>59</v>
      </c>
      <c r="Q9" t="s">
        <v>71</v>
      </c>
      <c r="T9">
        <f>1920</f>
        <v>1920</v>
      </c>
      <c r="U9">
        <f>13.7667</f>
        <v>13.7667</v>
      </c>
      <c r="V9">
        <f>0.8</f>
        <v>0.8</v>
      </c>
      <c r="Y9" t="s">
        <v>59</v>
      </c>
      <c r="AB9" t="s">
        <v>71</v>
      </c>
    </row>
    <row r="10" spans="1:30" x14ac:dyDescent="0.25">
      <c r="A10" s="1" t="s">
        <v>90</v>
      </c>
      <c r="C10" s="7">
        <f>SUM(C5:C9)</f>
        <v>10287963.891250879</v>
      </c>
      <c r="G10" s="1" t="s">
        <v>88</v>
      </c>
      <c r="H10">
        <f>D25</f>
        <v>6102628.1030190624</v>
      </c>
      <c r="I10">
        <f t="shared" si="0"/>
        <v>12331537.810118988</v>
      </c>
      <c r="L10" t="s">
        <v>56</v>
      </c>
      <c r="M10" t="s">
        <v>57</v>
      </c>
      <c r="N10" t="s">
        <v>58</v>
      </c>
      <c r="Q10" s="5" t="s">
        <v>72</v>
      </c>
      <c r="R10">
        <f>N8*1400/675</f>
        <v>34726.759833867342</v>
      </c>
      <c r="S10" t="s">
        <v>82</v>
      </c>
      <c r="T10" s="3" t="s">
        <v>79</v>
      </c>
      <c r="U10" s="3" t="s">
        <v>81</v>
      </c>
      <c r="W10" t="s">
        <v>56</v>
      </c>
      <c r="X10" t="s">
        <v>57</v>
      </c>
      <c r="Y10" t="s">
        <v>58</v>
      </c>
      <c r="AB10" s="5" t="s">
        <v>72</v>
      </c>
      <c r="AC10">
        <f>Y8*1400/675</f>
        <v>71553.101034492312</v>
      </c>
    </row>
    <row r="11" spans="1:30" x14ac:dyDescent="0.25">
      <c r="H11" t="s">
        <v>89</v>
      </c>
      <c r="I11" s="7">
        <f>SUM(I5:I10)</f>
        <v>13838618.667704739</v>
      </c>
      <c r="L11">
        <f>(131-55)</f>
        <v>76</v>
      </c>
      <c r="M11">
        <f>(L11-L12)/(LN(L11/L12))</f>
        <v>79.20555313909469</v>
      </c>
      <c r="S11">
        <f>1.988</f>
        <v>1.988</v>
      </c>
      <c r="T11">
        <f>T9*U9^V9</f>
        <v>15644.623194737826</v>
      </c>
      <c r="U11" s="7">
        <f>T11*(1+S11/100)*0.82</f>
        <v>13083.623409156353</v>
      </c>
      <c r="W11">
        <f>(131-55)</f>
        <v>76</v>
      </c>
      <c r="X11">
        <f>(W11-W12)/(LN(W11/W12))</f>
        <v>79.20555313909469</v>
      </c>
    </row>
    <row r="12" spans="1:30" x14ac:dyDescent="0.25">
      <c r="A12" s="1" t="s">
        <v>28</v>
      </c>
      <c r="C12" t="s">
        <v>27</v>
      </c>
      <c r="D12" t="s">
        <v>32</v>
      </c>
      <c r="L12">
        <f>102.5-20</f>
        <v>82.5</v>
      </c>
      <c r="M12">
        <f>M4/(350*M11)</f>
        <v>1419.8138691065549</v>
      </c>
      <c r="N12" s="6" t="s">
        <v>60</v>
      </c>
      <c r="T12" s="3" t="s">
        <v>80</v>
      </c>
      <c r="W12">
        <f>102.5-20</f>
        <v>82.5</v>
      </c>
      <c r="X12">
        <f>X4/(370*X11)</f>
        <v>981.02594607536173</v>
      </c>
      <c r="Y12" t="s">
        <v>60</v>
      </c>
    </row>
    <row r="13" spans="1:30" x14ac:dyDescent="0.25">
      <c r="A13" s="3" t="s">
        <v>29</v>
      </c>
      <c r="B13">
        <f>44.3*10^-3</f>
        <v>4.4299999999999999E-2</v>
      </c>
      <c r="C13">
        <f>(PI()*(B15^2)*B13*2+PI()*B15*B14*B13)*8060</f>
        <v>152419.32145515189</v>
      </c>
      <c r="D13" s="4">
        <f>10*C13</f>
        <v>1524193.2145515189</v>
      </c>
      <c r="M13" s="6" t="s">
        <v>83</v>
      </c>
    </row>
    <row r="14" spans="1:30" x14ac:dyDescent="0.25">
      <c r="A14" s="3" t="s">
        <v>30</v>
      </c>
      <c r="B14">
        <f>6.73</f>
        <v>6.73</v>
      </c>
      <c r="L14" t="s">
        <v>65</v>
      </c>
      <c r="M14" s="2" t="s">
        <v>66</v>
      </c>
      <c r="T14" t="s">
        <v>67</v>
      </c>
      <c r="Y14" s="3" t="s">
        <v>84</v>
      </c>
      <c r="Z14" t="s">
        <v>85</v>
      </c>
    </row>
    <row r="15" spans="1:30" x14ac:dyDescent="0.25">
      <c r="A15" s="3" t="s">
        <v>31</v>
      </c>
      <c r="B15">
        <f>6.73</f>
        <v>6.73</v>
      </c>
      <c r="Y15">
        <f>14.91</f>
        <v>14.91</v>
      </c>
      <c r="Z15">
        <f>X4/(Y15*450)</f>
        <v>4284.969073701468</v>
      </c>
    </row>
    <row r="18" spans="1:8" x14ac:dyDescent="0.25">
      <c r="A18" s="3" t="s">
        <v>33</v>
      </c>
      <c r="B18">
        <f>(B14-0.2)*(PI()*0.506^2)/4</f>
        <v>1.3131190331884977</v>
      </c>
      <c r="C18">
        <f>B18*B46</f>
        <v>10583.739407499292</v>
      </c>
      <c r="D18" s="4">
        <f>C18*10</f>
        <v>105837.39407499292</v>
      </c>
    </row>
    <row r="19" spans="1:8" x14ac:dyDescent="0.25">
      <c r="A19" s="3" t="s">
        <v>36</v>
      </c>
      <c r="B19" s="7">
        <f>70</f>
        <v>70</v>
      </c>
    </row>
    <row r="20" spans="1:8" x14ac:dyDescent="0.25">
      <c r="A20" s="3" t="s">
        <v>37</v>
      </c>
      <c r="B20">
        <f>5.112</f>
        <v>5.1120000000000001</v>
      </c>
      <c r="C20">
        <f>0.673</f>
        <v>0.67300000000000004</v>
      </c>
      <c r="D20">
        <f>6.732/100</f>
        <v>6.7320000000000005E-2</v>
      </c>
      <c r="E20">
        <f>D20*C20*B20</f>
        <v>0.23160611232000003</v>
      </c>
      <c r="F20">
        <f>E20*B46</f>
        <v>1866.7452652992001</v>
      </c>
      <c r="G20">
        <f>F20*4</f>
        <v>7466.9810611968005</v>
      </c>
      <c r="H20" s="4">
        <f>G20*10</f>
        <v>74669.810611968001</v>
      </c>
    </row>
    <row r="21" spans="1:8" x14ac:dyDescent="0.25">
      <c r="A21" s="3" t="s">
        <v>39</v>
      </c>
      <c r="B21">
        <f>2.2</f>
        <v>2.2000000000000002</v>
      </c>
      <c r="C21">
        <f>0.44</f>
        <v>0.44</v>
      </c>
      <c r="D21">
        <f>3*10^-3</f>
        <v>3.0000000000000001E-3</v>
      </c>
      <c r="E21">
        <f>3*D21*C21*B21</f>
        <v>8.7120000000000027E-3</v>
      </c>
      <c r="F21">
        <f>E21*B46</f>
        <v>70.218720000000019</v>
      </c>
      <c r="G21">
        <f>2*F21</f>
        <v>140.43744000000004</v>
      </c>
      <c r="H21" s="4">
        <f>10*G21</f>
        <v>1404.3744000000004</v>
      </c>
    </row>
    <row r="24" spans="1:8" x14ac:dyDescent="0.25">
      <c r="A24" s="1" t="s">
        <v>40</v>
      </c>
      <c r="C24" t="s">
        <v>27</v>
      </c>
      <c r="D24" t="s">
        <v>32</v>
      </c>
    </row>
    <row r="25" spans="1:8" x14ac:dyDescent="0.25">
      <c r="A25" s="3" t="s">
        <v>29</v>
      </c>
      <c r="B25">
        <f>70.3*10^-3</f>
        <v>7.0300000000000001E-2</v>
      </c>
      <c r="C25">
        <f>(PI()*(B27^2)*B25*2+PI()*B27*B26*B25)*8060</f>
        <v>610262.8103019062</v>
      </c>
      <c r="D25" s="4">
        <f>10*C25</f>
        <v>6102628.1030190624</v>
      </c>
    </row>
    <row r="26" spans="1:8" x14ac:dyDescent="0.25">
      <c r="A26" s="3" t="s">
        <v>30</v>
      </c>
      <c r="B26">
        <f>10.69</f>
        <v>10.69</v>
      </c>
    </row>
    <row r="27" spans="1:8" x14ac:dyDescent="0.25">
      <c r="A27" s="3" t="s">
        <v>31</v>
      </c>
      <c r="B27">
        <f>10.69</f>
        <v>10.69</v>
      </c>
    </row>
    <row r="30" spans="1:8" x14ac:dyDescent="0.25">
      <c r="A30" s="3" t="s">
        <v>33</v>
      </c>
      <c r="B30">
        <f>(B26-1*3.53/3)*(PI()*0.744^2)/4</f>
        <v>4.1358851142935062</v>
      </c>
      <c r="C30">
        <f>B30*B46</f>
        <v>33335.234021205659</v>
      </c>
      <c r="D30" s="4">
        <f>C30*10</f>
        <v>333352.34021205659</v>
      </c>
    </row>
    <row r="31" spans="1:8" x14ac:dyDescent="0.25">
      <c r="A31" s="3" t="s">
        <v>36</v>
      </c>
      <c r="B31" s="7">
        <v>76.95</v>
      </c>
      <c r="C31">
        <f>(PI()*0.5*3.29*10^-3)*50</f>
        <v>0.25839599575776051</v>
      </c>
      <c r="D31">
        <f>C31*B46</f>
        <v>2082.6717258075496</v>
      </c>
      <c r="E31" s="4">
        <f>D31*10</f>
        <v>20826.717258075496</v>
      </c>
      <c r="F31" t="s">
        <v>41</v>
      </c>
    </row>
    <row r="32" spans="1:8" x14ac:dyDescent="0.25">
      <c r="A32" s="3" t="s">
        <v>37</v>
      </c>
      <c r="B32">
        <f>8.57</f>
        <v>8.57</v>
      </c>
      <c r="C32">
        <f>1.07</f>
        <v>1.07</v>
      </c>
      <c r="D32">
        <f>B26/100</f>
        <v>0.1069</v>
      </c>
      <c r="E32">
        <f>D32*C32*B32</f>
        <v>0.98026230999999997</v>
      </c>
      <c r="F32">
        <f>E32*B46</f>
        <v>7900.9142185999999</v>
      </c>
      <c r="G32">
        <f>F32*4</f>
        <v>31603.6568744</v>
      </c>
      <c r="H32" s="4">
        <f>G32*10</f>
        <v>316036.56874399999</v>
      </c>
    </row>
    <row r="33" spans="1:8" x14ac:dyDescent="0.25">
      <c r="A33" s="3" t="s">
        <v>39</v>
      </c>
      <c r="B33">
        <f>3.53</f>
        <v>3.53</v>
      </c>
      <c r="C33">
        <f>0.71</f>
        <v>0.71</v>
      </c>
      <c r="D33">
        <f>D21*(C33/C21)</f>
        <v>4.840909090909091E-3</v>
      </c>
      <c r="E33">
        <f>3*D33*C33*B33</f>
        <v>3.6398311363636367E-2</v>
      </c>
      <c r="F33">
        <f>E33*B46</f>
        <v>293.3703895909091</v>
      </c>
      <c r="G33">
        <f>4*F33</f>
        <v>1173.4815583636364</v>
      </c>
      <c r="H33" s="4">
        <f>10*G33</f>
        <v>11734.815583636364</v>
      </c>
    </row>
    <row r="35" spans="1:8" x14ac:dyDescent="0.25">
      <c r="A35" s="3" t="s">
        <v>42</v>
      </c>
    </row>
    <row r="36" spans="1:8" x14ac:dyDescent="0.25">
      <c r="A36" s="3" t="s">
        <v>43</v>
      </c>
    </row>
    <row r="40" spans="1:8" x14ac:dyDescent="0.25">
      <c r="D40" t="s">
        <v>16</v>
      </c>
    </row>
    <row r="43" spans="1:8" x14ac:dyDescent="0.25">
      <c r="B43" s="1" t="s">
        <v>22</v>
      </c>
      <c r="E43" s="1" t="s">
        <v>23</v>
      </c>
    </row>
    <row r="44" spans="1:8" x14ac:dyDescent="0.25">
      <c r="A44" t="s">
        <v>25</v>
      </c>
      <c r="B44">
        <f>0.82</f>
        <v>0.82</v>
      </c>
    </row>
    <row r="45" spans="1:8" x14ac:dyDescent="0.25">
      <c r="A45" s="1" t="s">
        <v>13</v>
      </c>
      <c r="B45">
        <f>475*10^6</f>
        <v>475000000</v>
      </c>
      <c r="E45">
        <f>306*10^6</f>
        <v>306000000</v>
      </c>
    </row>
    <row r="46" spans="1:8" x14ac:dyDescent="0.25">
      <c r="A46" s="1" t="s">
        <v>14</v>
      </c>
      <c r="B46">
        <f>8060</f>
        <v>8060</v>
      </c>
      <c r="E46">
        <v>7870</v>
      </c>
    </row>
    <row r="47" spans="1:8" x14ac:dyDescent="0.25">
      <c r="A47" s="1" t="s">
        <v>17</v>
      </c>
      <c r="B47">
        <f>2492</f>
        <v>2492</v>
      </c>
      <c r="E47">
        <f>620</f>
        <v>620</v>
      </c>
    </row>
    <row r="48" spans="1:8" x14ac:dyDescent="0.25">
      <c r="A48" s="1" t="s">
        <v>18</v>
      </c>
      <c r="B48">
        <v>132.80000000000001</v>
      </c>
      <c r="E48">
        <v>155.4</v>
      </c>
    </row>
    <row r="49" spans="1:5" x14ac:dyDescent="0.25">
      <c r="A49" s="1" t="s">
        <v>24</v>
      </c>
      <c r="B49">
        <f>B48*533/539</f>
        <v>131.32170686456402</v>
      </c>
      <c r="E49">
        <f>E48*533/539</f>
        <v>153.67012987012987</v>
      </c>
    </row>
    <row r="50" spans="1:5" x14ac:dyDescent="0.25">
      <c r="A50" s="1" t="s">
        <v>26</v>
      </c>
      <c r="B50" s="3">
        <f>B47*B44*B49/B48</f>
        <v>2020.692987012987</v>
      </c>
      <c r="E50" s="3">
        <f>E47*E49*B44/E48</f>
        <v>502.74063079777358</v>
      </c>
    </row>
    <row r="53" spans="1:5" x14ac:dyDescent="0.25">
      <c r="A53" t="s">
        <v>20</v>
      </c>
      <c r="B53" s="2" t="s">
        <v>19</v>
      </c>
    </row>
    <row r="54" spans="1:5" x14ac:dyDescent="0.25">
      <c r="A54" t="s">
        <v>21</v>
      </c>
    </row>
    <row r="55" spans="1:5" x14ac:dyDescent="0.25">
      <c r="A55" t="s">
        <v>34</v>
      </c>
    </row>
    <row r="56" spans="1:5" x14ac:dyDescent="0.25">
      <c r="A56" t="s">
        <v>35</v>
      </c>
    </row>
    <row r="57" spans="1:5" x14ac:dyDescent="0.25">
      <c r="A57" t="s">
        <v>38</v>
      </c>
    </row>
    <row r="58" spans="1:5" x14ac:dyDescent="0.25">
      <c r="A58" t="s">
        <v>45</v>
      </c>
    </row>
  </sheetData>
  <hyperlinks>
    <hyperlink ref="B53" r:id="rId1" xr:uid="{0E61F0F6-BCE8-4F02-8FC9-20C0A4808C81}"/>
    <hyperlink ref="M14" r:id="rId2" xr:uid="{F0351594-1214-49B8-A1EF-5A71B96691C8}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DD2D1-6C71-448D-83F9-6A8759E195F5}">
  <dimension ref="A1:L17"/>
  <sheetViews>
    <sheetView tabSelected="1" workbookViewId="0">
      <selection activeCell="C4" sqref="C4"/>
    </sheetView>
  </sheetViews>
  <sheetFormatPr defaultRowHeight="15" x14ac:dyDescent="0.25"/>
  <cols>
    <col min="7" max="7" width="12" bestFit="1" customWidth="1"/>
    <col min="8" max="8" width="10" bestFit="1" customWidth="1"/>
  </cols>
  <sheetData>
    <row r="1" spans="1:12" x14ac:dyDescent="0.25">
      <c r="A1" s="1" t="s">
        <v>92</v>
      </c>
      <c r="D1" t="s">
        <v>95</v>
      </c>
    </row>
    <row r="2" spans="1:12" x14ac:dyDescent="0.25">
      <c r="D2" t="s">
        <v>96</v>
      </c>
    </row>
    <row r="3" spans="1:12" x14ac:dyDescent="0.25">
      <c r="A3" t="s">
        <v>93</v>
      </c>
    </row>
    <row r="4" spans="1:12" x14ac:dyDescent="0.25">
      <c r="A4" t="s">
        <v>94</v>
      </c>
    </row>
    <row r="5" spans="1:12" x14ac:dyDescent="0.25">
      <c r="E5" t="s">
        <v>122</v>
      </c>
    </row>
    <row r="8" spans="1:12" x14ac:dyDescent="0.25">
      <c r="A8" t="s">
        <v>124</v>
      </c>
      <c r="K8" t="s">
        <v>105</v>
      </c>
    </row>
    <row r="9" spans="1:12" x14ac:dyDescent="0.25">
      <c r="A9" s="3" t="s">
        <v>97</v>
      </c>
      <c r="C9" s="3" t="s">
        <v>106</v>
      </c>
      <c r="D9" s="3" t="s">
        <v>109</v>
      </c>
      <c r="E9" s="3" t="s">
        <v>114</v>
      </c>
      <c r="F9" s="3" t="s">
        <v>115</v>
      </c>
      <c r="G9" s="3" t="s">
        <v>116</v>
      </c>
      <c r="H9" s="3" t="s">
        <v>117</v>
      </c>
      <c r="J9" s="3" t="s">
        <v>102</v>
      </c>
      <c r="K9" s="3" t="s">
        <v>105</v>
      </c>
    </row>
    <row r="10" spans="1:12" x14ac:dyDescent="0.25">
      <c r="A10" s="8" t="s">
        <v>98</v>
      </c>
      <c r="B10">
        <f>39.36*10^6</f>
        <v>39360000</v>
      </c>
      <c r="C10" t="s">
        <v>107</v>
      </c>
      <c r="D10" t="s">
        <v>110</v>
      </c>
      <c r="E10">
        <f>778</f>
        <v>778</v>
      </c>
      <c r="F10">
        <f>E10*3600</f>
        <v>2800800</v>
      </c>
      <c r="G10">
        <f>F10*8000/(10*10^3)</f>
        <v>2240640</v>
      </c>
      <c r="H10" s="3">
        <f>10*G10</f>
        <v>22406400</v>
      </c>
      <c r="I10" s="8" t="s">
        <v>4</v>
      </c>
      <c r="J10">
        <f>13.75*10^3</f>
        <v>13750</v>
      </c>
      <c r="K10">
        <f>J10*8000/10^3</f>
        <v>110000</v>
      </c>
      <c r="L10">
        <f>K10*0.11</f>
        <v>12100</v>
      </c>
    </row>
    <row r="11" spans="1:12" x14ac:dyDescent="0.25">
      <c r="A11" s="8" t="s">
        <v>99</v>
      </c>
      <c r="B11">
        <f>28.75*10^6</f>
        <v>28750000</v>
      </c>
      <c r="C11" t="s">
        <v>108</v>
      </c>
      <c r="D11" t="s">
        <v>111</v>
      </c>
      <c r="E11">
        <f>277.8</f>
        <v>277.8</v>
      </c>
      <c r="F11">
        <f t="shared" ref="F11" si="0">E11*3600</f>
        <v>1000080</v>
      </c>
      <c r="G11">
        <f>F11*8000/(10*10^3)</f>
        <v>800064</v>
      </c>
      <c r="H11">
        <f>0.07*G11</f>
        <v>56004.480000000003</v>
      </c>
      <c r="I11" s="8" t="s">
        <v>103</v>
      </c>
      <c r="J11">
        <f>[1]Sheet2!$Z$13*10^6</f>
        <v>28300820.454573885</v>
      </c>
      <c r="K11">
        <f>J11*8000/(10*10^3)</f>
        <v>22640656.363659106</v>
      </c>
      <c r="L11">
        <f t="shared" ref="L11:L12" si="1">K11*0.11</f>
        <v>2490472.2000025017</v>
      </c>
    </row>
    <row r="12" spans="1:12" x14ac:dyDescent="0.25">
      <c r="A12" s="8" t="s">
        <v>100</v>
      </c>
      <c r="B12">
        <f>48.91*10^6</f>
        <v>48910000</v>
      </c>
      <c r="C12" t="s">
        <v>107</v>
      </c>
      <c r="D12" t="s">
        <v>112</v>
      </c>
      <c r="E12">
        <f>177.856*4</f>
        <v>711.42399999999998</v>
      </c>
      <c r="F12">
        <f>E12*3600</f>
        <v>2561126.3999999999</v>
      </c>
      <c r="G12">
        <f>F12*8000/(10*10^3)</f>
        <v>2048901.1200000001</v>
      </c>
      <c r="H12" s="3">
        <f>G12*10</f>
        <v>20489011.200000003</v>
      </c>
      <c r="I12" s="8" t="s">
        <v>104</v>
      </c>
      <c r="J12">
        <f>[1]Sheet2!$Z$5*10^6</f>
        <v>3537602.5568217356</v>
      </c>
      <c r="K12">
        <f>J12*8000/(10*10^3)</f>
        <v>2830082.0454573883</v>
      </c>
      <c r="L12">
        <f t="shared" si="1"/>
        <v>311309.02500031271</v>
      </c>
    </row>
    <row r="13" spans="1:12" x14ac:dyDescent="0.25">
      <c r="A13" s="8" t="s">
        <v>101</v>
      </c>
      <c r="B13">
        <f>48.91*10^6</f>
        <v>48910000</v>
      </c>
      <c r="C13" t="s">
        <v>108</v>
      </c>
      <c r="D13" t="s">
        <v>113</v>
      </c>
      <c r="E13">
        <f>123*16</f>
        <v>1968</v>
      </c>
      <c r="F13">
        <f>E13*3600</f>
        <v>7084800</v>
      </c>
      <c r="G13">
        <f>F13*8000/(10*10^3)</f>
        <v>5667840</v>
      </c>
      <c r="H13">
        <f>G13*0.07</f>
        <v>396748.80000000005</v>
      </c>
    </row>
    <row r="14" spans="1:12" x14ac:dyDescent="0.25">
      <c r="A14" s="8"/>
      <c r="G14" t="s">
        <v>119</v>
      </c>
      <c r="H14">
        <f>SUM(H10:H13)</f>
        <v>43348164.480000004</v>
      </c>
      <c r="K14" t="s">
        <v>119</v>
      </c>
      <c r="L14">
        <f>SUM(L10:L12)</f>
        <v>2813881.2250028145</v>
      </c>
    </row>
    <row r="15" spans="1:12" x14ac:dyDescent="0.25">
      <c r="A15" s="8"/>
      <c r="C15" t="s">
        <v>118</v>
      </c>
      <c r="G15" t="s">
        <v>123</v>
      </c>
      <c r="H15">
        <f>H14+L14</f>
        <v>46162045.705002822</v>
      </c>
    </row>
    <row r="16" spans="1:12" x14ac:dyDescent="0.25">
      <c r="A16" s="8"/>
      <c r="E16" t="s">
        <v>120</v>
      </c>
    </row>
    <row r="17" spans="1:5" x14ac:dyDescent="0.25">
      <c r="A17" s="8"/>
      <c r="E17" t="s">
        <v>121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Ploussiou</dc:creator>
  <cp:lastModifiedBy>Nataly Ploussiou</cp:lastModifiedBy>
  <dcterms:created xsi:type="dcterms:W3CDTF">2020-05-19T13:46:35Z</dcterms:created>
  <dcterms:modified xsi:type="dcterms:W3CDTF">2020-05-23T14:44:26Z</dcterms:modified>
</cp:coreProperties>
</file>