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oussiou\Desktop\DP 2020\Task C\"/>
    </mc:Choice>
  </mc:AlternateContent>
  <xr:revisionPtr revIDLastSave="0" documentId="13_ncr:1_{1A3E5621-AEBD-43A9-920D-147D25FCFF5A}" xr6:coauthVersionLast="45" xr6:coauthVersionMax="45" xr10:uidLastSave="{00000000-0000-0000-0000-000000000000}"/>
  <bookViews>
    <workbookView xWindow="-120" yWindow="-120" windowWidth="20730" windowHeight="11160" tabRatio="618" firstSheet="1" activeTab="2" xr2:uid="{CBB5E676-25F3-42AD-A27D-42DD5F3D39ED}"/>
  </bookViews>
  <sheets>
    <sheet name="Sheet1" sheetId="1" r:id="rId1"/>
    <sheet name="Sheet6" sheetId="6" r:id="rId2"/>
    <sheet name="Sheet2" sheetId="2" r:id="rId3"/>
    <sheet name="Sheet7" sheetId="7" r:id="rId4"/>
    <sheet name="Sheet3" sheetId="3" r:id="rId5"/>
    <sheet name="Sheet5" sheetId="5" r:id="rId6"/>
    <sheet name="Sheet8" sheetId="8" r:id="rId7"/>
    <sheet name="Sheet4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6" i="2" l="1"/>
  <c r="D44" i="2"/>
  <c r="B47" i="2"/>
  <c r="D52" i="2"/>
  <c r="B48" i="2" s="1"/>
  <c r="H60" i="2"/>
  <c r="G60" i="2"/>
  <c r="F60" i="2"/>
  <c r="E60" i="2"/>
  <c r="B44" i="2"/>
  <c r="B57" i="2"/>
  <c r="X17" i="4"/>
  <c r="I22" i="4"/>
  <c r="B4" i="4"/>
  <c r="C18" i="4"/>
  <c r="W17" i="4"/>
  <c r="A18" i="4"/>
  <c r="I18" i="4" s="1"/>
  <c r="S22" i="4"/>
  <c r="C4" i="4"/>
  <c r="X50" i="2"/>
  <c r="W50" i="2"/>
  <c r="W51" i="2"/>
  <c r="Y54" i="2"/>
  <c r="M51" i="2"/>
  <c r="AB38" i="2"/>
  <c r="S17" i="4"/>
  <c r="V17" i="4"/>
  <c r="R22" i="4"/>
  <c r="B18" i="4"/>
  <c r="J22" i="4"/>
  <c r="R18" i="4"/>
  <c r="G22" i="4"/>
  <c r="H18" i="4"/>
  <c r="H22" i="4" s="1"/>
  <c r="T17" i="4" l="1"/>
  <c r="U17" i="4" s="1"/>
  <c r="T22" i="4"/>
  <c r="U22" i="4" s="1"/>
  <c r="X51" i="2"/>
  <c r="L18" i="4"/>
  <c r="N18" i="4" s="1"/>
  <c r="H8" i="5"/>
  <c r="I8" i="5" s="1"/>
  <c r="D31" i="5"/>
  <c r="D30" i="5"/>
  <c r="H5" i="5"/>
  <c r="H10" i="5"/>
  <c r="C31" i="5"/>
  <c r="C6" i="5"/>
  <c r="B7" i="5"/>
  <c r="B19" i="5"/>
  <c r="C7" i="5" s="1"/>
  <c r="B6" i="5"/>
  <c r="B9" i="5"/>
  <c r="C8" i="5"/>
  <c r="B8" i="5"/>
  <c r="G21" i="5"/>
  <c r="C5" i="5"/>
  <c r="B5" i="5"/>
  <c r="D18" i="5"/>
  <c r="B18" i="5"/>
  <c r="B89" i="2"/>
  <c r="E3" i="8"/>
  <c r="J2" i="8"/>
  <c r="H3" i="8"/>
  <c r="J4" i="8"/>
  <c r="K3" i="8"/>
  <c r="F3" i="8"/>
  <c r="F5" i="8"/>
  <c r="J3" i="8"/>
  <c r="H9" i="8"/>
  <c r="H8" i="8"/>
  <c r="H7" i="8"/>
  <c r="H6" i="8"/>
  <c r="H5" i="8"/>
  <c r="F10" i="8"/>
  <c r="E10" i="8"/>
  <c r="E9" i="8"/>
  <c r="E8" i="8"/>
  <c r="F7" i="8"/>
  <c r="E7" i="8"/>
  <c r="J5" i="8"/>
  <c r="H4" i="8"/>
  <c r="E5" i="8"/>
  <c r="F4" i="8"/>
  <c r="E4" i="8"/>
  <c r="D3" i="8"/>
  <c r="C4" i="8"/>
  <c r="B6" i="8"/>
  <c r="A6" i="8"/>
  <c r="C3" i="8"/>
  <c r="B3" i="8"/>
  <c r="A3" i="8"/>
  <c r="B16" i="3"/>
  <c r="B20" i="3" s="1"/>
  <c r="B21" i="3" s="1"/>
  <c r="C20" i="3"/>
  <c r="C70" i="2"/>
  <c r="I71" i="2"/>
  <c r="B25" i="4"/>
  <c r="A25" i="4"/>
  <c r="K22" i="4"/>
  <c r="F22" i="4"/>
  <c r="B22" i="4"/>
  <c r="P18" i="4"/>
  <c r="D6" i="4"/>
  <c r="M18" i="4" s="1"/>
  <c r="K18" i="4"/>
  <c r="J18" i="4"/>
  <c r="G18" i="4"/>
  <c r="F18" i="4"/>
  <c r="E18" i="4"/>
  <c r="E22" i="4" s="1"/>
  <c r="N16" i="3" a="1"/>
  <c r="N16" i="3" s="1"/>
  <c r="N4" i="4"/>
  <c r="L4" i="4"/>
  <c r="M4" i="4"/>
  <c r="J4" i="4"/>
  <c r="B11" i="6"/>
  <c r="F4" i="4"/>
  <c r="E4" i="4"/>
  <c r="B2" i="4"/>
  <c r="H4" i="4" s="1"/>
  <c r="B7" i="3"/>
  <c r="B8" i="3"/>
  <c r="F4" i="7"/>
  <c r="E4" i="7"/>
  <c r="AQ7" i="2"/>
  <c r="D4" i="7"/>
  <c r="D59" i="2"/>
  <c r="C4" i="7"/>
  <c r="B4" i="7"/>
  <c r="AL16" i="2"/>
  <c r="AX7" i="2"/>
  <c r="AR26" i="2"/>
  <c r="AR24" i="2"/>
  <c r="AR23" i="2"/>
  <c r="AX11" i="2"/>
  <c r="U4" i="2"/>
  <c r="Q3" i="7"/>
  <c r="P3" i="7"/>
  <c r="O3" i="7"/>
  <c r="H3" i="7"/>
  <c r="G3" i="7"/>
  <c r="N3" i="7"/>
  <c r="L3" i="7"/>
  <c r="K3" i="7"/>
  <c r="J3" i="7"/>
  <c r="A4" i="7"/>
  <c r="B58" i="2"/>
  <c r="A35" i="3"/>
  <c r="A33" i="3"/>
  <c r="A31" i="3"/>
  <c r="D29" i="3"/>
  <c r="AL11" i="2"/>
  <c r="C29" i="3"/>
  <c r="B29" i="3"/>
  <c r="A29" i="3"/>
  <c r="AC13" i="2"/>
  <c r="AB13" i="2"/>
  <c r="AA13" i="2"/>
  <c r="K19" i="3"/>
  <c r="U11" i="2"/>
  <c r="F18" i="3"/>
  <c r="B54" i="2"/>
  <c r="AL4" i="2"/>
  <c r="N5" i="2"/>
  <c r="C10" i="6"/>
  <c r="D10" i="6"/>
  <c r="A11" i="6"/>
  <c r="A3" i="6"/>
  <c r="B3" i="6"/>
  <c r="B6" i="6" s="1"/>
  <c r="C3" i="6"/>
  <c r="V22" i="1"/>
  <c r="C5" i="1"/>
  <c r="F3" i="6"/>
  <c r="E3" i="6"/>
  <c r="I4" i="4"/>
  <c r="C5" i="4"/>
  <c r="AB18" i="5"/>
  <c r="AA18" i="5"/>
  <c r="Z18" i="5"/>
  <c r="Z20" i="5"/>
  <c r="Y18" i="5"/>
  <c r="X18" i="5" s="1"/>
  <c r="M18" i="5"/>
  <c r="L18" i="5"/>
  <c r="P18" i="5"/>
  <c r="O18" i="5"/>
  <c r="N20" i="5"/>
  <c r="N18" i="5"/>
  <c r="M4" i="5"/>
  <c r="X22" i="4" l="1"/>
  <c r="Y22" i="4" s="1"/>
  <c r="Q4" i="4"/>
  <c r="Y17" i="4"/>
  <c r="V22" i="4"/>
  <c r="O18" i="4"/>
  <c r="C22" i="4"/>
  <c r="A22" i="4"/>
  <c r="L22" i="4" s="1"/>
  <c r="J5" i="5"/>
  <c r="A6" i="6"/>
  <c r="D4" i="4"/>
  <c r="F19" i="3"/>
  <c r="K18" i="3"/>
  <c r="B17" i="3"/>
  <c r="B18" i="3"/>
  <c r="AL12" i="2"/>
  <c r="D18" i="4" l="1"/>
  <c r="D22" i="4" s="1"/>
  <c r="N19" i="4"/>
  <c r="E31" i="5"/>
  <c r="AQ5" i="2"/>
  <c r="AZ22" i="2"/>
  <c r="AT42" i="2"/>
  <c r="AR44" i="2"/>
  <c r="AQ44" i="2"/>
  <c r="AR39" i="2"/>
  <c r="AQ39" i="2"/>
  <c r="AT34" i="2"/>
  <c r="AS34" i="2"/>
  <c r="AR34" i="2"/>
  <c r="AQ34" i="2"/>
  <c r="AP34" i="2"/>
  <c r="AO34" i="2"/>
  <c r="H33" i="5"/>
  <c r="G33" i="5"/>
  <c r="H6" i="5"/>
  <c r="I6" i="5"/>
  <c r="H21" i="5"/>
  <c r="C33" i="5"/>
  <c r="D33" i="5"/>
  <c r="E33" i="5"/>
  <c r="F33" i="5"/>
  <c r="B33" i="5"/>
  <c r="C32" i="5"/>
  <c r="B32" i="5"/>
  <c r="B27" i="5"/>
  <c r="B25" i="5"/>
  <c r="C21" i="5"/>
  <c r="B21" i="5"/>
  <c r="C20" i="5"/>
  <c r="B20" i="5"/>
  <c r="B15" i="5"/>
  <c r="B14" i="5"/>
  <c r="B26" i="5" s="1"/>
  <c r="B13" i="5"/>
  <c r="AV24" i="2"/>
  <c r="AU24" i="2"/>
  <c r="AT24" i="2"/>
  <c r="AS24" i="2"/>
  <c r="AP26" i="2" l="1"/>
  <c r="AP25" i="2"/>
  <c r="AP24" i="2"/>
  <c r="AL15" i="2"/>
  <c r="AN24" i="2"/>
  <c r="AL25" i="2"/>
  <c r="AL24" i="2"/>
  <c r="E8" i="3" l="1"/>
  <c r="O11" i="2"/>
  <c r="O4" i="2"/>
  <c r="E12" i="3" l="1"/>
  <c r="E10" i="3"/>
  <c r="E9" i="3"/>
  <c r="B10" i="3"/>
  <c r="I47" i="2"/>
  <c r="I49" i="2"/>
  <c r="C46" i="2"/>
  <c r="B45" i="2"/>
  <c r="C45" i="2" s="1"/>
  <c r="C72" i="2"/>
  <c r="D72" i="2"/>
  <c r="E72" i="2"/>
  <c r="F72" i="2"/>
  <c r="G72" i="2"/>
  <c r="B72" i="2"/>
  <c r="B71" i="2"/>
  <c r="C71" i="2"/>
  <c r="C60" i="2"/>
  <c r="B60" i="2"/>
  <c r="C59" i="2"/>
  <c r="B53" i="2"/>
  <c r="C52" i="2" s="1"/>
  <c r="B52" i="2"/>
  <c r="E88" i="2"/>
  <c r="B88" i="2"/>
  <c r="E86" i="2"/>
  <c r="E89" i="2" s="1"/>
  <c r="B86" i="2"/>
  <c r="B85" i="2"/>
  <c r="E84" i="2"/>
  <c r="B84" i="2"/>
  <c r="B83" i="2"/>
  <c r="B66" i="2"/>
  <c r="C64" i="2" s="1"/>
  <c r="D64" i="2" s="1"/>
  <c r="H49" i="2" s="1"/>
  <c r="B65" i="2"/>
  <c r="B64" i="2"/>
  <c r="D60" i="2"/>
  <c r="L51" i="2"/>
  <c r="S50" i="2"/>
  <c r="L50" i="2"/>
  <c r="M50" i="2" s="1"/>
  <c r="V48" i="2"/>
  <c r="U48" i="2"/>
  <c r="T48" i="2"/>
  <c r="T50" i="2" s="1"/>
  <c r="U50" i="2" s="1"/>
  <c r="H47" i="2"/>
  <c r="Z45" i="2"/>
  <c r="AA45" i="2" s="1"/>
  <c r="AD43" i="2"/>
  <c r="AC43" i="2"/>
  <c r="AB43" i="2"/>
  <c r="X46" i="2" s="1"/>
  <c r="AA43" i="2"/>
  <c r="Z43" i="2"/>
  <c r="Y43" i="2"/>
  <c r="X43" i="2"/>
  <c r="U43" i="2"/>
  <c r="T43" i="2"/>
  <c r="S43" i="2"/>
  <c r="R43" i="2"/>
  <c r="Q43" i="2"/>
  <c r="M45" i="2" s="1"/>
  <c r="O43" i="2"/>
  <c r="N43" i="2"/>
  <c r="M43" i="2"/>
  <c r="AX15" i="2"/>
  <c r="AX16" i="2"/>
  <c r="AL18" i="2"/>
  <c r="B15" i="3"/>
  <c r="B14" i="3"/>
  <c r="E49" i="5"/>
  <c r="B49" i="5"/>
  <c r="E47" i="5"/>
  <c r="E50" i="5" s="1"/>
  <c r="B47" i="5"/>
  <c r="B50" i="5" s="1"/>
  <c r="B46" i="5"/>
  <c r="E45" i="5"/>
  <c r="B45" i="5"/>
  <c r="B44" i="5"/>
  <c r="H9" i="5"/>
  <c r="C25" i="5"/>
  <c r="D21" i="5"/>
  <c r="Y15" i="5"/>
  <c r="C13" i="5"/>
  <c r="W12" i="5"/>
  <c r="L12" i="5"/>
  <c r="X11" i="5"/>
  <c r="W11" i="5"/>
  <c r="S11" i="5"/>
  <c r="L11" i="5"/>
  <c r="M11" i="5" s="1"/>
  <c r="V9" i="5"/>
  <c r="U9" i="5"/>
  <c r="T9" i="5"/>
  <c r="T11" i="5" s="1"/>
  <c r="U11" i="5" s="1"/>
  <c r="AD4" i="5"/>
  <c r="Z6" i="5" s="1"/>
  <c r="AA6" i="5" s="1"/>
  <c r="AC4" i="5"/>
  <c r="AB4" i="5"/>
  <c r="AA4" i="5"/>
  <c r="Z4" i="5"/>
  <c r="X6" i="5" s="1"/>
  <c r="Y4" i="5"/>
  <c r="X4" i="5"/>
  <c r="X12" i="5" s="1"/>
  <c r="U4" i="5"/>
  <c r="T4" i="5"/>
  <c r="S4" i="5"/>
  <c r="R4" i="5"/>
  <c r="Q4" i="5"/>
  <c r="M6" i="5" s="1"/>
  <c r="O4" i="5"/>
  <c r="N4" i="5"/>
  <c r="M12" i="5"/>
  <c r="AX14" i="2"/>
  <c r="AX13" i="2"/>
  <c r="AX12" i="2"/>
  <c r="AX10" i="2"/>
  <c r="AL13" i="2"/>
  <c r="AL26" i="2" s="1"/>
  <c r="D20" i="5" s="1"/>
  <c r="D32" i="5" s="1"/>
  <c r="AX9" i="2"/>
  <c r="AX5" i="2"/>
  <c r="AX4" i="2"/>
  <c r="AX3" i="2"/>
  <c r="AQ8" i="2"/>
  <c r="S11" i="2"/>
  <c r="S4" i="2"/>
  <c r="AF4" i="2"/>
  <c r="AZ24" i="2"/>
  <c r="AQ6" i="2"/>
  <c r="AZ23" i="2" s="1"/>
  <c r="AQ4" i="2"/>
  <c r="AL17" i="2"/>
  <c r="AL14" i="2"/>
  <c r="H3" i="2"/>
  <c r="H2" i="2"/>
  <c r="M4" i="2" s="1"/>
  <c r="H72" i="2" l="1"/>
  <c r="D13" i="5"/>
  <c r="C9" i="5" s="1"/>
  <c r="D70" i="2"/>
  <c r="E70" i="2" s="1"/>
  <c r="H48" i="2" s="1"/>
  <c r="I48" i="2" s="1"/>
  <c r="D25" i="5"/>
  <c r="I10" i="5" s="1"/>
  <c r="E20" i="5"/>
  <c r="D71" i="2"/>
  <c r="C14" i="3"/>
  <c r="H45" i="2"/>
  <c r="I45" i="2" s="1"/>
  <c r="C48" i="2"/>
  <c r="AA46" i="2"/>
  <c r="Y47" i="2" s="1"/>
  <c r="AC49" i="2" s="1"/>
  <c r="M46" i="2"/>
  <c r="Z54" i="2"/>
  <c r="O45" i="2"/>
  <c r="P45" i="2" s="1"/>
  <c r="P46" i="2" s="1"/>
  <c r="N47" i="2" s="1"/>
  <c r="R49" i="2" s="1"/>
  <c r="AA7" i="5"/>
  <c r="X7" i="5"/>
  <c r="M7" i="5"/>
  <c r="I9" i="5"/>
  <c r="O6" i="5"/>
  <c r="P6" i="5" s="1"/>
  <c r="P7" i="5" s="1"/>
  <c r="N8" i="5" s="1"/>
  <c r="R10" i="5" s="1"/>
  <c r="E21" i="5"/>
  <c r="F21" i="5" s="1"/>
  <c r="Z15" i="5"/>
  <c r="AL3" i="2"/>
  <c r="AM8" i="2"/>
  <c r="N4" i="2"/>
  <c r="F20" i="5" l="1"/>
  <c r="E32" i="5"/>
  <c r="Y8" i="5"/>
  <c r="AC10" i="5" s="1"/>
  <c r="B10" i="4"/>
  <c r="H10" i="4" s="1"/>
  <c r="H11" i="4" s="1"/>
  <c r="C10" i="4"/>
  <c r="J10" i="4"/>
  <c r="J11" i="4" s="1"/>
  <c r="D10" i="4"/>
  <c r="P4" i="4"/>
  <c r="S2" i="4"/>
  <c r="R2" i="4"/>
  <c r="K4" i="4"/>
  <c r="G4" i="4"/>
  <c r="A4" i="4"/>
  <c r="F2" i="3"/>
  <c r="D3" i="3"/>
  <c r="D2" i="3"/>
  <c r="C3" i="3"/>
  <c r="C2" i="3"/>
  <c r="B2" i="3"/>
  <c r="BS10" i="1"/>
  <c r="CB15" i="1"/>
  <c r="DA5" i="1"/>
  <c r="BQ2" i="1"/>
  <c r="BO2" i="1"/>
  <c r="BZ22" i="1"/>
  <c r="CA20" i="1"/>
  <c r="CC18" i="1"/>
  <c r="G20" i="5" l="1"/>
  <c r="F32" i="5"/>
  <c r="DQ2" i="1"/>
  <c r="DR2" i="1" s="1"/>
  <c r="CL18" i="1"/>
  <c r="E5" i="2"/>
  <c r="E6" i="2"/>
  <c r="E7" i="2"/>
  <c r="H20" i="5" l="1"/>
  <c r="H32" i="5" s="1"/>
  <c r="H7" i="5" s="1"/>
  <c r="I7" i="5" s="1"/>
  <c r="G32" i="5"/>
  <c r="K11" i="2"/>
  <c r="K4" i="2"/>
  <c r="T22" i="1"/>
  <c r="R22" i="1"/>
  <c r="S22" i="1"/>
  <c r="E8" i="2"/>
  <c r="P11" i="2" l="1"/>
  <c r="J11" i="2"/>
  <c r="I11" i="2"/>
  <c r="O7" i="2"/>
  <c r="I4" i="2"/>
  <c r="J4" i="2"/>
  <c r="CI17" i="1"/>
  <c r="CJ3" i="1"/>
  <c r="CJ18" i="1" s="1"/>
  <c r="B7" i="2"/>
  <c r="B6" i="2"/>
  <c r="U22" i="1" l="1"/>
  <c r="CB37" i="1"/>
  <c r="BH2" i="1"/>
  <c r="BJ2" i="1" s="1"/>
  <c r="BM2" i="1" s="1"/>
  <c r="T18" i="1"/>
  <c r="S18" i="1"/>
  <c r="CH36" i="1" l="1"/>
  <c r="CH40" i="1" s="1"/>
  <c r="CH41" i="1" s="1"/>
  <c r="CF37" i="1"/>
  <c r="CD37" i="1"/>
  <c r="CC37" i="1"/>
  <c r="CA37" i="1"/>
  <c r="CA38" i="1"/>
  <c r="BL27" i="1"/>
  <c r="CG7" i="1"/>
  <c r="BH27" i="1"/>
  <c r="BW2" i="1"/>
  <c r="BY7" i="1"/>
  <c r="BN2" i="1"/>
  <c r="CI2" i="1"/>
  <c r="DH4" i="1"/>
  <c r="DH5" i="1"/>
  <c r="DH8" i="1"/>
  <c r="DH12" i="1"/>
  <c r="DH16" i="1"/>
  <c r="DH19" i="1"/>
  <c r="DD4" i="1"/>
  <c r="DD5" i="1"/>
  <c r="DD8" i="1"/>
  <c r="DD9" i="1"/>
  <c r="DD12" i="1"/>
  <c r="DD13" i="1"/>
  <c r="DD16" i="1"/>
  <c r="DD17" i="1"/>
  <c r="DD3" i="1"/>
  <c r="BX2" i="1"/>
  <c r="BX3" i="1"/>
  <c r="CK17" i="1"/>
  <c r="CL17" i="1" s="1"/>
  <c r="CJ5" i="1"/>
  <c r="DH6" i="1" s="1"/>
  <c r="CJ6" i="1"/>
  <c r="DH7" i="1" s="1"/>
  <c r="CJ7" i="1"/>
  <c r="CJ8" i="1"/>
  <c r="DH9" i="1" s="1"/>
  <c r="CJ9" i="1"/>
  <c r="DH10" i="1" s="1"/>
  <c r="CJ10" i="1"/>
  <c r="DH11" i="1" s="1"/>
  <c r="CJ11" i="1"/>
  <c r="CJ12" i="1"/>
  <c r="DH13" i="1" s="1"/>
  <c r="CJ13" i="1"/>
  <c r="DH14" i="1" s="1"/>
  <c r="CJ14" i="1"/>
  <c r="DH15" i="1" s="1"/>
  <c r="CJ15" i="1"/>
  <c r="CJ16" i="1"/>
  <c r="DH17" i="1" s="1"/>
  <c r="CJ17" i="1"/>
  <c r="DH18" i="1" s="1"/>
  <c r="CJ2" i="1"/>
  <c r="CH2" i="1"/>
  <c r="CE20" i="1"/>
  <c r="CG16" i="1"/>
  <c r="CH16" i="1" s="1"/>
  <c r="CK16" i="1" s="1"/>
  <c r="CL16" i="1" s="1"/>
  <c r="CG9" i="1"/>
  <c r="CH9" i="1" s="1"/>
  <c r="CK9" i="1" s="1"/>
  <c r="CL9" i="1" s="1"/>
  <c r="CG10" i="1"/>
  <c r="CH10" i="1" s="1"/>
  <c r="CK10" i="1" s="1"/>
  <c r="CL10" i="1" s="1"/>
  <c r="CG11" i="1"/>
  <c r="CH11" i="1" s="1"/>
  <c r="CK11" i="1" s="1"/>
  <c r="CL11" i="1" s="1"/>
  <c r="CG12" i="1"/>
  <c r="CH12" i="1" s="1"/>
  <c r="CK12" i="1" s="1"/>
  <c r="CL12" i="1" s="1"/>
  <c r="CG13" i="1"/>
  <c r="CH13" i="1" s="1"/>
  <c r="CK13" i="1" s="1"/>
  <c r="CL13" i="1" s="1"/>
  <c r="CG14" i="1"/>
  <c r="CH14" i="1" s="1"/>
  <c r="CK14" i="1" s="1"/>
  <c r="CL14" i="1" s="1"/>
  <c r="CG15" i="1"/>
  <c r="CH15" i="1" s="1"/>
  <c r="CK15" i="1" s="1"/>
  <c r="CL15" i="1" s="1"/>
  <c r="CG8" i="1"/>
  <c r="CH8" i="1" s="1"/>
  <c r="CK8" i="1" s="1"/>
  <c r="CL8" i="1" s="1"/>
  <c r="CH7" i="1"/>
  <c r="CG6" i="1"/>
  <c r="CH6" i="1" s="1"/>
  <c r="CK6" i="1" s="1"/>
  <c r="CL6" i="1" s="1"/>
  <c r="CG5" i="1"/>
  <c r="CH5" i="1" s="1"/>
  <c r="CK5" i="1" s="1"/>
  <c r="CL5" i="1" s="1"/>
  <c r="CE16" i="1"/>
  <c r="BO22" i="1"/>
  <c r="BS23" i="1"/>
  <c r="BT23" i="1" s="1"/>
  <c r="BU23" i="1" s="1"/>
  <c r="BV23" i="1" s="1"/>
  <c r="CF16" i="1" s="1"/>
  <c r="CF18" i="1" s="1"/>
  <c r="DD6" i="1" s="1"/>
  <c r="BW16" i="1"/>
  <c r="CE7" i="1"/>
  <c r="CC6" i="1"/>
  <c r="CD6" i="1" s="1"/>
  <c r="CC2" i="1"/>
  <c r="CD2" i="1" s="1"/>
  <c r="BX14" i="1"/>
  <c r="CB4" i="1"/>
  <c r="CB3" i="1"/>
  <c r="CB2" i="1"/>
  <c r="CA3" i="1"/>
  <c r="BZ15" i="1"/>
  <c r="BY15" i="1"/>
  <c r="BX15" i="1"/>
  <c r="BW15" i="1"/>
  <c r="CA2" i="1"/>
  <c r="BZ5" i="1"/>
  <c r="BZ6" i="1"/>
  <c r="BZ7" i="1"/>
  <c r="BZ8" i="1"/>
  <c r="BZ9" i="1"/>
  <c r="BZ10" i="1"/>
  <c r="BZ11" i="1"/>
  <c r="BZ12" i="1"/>
  <c r="BZ13" i="1"/>
  <c r="BZ4" i="1"/>
  <c r="BY5" i="1"/>
  <c r="BY13" i="1"/>
  <c r="BY12" i="1"/>
  <c r="BY11" i="1"/>
  <c r="BY10" i="1"/>
  <c r="BY9" i="1"/>
  <c r="BY8" i="1"/>
  <c r="BY6" i="1"/>
  <c r="BY4" i="1"/>
  <c r="BY2" i="1"/>
  <c r="BX6" i="1"/>
  <c r="BX8" i="1"/>
  <c r="BX9" i="1"/>
  <c r="BX10" i="1"/>
  <c r="BX11" i="1"/>
  <c r="BX12" i="1"/>
  <c r="BX13" i="1"/>
  <c r="BW7" i="1"/>
  <c r="BI3" i="1"/>
  <c r="BI4" i="1" s="1"/>
  <c r="BN4" i="1" s="1"/>
  <c r="BM5" i="1"/>
  <c r="BQ5" i="1" s="1"/>
  <c r="H12" i="1"/>
  <c r="H13" i="1" s="1"/>
  <c r="B10" i="1"/>
  <c r="BW5" i="1" s="1"/>
  <c r="BX5" i="1" s="1"/>
  <c r="B9" i="1"/>
  <c r="B8" i="1"/>
  <c r="B7" i="1"/>
  <c r="B6" i="1"/>
  <c r="BF2" i="1" s="1"/>
  <c r="BW4" i="1" s="1"/>
  <c r="BX4" i="1" s="1"/>
  <c r="CC4" i="1" s="1"/>
  <c r="B5" i="1"/>
  <c r="BW3" i="1" s="1"/>
  <c r="B4" i="1"/>
  <c r="X20" i="1" s="1"/>
  <c r="N28" i="1"/>
  <c r="O22" i="1"/>
  <c r="F8" i="1"/>
  <c r="AB4" i="1" s="1"/>
  <c r="W16" i="1"/>
  <c r="BN3" i="1" l="1"/>
  <c r="BM27" i="1"/>
  <c r="DD19" i="1"/>
  <c r="DD15" i="1"/>
  <c r="DD11" i="1"/>
  <c r="DD7" i="1"/>
  <c r="M16" i="1"/>
  <c r="CK7" i="1"/>
  <c r="CL7" i="1" s="1"/>
  <c r="B2" i="2" s="1"/>
  <c r="CK2" i="1"/>
  <c r="DH3" i="1"/>
  <c r="DD18" i="1"/>
  <c r="DD14" i="1"/>
  <c r="DD10" i="1"/>
  <c r="BI5" i="1"/>
  <c r="CL2" i="1"/>
  <c r="CG4" i="1"/>
  <c r="CH4" i="1" s="1"/>
  <c r="CK4" i="1" s="1"/>
  <c r="CL4" i="1" s="1"/>
  <c r="CD4" i="1"/>
  <c r="BM8" i="1"/>
  <c r="BQ8" i="1" s="1"/>
  <c r="BM4" i="1"/>
  <c r="BQ4" i="1" s="1"/>
  <c r="CC9" i="1" s="1"/>
  <c r="BM7" i="1"/>
  <c r="BQ7" i="1" s="1"/>
  <c r="BM3" i="1"/>
  <c r="BX7" i="1"/>
  <c r="CC7" i="1"/>
  <c r="BG12" i="1" s="1"/>
  <c r="BM6" i="1"/>
  <c r="BQ6" i="1" s="1"/>
  <c r="I5" i="1"/>
  <c r="BM9" i="1"/>
  <c r="BQ9" i="1" s="1"/>
  <c r="C10" i="1"/>
  <c r="Y20" i="1"/>
  <c r="Q16" i="1"/>
  <c r="CE6" i="1" s="1"/>
  <c r="AW15" i="1"/>
  <c r="AS11" i="1"/>
  <c r="AN16" i="1"/>
  <c r="AN17" i="1"/>
  <c r="AN18" i="1"/>
  <c r="AN19" i="1"/>
  <c r="AN20" i="1"/>
  <c r="AN21" i="1"/>
  <c r="AN22" i="1"/>
  <c r="AN23" i="1"/>
  <c r="AN24" i="1"/>
  <c r="AN25" i="1"/>
  <c r="AN15" i="1"/>
  <c r="AV3" i="1"/>
  <c r="AU3" i="1"/>
  <c r="AT5" i="1"/>
  <c r="AT6" i="1"/>
  <c r="AT7" i="1"/>
  <c r="AT8" i="1"/>
  <c r="AT9" i="1"/>
  <c r="AT10" i="1"/>
  <c r="AT3" i="1"/>
  <c r="AS4" i="1"/>
  <c r="AS5" i="1"/>
  <c r="AS6" i="1"/>
  <c r="AS7" i="1"/>
  <c r="AS8" i="1"/>
  <c r="AS9" i="1"/>
  <c r="AS3" i="1"/>
  <c r="AR7" i="1"/>
  <c r="AP5" i="1"/>
  <c r="AQ5" i="1" s="1"/>
  <c r="AP6" i="1"/>
  <c r="AQ6" i="1" s="1"/>
  <c r="AP7" i="1"/>
  <c r="AQ7" i="1" s="1"/>
  <c r="AP8" i="1"/>
  <c r="AQ8" i="1" s="1"/>
  <c r="AO4" i="1"/>
  <c r="AW4" i="1" s="1"/>
  <c r="AO5" i="1"/>
  <c r="AW5" i="1" s="1"/>
  <c r="AO6" i="1"/>
  <c r="AW6" i="1" s="1"/>
  <c r="AO7" i="1"/>
  <c r="AW7" i="1" s="1"/>
  <c r="AO8" i="1"/>
  <c r="AW8" i="1" s="1"/>
  <c r="AO9" i="1"/>
  <c r="AW9" i="1" s="1"/>
  <c r="AO10" i="1"/>
  <c r="AW10" i="1" s="1"/>
  <c r="AO11" i="1"/>
  <c r="AW11" i="1" s="1"/>
  <c r="AO3" i="1"/>
  <c r="AW3" i="1" s="1"/>
  <c r="AN12" i="1"/>
  <c r="AN4" i="1"/>
  <c r="AN5" i="1"/>
  <c r="AN6" i="1"/>
  <c r="AN7" i="1"/>
  <c r="AN8" i="1"/>
  <c r="AN9" i="1"/>
  <c r="AN10" i="1"/>
  <c r="AN11" i="1"/>
  <c r="AN3" i="1"/>
  <c r="AN2" i="1"/>
  <c r="AC4" i="1"/>
  <c r="D7" i="2" l="1"/>
  <c r="D8" i="2"/>
  <c r="D6" i="2"/>
  <c r="B8" i="2"/>
  <c r="E2" i="2" s="1"/>
  <c r="D5" i="2" s="1"/>
  <c r="E3" i="2"/>
  <c r="M11" i="2" s="1"/>
  <c r="AD11" i="2" s="1"/>
  <c r="CE18" i="1"/>
  <c r="DC7" i="1" s="1"/>
  <c r="BQ3" i="1"/>
  <c r="CC8" i="1" s="1"/>
  <c r="CD9" i="1"/>
  <c r="BG14" i="1"/>
  <c r="BW18" i="1"/>
  <c r="CC11" i="1"/>
  <c r="CI18" i="1"/>
  <c r="CC12" i="1"/>
  <c r="CC10" i="1"/>
  <c r="CC14" i="1"/>
  <c r="CD14" i="1" s="1"/>
  <c r="CC13" i="1"/>
  <c r="CA5" i="1"/>
  <c r="D10" i="1"/>
  <c r="BI6" i="1"/>
  <c r="BN5" i="1"/>
  <c r="C11" i="1"/>
  <c r="W8" i="1" s="1"/>
  <c r="AP9" i="1"/>
  <c r="AF11" i="2" l="1"/>
  <c r="T11" i="2"/>
  <c r="V11" i="2" s="1"/>
  <c r="W11" i="2" s="1"/>
  <c r="N11" i="2"/>
  <c r="T4" i="2"/>
  <c r="J7" i="2"/>
  <c r="K7" i="2" s="1"/>
  <c r="L7" i="2" s="1"/>
  <c r="M7" i="2" s="1"/>
  <c r="DC5" i="1"/>
  <c r="DC9" i="1"/>
  <c r="DC13" i="1"/>
  <c r="DC6" i="1"/>
  <c r="DC10" i="1"/>
  <c r="DC14" i="1"/>
  <c r="DC18" i="1"/>
  <c r="DC11" i="1"/>
  <c r="DC15" i="1"/>
  <c r="DC19" i="1"/>
  <c r="DC4" i="1"/>
  <c r="DC12" i="1"/>
  <c r="DC16" i="1"/>
  <c r="DC3" i="1"/>
  <c r="DC17" i="1"/>
  <c r="DC8" i="1"/>
  <c r="CY6" i="1"/>
  <c r="CU10" i="1"/>
  <c r="CU14" i="1"/>
  <c r="CU18" i="1"/>
  <c r="CU7" i="1"/>
  <c r="CU11" i="1"/>
  <c r="CU15" i="1"/>
  <c r="CU19" i="1"/>
  <c r="CU12" i="1"/>
  <c r="BY28" i="1"/>
  <c r="CU9" i="1"/>
  <c r="CU13" i="1"/>
  <c r="CU3" i="1"/>
  <c r="CU8" i="1"/>
  <c r="CU16" i="1"/>
  <c r="CU6" i="1"/>
  <c r="CU17" i="1"/>
  <c r="CU5" i="1"/>
  <c r="DG5" i="1"/>
  <c r="DG9" i="1"/>
  <c r="DG13" i="1"/>
  <c r="DG17" i="1"/>
  <c r="CG28" i="1"/>
  <c r="DG6" i="1"/>
  <c r="DG10" i="1"/>
  <c r="DG14" i="1"/>
  <c r="DG18" i="1"/>
  <c r="DG19" i="1"/>
  <c r="DG7" i="1"/>
  <c r="DG11" i="1"/>
  <c r="DG15" i="1"/>
  <c r="DG3" i="1"/>
  <c r="DG4" i="1"/>
  <c r="DG8" i="1"/>
  <c r="DG12" i="1"/>
  <c r="DG16" i="1"/>
  <c r="CD10" i="1"/>
  <c r="BG15" i="1"/>
  <c r="CD8" i="1"/>
  <c r="BG13" i="1"/>
  <c r="CD12" i="1"/>
  <c r="CD13" i="1"/>
  <c r="CD11" i="1"/>
  <c r="CA18" i="1"/>
  <c r="CC5" i="1"/>
  <c r="CD5" i="1" s="1"/>
  <c r="BI7" i="1"/>
  <c r="BN6" i="1"/>
  <c r="BG16" i="1" s="1"/>
  <c r="BQ10" i="1"/>
  <c r="CD7" i="1"/>
  <c r="AP10" i="1"/>
  <c r="AQ10" i="1"/>
  <c r="AQ9" i="1"/>
  <c r="B47" i="1"/>
  <c r="B46" i="1"/>
  <c r="B44" i="1"/>
  <c r="B41" i="1"/>
  <c r="B48" i="1" s="1"/>
  <c r="I30" i="1"/>
  <c r="I31" i="1"/>
  <c r="I32" i="1"/>
  <c r="I33" i="1"/>
  <c r="I34" i="1"/>
  <c r="I35" i="1"/>
  <c r="I36" i="1"/>
  <c r="H29" i="1"/>
  <c r="H30" i="1"/>
  <c r="H31" i="1"/>
  <c r="H32" i="1"/>
  <c r="H33" i="1"/>
  <c r="H34" i="1"/>
  <c r="H36" i="1"/>
  <c r="F32" i="1"/>
  <c r="C30" i="1"/>
  <c r="C31" i="1"/>
  <c r="C32" i="1"/>
  <c r="C33" i="1"/>
  <c r="C34" i="1"/>
  <c r="C35" i="1"/>
  <c r="K28" i="1"/>
  <c r="J28" i="1"/>
  <c r="I28" i="1"/>
  <c r="H28" i="1"/>
  <c r="G28" i="1"/>
  <c r="F7" i="1"/>
  <c r="AR6" i="1" s="1"/>
  <c r="F6" i="1"/>
  <c r="AR5" i="1" s="1"/>
  <c r="B29" i="1"/>
  <c r="B30" i="1"/>
  <c r="B31" i="1"/>
  <c r="B32" i="1"/>
  <c r="B33" i="1"/>
  <c r="B34" i="1"/>
  <c r="B35" i="1"/>
  <c r="B36" i="1"/>
  <c r="B28" i="1"/>
  <c r="D11" i="1"/>
  <c r="E11" i="1" s="1"/>
  <c r="F11" i="1" s="1"/>
  <c r="I12" i="1"/>
  <c r="AT11" i="1" s="1"/>
  <c r="H11" i="1"/>
  <c r="AS10" i="1" s="1"/>
  <c r="G8" i="1"/>
  <c r="V4" i="1"/>
  <c r="P9" i="1"/>
  <c r="R9" i="1" s="1"/>
  <c r="N9" i="1"/>
  <c r="P12" i="1" s="1"/>
  <c r="F9" i="1"/>
  <c r="F33" i="1" s="1"/>
  <c r="F4" i="1"/>
  <c r="AR3" i="1" s="1"/>
  <c r="E6" i="1"/>
  <c r="E30" i="1" s="1"/>
  <c r="D6" i="1"/>
  <c r="D30" i="1" s="1"/>
  <c r="D7" i="1"/>
  <c r="D31" i="1" s="1"/>
  <c r="D8" i="1"/>
  <c r="E8" i="1" s="1"/>
  <c r="E32" i="1" s="1"/>
  <c r="D9" i="1"/>
  <c r="E9" i="1" s="1"/>
  <c r="E33" i="1" s="1"/>
  <c r="C12" i="1"/>
  <c r="AP11" i="1" s="1"/>
  <c r="AQ11" i="1" s="1"/>
  <c r="C4" i="1"/>
  <c r="AP3" i="1" s="1"/>
  <c r="AQ3" i="1" s="1"/>
  <c r="O5" i="1"/>
  <c r="O4" i="1"/>
  <c r="Q4" i="1"/>
  <c r="Q5" i="1" s="1"/>
  <c r="Q6" i="1" s="1"/>
  <c r="V4" i="2" l="1"/>
  <c r="Y4" i="2" s="1"/>
  <c r="Y5" i="2" s="1"/>
  <c r="AM5" i="2"/>
  <c r="CA36" i="1"/>
  <c r="CA40" i="1" s="1"/>
  <c r="CA41" i="1" s="1"/>
  <c r="BZ28" i="1"/>
  <c r="BZ29" i="1" s="1"/>
  <c r="BY29" i="1"/>
  <c r="AG11" i="2"/>
  <c r="AH11" i="2"/>
  <c r="E7" i="1"/>
  <c r="E31" i="1" s="1"/>
  <c r="D5" i="1"/>
  <c r="BY3" i="1"/>
  <c r="F28" i="1"/>
  <c r="CY8" i="1"/>
  <c r="CY12" i="1"/>
  <c r="CY16" i="1"/>
  <c r="CY5" i="1"/>
  <c r="CY9" i="1"/>
  <c r="CY13" i="1"/>
  <c r="CY17" i="1"/>
  <c r="CY10" i="1"/>
  <c r="CY14" i="1"/>
  <c r="CY18" i="1"/>
  <c r="CY7" i="1"/>
  <c r="CY11" i="1"/>
  <c r="CY15" i="1"/>
  <c r="CY19" i="1"/>
  <c r="CY3" i="1"/>
  <c r="CY4" i="1"/>
  <c r="AM10" i="2"/>
  <c r="AD4" i="2"/>
  <c r="AM6" i="2" s="1"/>
  <c r="CH28" i="1"/>
  <c r="CH29" i="1" s="1"/>
  <c r="CF36" i="1"/>
  <c r="CF40" i="1" s="1"/>
  <c r="CF41" i="1" s="1"/>
  <c r="CG29" i="1"/>
  <c r="D33" i="1"/>
  <c r="D4" i="1"/>
  <c r="C28" i="1"/>
  <c r="D32" i="1"/>
  <c r="H35" i="1"/>
  <c r="BI8" i="1"/>
  <c r="BN8" i="1" s="1"/>
  <c r="BG18" i="1" s="1"/>
  <c r="BN7" i="1"/>
  <c r="BG17" i="1" s="1"/>
  <c r="D12" i="1"/>
  <c r="G7" i="1"/>
  <c r="J7" i="1" s="1"/>
  <c r="J8" i="1"/>
  <c r="AU7" i="1" s="1"/>
  <c r="C36" i="1"/>
  <c r="G9" i="1"/>
  <c r="AR8" i="1"/>
  <c r="K7" i="1"/>
  <c r="AU6" i="1"/>
  <c r="G31" i="1"/>
  <c r="F31" i="1"/>
  <c r="J31" i="1"/>
  <c r="G6" i="1"/>
  <c r="F30" i="1"/>
  <c r="G32" i="1"/>
  <c r="J32" i="1"/>
  <c r="K8" i="1"/>
  <c r="G11" i="1"/>
  <c r="AR10" i="1"/>
  <c r="D35" i="1"/>
  <c r="I13" i="1"/>
  <c r="I16" i="1" s="1"/>
  <c r="AT4" i="1"/>
  <c r="H18" i="1"/>
  <c r="AS12" i="1"/>
  <c r="H21" i="1"/>
  <c r="H17" i="1"/>
  <c r="H24" i="1"/>
  <c r="H20" i="1"/>
  <c r="H25" i="1"/>
  <c r="H23" i="1"/>
  <c r="H19" i="1"/>
  <c r="H37" i="1"/>
  <c r="H16" i="1"/>
  <c r="H22" i="1"/>
  <c r="I29" i="1"/>
  <c r="F35" i="1"/>
  <c r="E35" i="1"/>
  <c r="Z5" i="2" l="1"/>
  <c r="W4" i="2"/>
  <c r="B19" i="3" s="1"/>
  <c r="B22" i="3" s="1"/>
  <c r="B23" i="3" s="1"/>
  <c r="B24" i="3" s="1"/>
  <c r="AG4" i="2"/>
  <c r="AM7" i="2" s="1"/>
  <c r="AH4" i="2"/>
  <c r="Y11" i="2"/>
  <c r="Y13" i="2" s="1"/>
  <c r="Z13" i="2" s="1"/>
  <c r="AQ10" i="2" s="1"/>
  <c r="O25" i="1"/>
  <c r="R25" i="1" s="1"/>
  <c r="D28" i="1"/>
  <c r="E4" i="1"/>
  <c r="E28" i="1" s="1"/>
  <c r="D36" i="1"/>
  <c r="E12" i="1"/>
  <c r="I25" i="1"/>
  <c r="J9" i="1"/>
  <c r="G33" i="1"/>
  <c r="AV6" i="1"/>
  <c r="K31" i="1"/>
  <c r="J6" i="1"/>
  <c r="G30" i="1"/>
  <c r="I20" i="1"/>
  <c r="I18" i="1"/>
  <c r="I24" i="1"/>
  <c r="I22" i="1"/>
  <c r="I19" i="1"/>
  <c r="I17" i="1"/>
  <c r="I21" i="1"/>
  <c r="I23" i="1"/>
  <c r="AV7" i="1"/>
  <c r="K32" i="1"/>
  <c r="J11" i="1"/>
  <c r="G35" i="1"/>
  <c r="AS19" i="1"/>
  <c r="AS23" i="1"/>
  <c r="AS20" i="1"/>
  <c r="AS17" i="1"/>
  <c r="AS21" i="1"/>
  <c r="AS25" i="1"/>
  <c r="AS18" i="1"/>
  <c r="AS22" i="1"/>
  <c r="AS16" i="1"/>
  <c r="AS24" i="1"/>
  <c r="I37" i="1"/>
  <c r="AT12" i="1"/>
  <c r="E10" i="1"/>
  <c r="D34" i="1"/>
  <c r="B13" i="1"/>
  <c r="AM9" i="2" l="1"/>
  <c r="F20" i="3"/>
  <c r="Z11" i="2"/>
  <c r="AA11" i="2" s="1"/>
  <c r="AB11" i="2" s="1"/>
  <c r="AC11" i="2" s="1"/>
  <c r="Z4" i="2"/>
  <c r="AA4" i="2" s="1"/>
  <c r="AB4" i="2" s="1"/>
  <c r="AC4" i="2" s="1"/>
  <c r="E36" i="1"/>
  <c r="F12" i="1"/>
  <c r="AP4" i="1"/>
  <c r="C29" i="1"/>
  <c r="C13" i="1"/>
  <c r="K9" i="1"/>
  <c r="AU8" i="1"/>
  <c r="J33" i="1"/>
  <c r="K6" i="1"/>
  <c r="AU5" i="1"/>
  <c r="J30" i="1"/>
  <c r="W12" i="1"/>
  <c r="AO12" i="1"/>
  <c r="B19" i="1"/>
  <c r="B23" i="1"/>
  <c r="B20" i="1"/>
  <c r="B24" i="1"/>
  <c r="B18" i="1"/>
  <c r="B22" i="1"/>
  <c r="B16" i="1"/>
  <c r="B37" i="1"/>
  <c r="B17" i="1"/>
  <c r="B21" i="1"/>
  <c r="B25" i="1"/>
  <c r="K11" i="1"/>
  <c r="AU10" i="1"/>
  <c r="J35" i="1"/>
  <c r="AT18" i="1"/>
  <c r="AT22" i="1"/>
  <c r="AT16" i="1"/>
  <c r="AT19" i="1"/>
  <c r="AT23" i="1"/>
  <c r="AT20" i="1"/>
  <c r="AT24" i="1"/>
  <c r="AT21" i="1"/>
  <c r="AT25" i="1"/>
  <c r="AT17" i="1"/>
  <c r="F10" i="1"/>
  <c r="AR9" i="1" s="1"/>
  <c r="E34" i="1"/>
  <c r="AL19" i="2" l="1"/>
  <c r="AP12" i="1"/>
  <c r="C22" i="1"/>
  <c r="C37" i="1"/>
  <c r="C17" i="1"/>
  <c r="C23" i="1"/>
  <c r="C20" i="1"/>
  <c r="C16" i="1"/>
  <c r="C19" i="1"/>
  <c r="C25" i="1"/>
  <c r="C18" i="1"/>
  <c r="D13" i="1"/>
  <c r="C24" i="1"/>
  <c r="C21" i="1"/>
  <c r="E5" i="1"/>
  <c r="E29" i="1" s="1"/>
  <c r="F5" i="1"/>
  <c r="F14" i="1" s="1"/>
  <c r="D29" i="1"/>
  <c r="AR11" i="1"/>
  <c r="G12" i="1"/>
  <c r="F36" i="1"/>
  <c r="BZ3" i="1"/>
  <c r="BY18" i="1"/>
  <c r="AQ4" i="1"/>
  <c r="AY4" i="1"/>
  <c r="AY5" i="1" s="1"/>
  <c r="AY6" i="1" s="1"/>
  <c r="AZ7" i="1" s="1"/>
  <c r="AP17" i="1"/>
  <c r="AV8" i="1"/>
  <c r="K33" i="1"/>
  <c r="AV5" i="1"/>
  <c r="K30" i="1"/>
  <c r="AV10" i="1"/>
  <c r="K35" i="1"/>
  <c r="AW12" i="1"/>
  <c r="AO20" i="1"/>
  <c r="AW20" i="1" s="1"/>
  <c r="AO24" i="1"/>
  <c r="AW24" i="1" s="1"/>
  <c r="AO18" i="1"/>
  <c r="AW18" i="1" s="1"/>
  <c r="AO17" i="1"/>
  <c r="AW17" i="1" s="1"/>
  <c r="AO21" i="1"/>
  <c r="AW21" i="1" s="1"/>
  <c r="AO25" i="1"/>
  <c r="AW25" i="1" s="1"/>
  <c r="AO19" i="1"/>
  <c r="AW19" i="1" s="1"/>
  <c r="AO23" i="1"/>
  <c r="AW23" i="1" s="1"/>
  <c r="AO22" i="1"/>
  <c r="AW22" i="1" s="1"/>
  <c r="AO16" i="1"/>
  <c r="AW16" i="1" s="1"/>
  <c r="G10" i="1"/>
  <c r="F34" i="1"/>
  <c r="C57" i="2" l="1"/>
  <c r="D57" i="2" s="1"/>
  <c r="B69" i="2"/>
  <c r="C69" i="2" s="1"/>
  <c r="D69" i="2" s="1"/>
  <c r="H44" i="2" s="1"/>
  <c r="I44" i="2" s="1"/>
  <c r="AX6" i="2"/>
  <c r="AR25" i="2" s="1"/>
  <c r="CC3" i="1"/>
  <c r="CD3" i="1" s="1"/>
  <c r="BZ18" i="1"/>
  <c r="CE24" i="1" s="1"/>
  <c r="CW4" i="1"/>
  <c r="CW12" i="1"/>
  <c r="CW16" i="1"/>
  <c r="CW3" i="1"/>
  <c r="CW15" i="1"/>
  <c r="CA28" i="1"/>
  <c r="CB36" i="1" s="1"/>
  <c r="CB40" i="1" s="1"/>
  <c r="CB41" i="1" s="1"/>
  <c r="CW5" i="1"/>
  <c r="CW9" i="1"/>
  <c r="CW13" i="1"/>
  <c r="CW17" i="1"/>
  <c r="CW7" i="1"/>
  <c r="CW11" i="1"/>
  <c r="CW19" i="1"/>
  <c r="CW6" i="1"/>
  <c r="CW10" i="1"/>
  <c r="CW14" i="1"/>
  <c r="CW18" i="1"/>
  <c r="CW8" i="1"/>
  <c r="D22" i="1"/>
  <c r="D37" i="1"/>
  <c r="D17" i="1"/>
  <c r="D16" i="1"/>
  <c r="D24" i="1"/>
  <c r="D23" i="1"/>
  <c r="D20" i="1"/>
  <c r="D21" i="1"/>
  <c r="D19" i="1"/>
  <c r="D25" i="1"/>
  <c r="E13" i="1"/>
  <c r="D18" i="1"/>
  <c r="G36" i="1"/>
  <c r="J12" i="1"/>
  <c r="AP20" i="1"/>
  <c r="AP25" i="1"/>
  <c r="AP22" i="1"/>
  <c r="AP18" i="1"/>
  <c r="AP19" i="1"/>
  <c r="AP24" i="1"/>
  <c r="AP21" i="1"/>
  <c r="AP16" i="1"/>
  <c r="AP23" i="1"/>
  <c r="AQ12" i="1"/>
  <c r="J10" i="1"/>
  <c r="G34" i="1"/>
  <c r="C44" i="2" l="1"/>
  <c r="C18" i="5"/>
  <c r="B30" i="5"/>
  <c r="C30" i="5" s="1"/>
  <c r="I5" i="5" s="1"/>
  <c r="I11" i="5" s="1"/>
  <c r="CB28" i="1"/>
  <c r="CB29" i="1" s="1"/>
  <c r="CA29" i="1"/>
  <c r="CX4" i="1"/>
  <c r="CX8" i="1"/>
  <c r="CX12" i="1"/>
  <c r="CX16" i="1"/>
  <c r="CX11" i="1"/>
  <c r="CX19" i="1"/>
  <c r="CX3" i="1"/>
  <c r="CX5" i="1"/>
  <c r="CX9" i="1"/>
  <c r="CX13" i="1"/>
  <c r="CX17" i="1"/>
  <c r="CX7" i="1"/>
  <c r="CX15" i="1"/>
  <c r="CX6" i="1"/>
  <c r="CX10" i="1"/>
  <c r="CX14" i="1"/>
  <c r="CX18" i="1"/>
  <c r="AQ21" i="1"/>
  <c r="AQ16" i="1"/>
  <c r="AQ20" i="1"/>
  <c r="AQ25" i="1"/>
  <c r="AQ23" i="1"/>
  <c r="AQ22" i="1"/>
  <c r="AQ18" i="1"/>
  <c r="AQ24" i="1"/>
  <c r="AQ19" i="1"/>
  <c r="AQ17" i="1"/>
  <c r="E22" i="1"/>
  <c r="F13" i="1"/>
  <c r="E16" i="1"/>
  <c r="E23" i="1"/>
  <c r="E21" i="1"/>
  <c r="E24" i="1"/>
  <c r="E18" i="1"/>
  <c r="E37" i="1"/>
  <c r="E17" i="1"/>
  <c r="E20" i="1"/>
  <c r="E25" i="1"/>
  <c r="E19" i="1"/>
  <c r="AU11" i="1"/>
  <c r="J36" i="1"/>
  <c r="K12" i="1"/>
  <c r="CG3" i="1"/>
  <c r="CK3" i="1" s="1"/>
  <c r="CL3" i="1" s="1"/>
  <c r="AU9" i="1"/>
  <c r="K10" i="1"/>
  <c r="AV9" i="1" s="1"/>
  <c r="J34" i="1"/>
  <c r="C10" i="5" l="1"/>
  <c r="B11" i="5" s="1"/>
  <c r="CK18" i="1"/>
  <c r="DI4" i="1" s="1"/>
  <c r="AR12" i="1"/>
  <c r="F16" i="1"/>
  <c r="F18" i="1"/>
  <c r="F23" i="1"/>
  <c r="F22" i="1"/>
  <c r="G13" i="1"/>
  <c r="F19" i="1"/>
  <c r="F37" i="1"/>
  <c r="F24" i="1"/>
  <c r="F20" i="1"/>
  <c r="F21" i="1"/>
  <c r="F25" i="1"/>
  <c r="CG18" i="1"/>
  <c r="CH3" i="1"/>
  <c r="AV11" i="1"/>
  <c r="K36" i="1"/>
  <c r="K34" i="1"/>
  <c r="G5" i="1"/>
  <c r="AR4" i="1"/>
  <c r="F29" i="1"/>
  <c r="H14" i="1"/>
  <c r="F17" i="1"/>
  <c r="CH18" i="1" l="1"/>
  <c r="CP3" i="1"/>
  <c r="AR17" i="1"/>
  <c r="G17" i="1"/>
  <c r="CI28" i="1"/>
  <c r="CI29" i="1" s="1"/>
  <c r="DI18" i="1"/>
  <c r="DI7" i="1"/>
  <c r="DI17" i="1"/>
  <c r="DI16" i="1"/>
  <c r="DI10" i="1"/>
  <c r="DI15" i="1"/>
  <c r="DI14" i="1"/>
  <c r="DI19" i="1"/>
  <c r="DI6" i="1"/>
  <c r="DI5" i="1"/>
  <c r="DI11" i="1"/>
  <c r="DI9" i="1"/>
  <c r="DI13" i="1"/>
  <c r="DI8" i="1"/>
  <c r="DI3" i="1"/>
  <c r="DI12" i="1"/>
  <c r="CE28" i="1"/>
  <c r="DE8" i="1"/>
  <c r="DF8" i="1" s="1"/>
  <c r="DE9" i="1"/>
  <c r="DF9" i="1" s="1"/>
  <c r="DE6" i="1"/>
  <c r="DF6" i="1" s="1"/>
  <c r="DE10" i="1"/>
  <c r="DF10" i="1" s="1"/>
  <c r="DE14" i="1"/>
  <c r="DF14" i="1" s="1"/>
  <c r="DE7" i="1"/>
  <c r="DF7" i="1" s="1"/>
  <c r="DE11" i="1"/>
  <c r="DF11" i="1" s="1"/>
  <c r="DE15" i="1"/>
  <c r="DF15" i="1" s="1"/>
  <c r="DE19" i="1"/>
  <c r="DF19" i="1" s="1"/>
  <c r="DE5" i="1"/>
  <c r="DF5" i="1" s="1"/>
  <c r="DE17" i="1"/>
  <c r="DF17" i="1" s="1"/>
  <c r="DE18" i="1"/>
  <c r="DF18" i="1" s="1"/>
  <c r="DE12" i="1"/>
  <c r="DF12" i="1" s="1"/>
  <c r="DE16" i="1"/>
  <c r="DF16" i="1" s="1"/>
  <c r="DE3" i="1"/>
  <c r="DF3" i="1" s="1"/>
  <c r="DE13" i="1"/>
  <c r="DF13" i="1" s="1"/>
  <c r="DE4" i="1"/>
  <c r="DF4" i="1" s="1"/>
  <c r="G22" i="1"/>
  <c r="G16" i="1"/>
  <c r="G23" i="1"/>
  <c r="G21" i="1"/>
  <c r="G24" i="1"/>
  <c r="G18" i="1"/>
  <c r="G25" i="1"/>
  <c r="G20" i="1"/>
  <c r="G37" i="1"/>
  <c r="G19" i="1"/>
  <c r="AR16" i="1"/>
  <c r="AR24" i="1"/>
  <c r="AR19" i="1"/>
  <c r="AR25" i="1"/>
  <c r="AR20" i="1"/>
  <c r="AR18" i="1"/>
  <c r="AR23" i="1"/>
  <c r="AR21" i="1"/>
  <c r="AR22" i="1"/>
  <c r="G29" i="1"/>
  <c r="J5" i="1"/>
  <c r="K5" i="1" s="1"/>
  <c r="AV4" i="1" s="1"/>
  <c r="DJ4" i="1" l="1"/>
  <c r="CF24" i="1"/>
  <c r="CF26" i="1" s="1"/>
  <c r="CJ28" i="1"/>
  <c r="DJ8" i="1"/>
  <c r="DJ15" i="1"/>
  <c r="DJ13" i="1"/>
  <c r="DJ10" i="1"/>
  <c r="DJ19" i="1"/>
  <c r="DJ5" i="1"/>
  <c r="DJ18" i="1"/>
  <c r="DJ9" i="1"/>
  <c r="DJ6" i="1"/>
  <c r="DJ12" i="1"/>
  <c r="DJ17" i="1"/>
  <c r="DJ14" i="1"/>
  <c r="DJ16" i="1"/>
  <c r="DJ7" i="1"/>
  <c r="DJ3" i="1"/>
  <c r="DJ11" i="1"/>
  <c r="CF28" i="1"/>
  <c r="CF29" i="1" s="1"/>
  <c r="CE29" i="1"/>
  <c r="K29" i="1"/>
  <c r="J13" i="1"/>
  <c r="J17" i="1" s="1"/>
  <c r="J29" i="1"/>
  <c r="AU4" i="1"/>
  <c r="CD36" i="1" l="1"/>
  <c r="CD40" i="1" s="1"/>
  <c r="CD41" i="1" s="1"/>
  <c r="CJ29" i="1"/>
  <c r="J18" i="1"/>
  <c r="J22" i="1"/>
  <c r="AU12" i="1"/>
  <c r="AU24" i="1" s="1"/>
  <c r="J16" i="1"/>
  <c r="J25" i="1"/>
  <c r="J37" i="1"/>
  <c r="J21" i="1"/>
  <c r="J24" i="1"/>
  <c r="J23" i="1"/>
  <c r="J19" i="1"/>
  <c r="J20" i="1"/>
  <c r="K13" i="1"/>
  <c r="K21" i="1" s="1"/>
  <c r="AU21" i="1" l="1"/>
  <c r="AU22" i="1"/>
  <c r="AU20" i="1"/>
  <c r="K22" i="1"/>
  <c r="AU17" i="1"/>
  <c r="AU19" i="1"/>
  <c r="K37" i="1"/>
  <c r="AU23" i="1"/>
  <c r="AU25" i="1"/>
  <c r="K19" i="1"/>
  <c r="K20" i="1"/>
  <c r="K17" i="1"/>
  <c r="K25" i="1"/>
  <c r="K23" i="1"/>
  <c r="AV12" i="1"/>
  <c r="AV19" i="1" s="1"/>
  <c r="K16" i="1"/>
  <c r="AU18" i="1"/>
  <c r="AU16" i="1"/>
  <c r="K24" i="1"/>
  <c r="K18" i="1"/>
  <c r="AV22" i="1" l="1"/>
  <c r="AV16" i="1"/>
  <c r="AV24" i="1"/>
  <c r="AV21" i="1"/>
  <c r="AV25" i="1"/>
  <c r="AV23" i="1"/>
  <c r="AV20" i="1"/>
  <c r="AV17" i="1"/>
  <c r="AV18" i="1"/>
  <c r="BX18" i="1"/>
  <c r="BT10" i="1" l="1"/>
  <c r="CC15" i="1" s="1"/>
  <c r="CV19" i="1"/>
  <c r="CV12" i="1"/>
  <c r="CV9" i="1"/>
  <c r="CV13" i="1"/>
  <c r="CV17" i="1"/>
  <c r="CV18" i="1"/>
  <c r="CV14" i="1"/>
  <c r="CV15" i="1"/>
  <c r="CV3" i="1"/>
  <c r="CV5" i="1"/>
  <c r="CV6" i="1"/>
  <c r="CV10" i="1"/>
  <c r="CV7" i="1"/>
  <c r="CV11" i="1"/>
  <c r="CV16" i="1"/>
  <c r="CV4" i="1"/>
  <c r="CV8" i="1"/>
  <c r="DA16" i="1"/>
  <c r="DB16" i="1" s="1"/>
  <c r="CD15" i="1"/>
  <c r="CD18" i="1" s="1"/>
  <c r="CB18" i="1"/>
  <c r="CZ5" i="1" l="1"/>
  <c r="CZ11" i="1"/>
  <c r="CZ7" i="1"/>
  <c r="CZ17" i="1"/>
  <c r="CZ12" i="1"/>
  <c r="CZ10" i="1"/>
  <c r="CZ6" i="1"/>
  <c r="CZ18" i="1"/>
  <c r="CZ14" i="1"/>
  <c r="CZ19" i="1"/>
  <c r="CZ15" i="1"/>
  <c r="CZ4" i="1"/>
  <c r="CZ3" i="1"/>
  <c r="CZ8" i="1"/>
  <c r="CZ13" i="1"/>
  <c r="CZ9" i="1"/>
  <c r="CZ16" i="1"/>
  <c r="DA11" i="1"/>
  <c r="DB11" i="1" s="1"/>
  <c r="DA19" i="1"/>
  <c r="DB19" i="1" s="1"/>
  <c r="DA10" i="1"/>
  <c r="DB10" i="1" s="1"/>
  <c r="DA15" i="1"/>
  <c r="DB15" i="1" s="1"/>
  <c r="DA14" i="1"/>
  <c r="DB14" i="1" s="1"/>
  <c r="DA6" i="1"/>
  <c r="DB6" i="1" s="1"/>
  <c r="DA9" i="1"/>
  <c r="DB9" i="1" s="1"/>
  <c r="DA13" i="1"/>
  <c r="DB13" i="1" s="1"/>
  <c r="DA8" i="1"/>
  <c r="DB8" i="1" s="1"/>
  <c r="DB5" i="1"/>
  <c r="DA18" i="1"/>
  <c r="DB18" i="1" s="1"/>
  <c r="DA3" i="1"/>
  <c r="DB3" i="1" s="1"/>
  <c r="DA4" i="1"/>
  <c r="DB4" i="1" s="1"/>
  <c r="DA17" i="1"/>
  <c r="DB17" i="1" s="1"/>
  <c r="DA12" i="1"/>
  <c r="DB12" i="1" s="1"/>
  <c r="DA7" i="1"/>
  <c r="DB7" i="1" s="1"/>
  <c r="CC28" i="1"/>
  <c r="CC29" i="1" l="1"/>
  <c r="CC36" i="1"/>
  <c r="CC40" i="1" s="1"/>
  <c r="CC41" i="1" s="1"/>
  <c r="CD28" i="1"/>
  <c r="CD29" i="1" s="1"/>
  <c r="AX8" i="2" l="1"/>
  <c r="B59" i="2"/>
  <c r="E59" i="2" s="1"/>
  <c r="E71" i="2" l="1"/>
  <c r="F59" i="2"/>
  <c r="F71" i="2" l="1"/>
  <c r="G59" i="2"/>
  <c r="H59" i="2" s="1"/>
  <c r="H71" i="2" l="1"/>
  <c r="C47" i="2"/>
  <c r="C49" i="2" s="1"/>
  <c r="G71" i="2"/>
  <c r="H46" i="2" l="1"/>
  <c r="I46" i="2" l="1"/>
  <c r="I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<sst xmlns="http://schemas.openxmlformats.org/spreadsheetml/2006/main" count="821" uniqueCount="491">
  <si>
    <t>streams</t>
  </si>
  <si>
    <t>Stream 3.1 (T=55, P=2.27 bar)</t>
  </si>
  <si>
    <t>components</t>
  </si>
  <si>
    <t>starch</t>
  </si>
  <si>
    <t>water</t>
  </si>
  <si>
    <t>protein</t>
  </si>
  <si>
    <t>lipid</t>
  </si>
  <si>
    <t>sugar</t>
  </si>
  <si>
    <t>fibre</t>
  </si>
  <si>
    <t>amylase</t>
  </si>
  <si>
    <t>glucoamylase</t>
  </si>
  <si>
    <t>steam</t>
  </si>
  <si>
    <t>total</t>
  </si>
  <si>
    <t>CALCULATIONS</t>
  </si>
  <si>
    <t>a amylase required</t>
  </si>
  <si>
    <t>component</t>
  </si>
  <si>
    <t>a amylase</t>
  </si>
  <si>
    <t>RMM</t>
  </si>
  <si>
    <t>GLUCOAMYLASE</t>
  </si>
  <si>
    <t>Stream 3,4(T=55, P=2.27 bar)</t>
  </si>
  <si>
    <t>Stream 3,5 (T=55, P=2,27) assume isothermal reactor system with negligible pressure drop. Tank modified using pH modifier for pH=5</t>
  </si>
  <si>
    <t>Outlet conc of glucose</t>
  </si>
  <si>
    <t>Enzymes to be added kg/h</t>
  </si>
  <si>
    <t>RMM kg/mol</t>
  </si>
  <si>
    <t>wt/starch</t>
  </si>
  <si>
    <t>Inlet conc of starch glucose equivalents</t>
  </si>
  <si>
    <t>Yield after 15 hours</t>
  </si>
  <si>
    <t>Outflow volumetric flowrate required for solution</t>
  </si>
  <si>
    <t>Approximate water consumed during hydrolysis</t>
  </si>
  <si>
    <t>weight fractions</t>
  </si>
  <si>
    <t>at batch time=10 hrs amount</t>
  </si>
  <si>
    <t>mass 1 in</t>
  </si>
  <si>
    <t>FIND ALPHA AMYLASE REQUIREMENT</t>
  </si>
  <si>
    <t>FIND GLUCOAMYLASE REQUIREMENT</t>
  </si>
  <si>
    <t>Estimate water requirement</t>
  </si>
  <si>
    <t>approximate density of 50 g/l solution of glucose</t>
  </si>
  <si>
    <t>amout no water or glucose</t>
  </si>
  <si>
    <t xml:space="preserve">Stream 3.6 (T=55, P=2,27 </t>
  </si>
  <si>
    <t>Stream 3.2 (T=20, P=5 bar)</t>
  </si>
  <si>
    <t>Stream 3.3 (T=20, P=2,27 bar)</t>
  </si>
  <si>
    <t>Stream 3.7 (T=116, P=1,77 bar)</t>
  </si>
  <si>
    <t>Stream 3.8 (T=116, P=1,27 bar)</t>
  </si>
  <si>
    <t>Stream 3.9 (T=116, P=1,27 bar)</t>
  </si>
  <si>
    <t>Stream 3.10 (T=35, P=1 bar)</t>
  </si>
  <si>
    <t>Stream 3,5(T=55, P=2.27 bar)</t>
  </si>
  <si>
    <t>Stream 3,7 (T=116, P=1,27 bar)</t>
  </si>
  <si>
    <t>Streams</t>
  </si>
  <si>
    <t>Stream 3.3 (T=20, P=5 bar)</t>
  </si>
  <si>
    <t>Stream 3,6(T=116, P=1,77 bar)</t>
  </si>
  <si>
    <t>Stream 3,8 (T=116, P=1,77 bar)</t>
  </si>
  <si>
    <t>Stream 3,9(T=35, P=1,77 bar)</t>
  </si>
  <si>
    <t>evaporate water at 116 degrees</t>
  </si>
  <si>
    <t>method 2</t>
  </si>
  <si>
    <t>Stream 3,2 (P=2,27, T=90)</t>
  </si>
  <si>
    <t>Stream 3.4 (T=90, P=4,5 bar)</t>
  </si>
  <si>
    <t>Starch requirement</t>
  </si>
  <si>
    <t>Find outflow volume produced m^3</t>
  </si>
  <si>
    <t>WRONG TRY</t>
  </si>
  <si>
    <t>Amount evaporated</t>
  </si>
  <si>
    <t>Amount remaining</t>
  </si>
  <si>
    <t>water consumed during starch conversion</t>
  </si>
  <si>
    <t>concentration of starch into area 3</t>
  </si>
  <si>
    <t>MASS OUTFLOW OF WATER</t>
  </si>
  <si>
    <t>Additional water required</t>
  </si>
  <si>
    <t>Initial conditions for saccharification</t>
  </si>
  <si>
    <t>G1</t>
  </si>
  <si>
    <t>G2</t>
  </si>
  <si>
    <t>G3</t>
  </si>
  <si>
    <t>G4</t>
  </si>
  <si>
    <t>G5</t>
  </si>
  <si>
    <t>G6</t>
  </si>
  <si>
    <t>G7</t>
  </si>
  <si>
    <t>Gslarge</t>
  </si>
  <si>
    <t>Scale factor</t>
  </si>
  <si>
    <t>Original</t>
  </si>
  <si>
    <t>After liquefaction</t>
  </si>
  <si>
    <t>n</t>
  </si>
  <si>
    <t>Glucose equivalents</t>
  </si>
  <si>
    <t>Stream 3.1 (T=50, P=2.27 bar)</t>
  </si>
  <si>
    <t>impurities</t>
  </si>
  <si>
    <t xml:space="preserve">amylase </t>
  </si>
  <si>
    <t>Glarge</t>
  </si>
  <si>
    <t>Impurities</t>
  </si>
  <si>
    <t>starch (gelatinised)</t>
  </si>
  <si>
    <t>Nutrients</t>
  </si>
  <si>
    <t>Stream 3,11  (amylase added)</t>
  </si>
  <si>
    <t>Stream 3,3 additional water (P=5 bar, T=20)</t>
  </si>
  <si>
    <t>Stream 3,12 (nutrients added)</t>
  </si>
  <si>
    <t>Requirement=50 fractions</t>
  </si>
  <si>
    <t>Total</t>
  </si>
  <si>
    <t>Stream 3,13 (glucoamylase added)</t>
  </si>
  <si>
    <t>Stream 3,14 for pH</t>
  </si>
  <si>
    <t>H2SO4(aq)</t>
  </si>
  <si>
    <t>pH</t>
  </si>
  <si>
    <t>Incoming</t>
  </si>
  <si>
    <t>5.8</t>
  </si>
  <si>
    <t>H+ requirement</t>
  </si>
  <si>
    <t>Moles H2SO4</t>
  </si>
  <si>
    <t>RMM H2SO4</t>
  </si>
  <si>
    <t>MASS H2SO4</t>
  </si>
  <si>
    <t>Mass flow</t>
  </si>
  <si>
    <t>Steam</t>
  </si>
  <si>
    <t>mass fractions</t>
  </si>
  <si>
    <t>Stream 3,1 (T=55,  P=2,1 bar)</t>
  </si>
  <si>
    <t>Stream 3,6  after HX(T=55,P=1,1 bara)</t>
  </si>
  <si>
    <t>Stream 3,7 after saccharification(T=55, P=1,1)</t>
  </si>
  <si>
    <t>Flows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</si>
  <si>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</si>
  <si>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</si>
  <si>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</si>
  <si>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</si>
  <si>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</si>
  <si>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</si>
  <si>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</si>
  <si>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</si>
  <si>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</si>
  <si>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</si>
  <si>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</si>
  <si>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</si>
  <si>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REACTOR VOLUME REQUIREMENT</t>
  </si>
  <si>
    <t>Requirement for outlet glucose g/l</t>
  </si>
  <si>
    <t>BATCHES No</t>
  </si>
  <si>
    <t>VOLUME PER REACTOR</t>
  </si>
  <si>
    <t>Estimate HX duties</t>
  </si>
  <si>
    <t>m</t>
  </si>
  <si>
    <t>Cp</t>
  </si>
  <si>
    <t>DT</t>
  </si>
  <si>
    <t>Stream 3,4 (Water heated to 90 degrees) (T=90, P=4,5)</t>
  </si>
  <si>
    <t>Stream 3,5 (T=90, P=1,6 bar) outlet after liquefaction</t>
  </si>
  <si>
    <t>Stream 3,9(T=120, P=1,5)</t>
  </si>
  <si>
    <t>Stream 3,10 after fin and fan (T=100, P=1,0)</t>
  </si>
  <si>
    <t>Stream 3,11( after shell and tube) T=120 P=1,5</t>
  </si>
  <si>
    <t>Stream 3,12 (T=35, P=1,0)</t>
  </si>
  <si>
    <t>Stream 3,2 through HX (T=90, P=1,6)</t>
  </si>
  <si>
    <t>Stream 3,8 pumped (T=55,P=2,0)</t>
  </si>
  <si>
    <t>Duty</t>
  </si>
  <si>
    <t>In MW</t>
  </si>
  <si>
    <t>FOR FIN AND FAN COOLER</t>
  </si>
  <si>
    <t>DHvap</t>
  </si>
  <si>
    <t>For tube bundle</t>
  </si>
  <si>
    <t>Quantities</t>
  </si>
  <si>
    <t>Duty is evaporated steam</t>
  </si>
  <si>
    <t>GLUCOSE CONC OUT OF REACTORS g/l</t>
  </si>
  <si>
    <t>BATCH TIME</t>
  </si>
  <si>
    <t>Stream 3,2 through HX (T=90, P=1,5)</t>
  </si>
  <si>
    <t>Stream 3,4 (Water heated to 90 degrees) (T=90, P=4.3)</t>
  </si>
  <si>
    <t>Stream 3,6  after HX(T=55,P=1 bara)</t>
  </si>
  <si>
    <t>Stream 3,8 pumped (T=55,P=1.6)</t>
  </si>
  <si>
    <t>water reduction to meet criterion</t>
  </si>
  <si>
    <t>GLUCOSE TO AREA 4 MOLALITY</t>
  </si>
  <si>
    <t>for reactor volume</t>
  </si>
  <si>
    <t>lines</t>
  </si>
  <si>
    <t>batch liquefaction hrs</t>
  </si>
  <si>
    <t>batch saccharification hrs</t>
  </si>
  <si>
    <t>required production spec</t>
  </si>
  <si>
    <t>Required concentration</t>
  </si>
  <si>
    <t>Overall production</t>
  </si>
  <si>
    <t>REACTOR VOLUME LIQUEFACTION</t>
  </si>
  <si>
    <t>REACTOR VOLUME SACCHARIFICATION</t>
  </si>
  <si>
    <t>TOTAL REACTOR VOLUME</t>
  </si>
  <si>
    <t>REACTOR VOLUME PER LINE</t>
  </si>
  <si>
    <t>LIQUEFACTION</t>
  </si>
  <si>
    <t>SACCHARIFICATION</t>
  </si>
  <si>
    <t>Water added to liquefaction reactors</t>
  </si>
  <si>
    <t>TO EACH LINE</t>
  </si>
  <si>
    <t>Stream 3,12 (T=35, P=1)</t>
  </si>
  <si>
    <t>Stream 3,1 (T=55,  P=1.8 bar)</t>
  </si>
  <si>
    <t>Stream 3,5 (T=90, P=1,7 bar) outlet after liquefaction</t>
  </si>
  <si>
    <t>Stream 3,7 after saccharification(T=55, P=1.6)</t>
  </si>
  <si>
    <t>Liquefaction unit</t>
  </si>
  <si>
    <t>D</t>
  </si>
  <si>
    <t>H</t>
  </si>
  <si>
    <t>Aspect ratio H/D</t>
  </si>
  <si>
    <t>IMPELLER</t>
  </si>
  <si>
    <t>RUSHTON</t>
  </si>
  <si>
    <t>FLUID EXTREME PROPERTIES</t>
  </si>
  <si>
    <t>VISCOSITY</t>
  </si>
  <si>
    <t>DENSITY</t>
  </si>
  <si>
    <t>Np</t>
  </si>
  <si>
    <t>DI/D</t>
  </si>
  <si>
    <t>DI</t>
  </si>
  <si>
    <t>Re</t>
  </si>
  <si>
    <t>N</t>
  </si>
  <si>
    <t>rpm impeller</t>
  </si>
  <si>
    <t>Power</t>
  </si>
  <si>
    <t>Power per impeller</t>
  </si>
  <si>
    <t>Number of impellers</t>
  </si>
  <si>
    <t>New N</t>
  </si>
  <si>
    <t>rpm new impeller</t>
  </si>
  <si>
    <t>WB</t>
  </si>
  <si>
    <t>Number of baffles 4</t>
  </si>
  <si>
    <t>Ci</t>
  </si>
  <si>
    <t>BLADE CRITERIA</t>
  </si>
  <si>
    <t>Width</t>
  </si>
  <si>
    <t>Length</t>
  </si>
  <si>
    <t>INCREASE</t>
  </si>
  <si>
    <t>LIQUEFACTION UNIT</t>
  </si>
  <si>
    <t>heat capacity</t>
  </si>
  <si>
    <t>BATCH HX DUTY J</t>
  </si>
  <si>
    <t>will have to increase to take into account thermal conductivity of material and inertial effects J</t>
  </si>
  <si>
    <t>DUTY</t>
  </si>
  <si>
    <t>UTILITY FLOW</t>
  </si>
  <si>
    <t>LPS Cp</t>
  </si>
  <si>
    <t>SACCHARIFICATION UNIT</t>
  </si>
  <si>
    <t>VNEW SACC UNIT</t>
  </si>
  <si>
    <t>REACTOR VOLUME SENSITIVITY ANALYSIS NEW g/l after 10 hours</t>
  </si>
  <si>
    <t>0.44</t>
  </si>
  <si>
    <t>equipment</t>
  </si>
  <si>
    <t>Duties</t>
  </si>
  <si>
    <t>E300</t>
  </si>
  <si>
    <t>E301</t>
  </si>
  <si>
    <t>E302</t>
  </si>
  <si>
    <t>E303</t>
  </si>
  <si>
    <t>E304</t>
  </si>
  <si>
    <t>assume 150 ppm for nutrients</t>
  </si>
  <si>
    <t>overall</t>
  </si>
  <si>
    <t>heat transfer coefficient</t>
  </si>
  <si>
    <t>PUMP</t>
  </si>
  <si>
    <t>ro</t>
  </si>
  <si>
    <t>mew</t>
  </si>
  <si>
    <t>Q</t>
  </si>
  <si>
    <t>efficiency</t>
  </si>
  <si>
    <t>Power kW</t>
  </si>
  <si>
    <t>Actual after efficiency</t>
  </si>
  <si>
    <t>HORSE POWER</t>
  </si>
  <si>
    <t>SUCTION HEAD</t>
  </si>
  <si>
    <t>PRESSURE AFTER SACCHARIFICATION</t>
  </si>
  <si>
    <t xml:space="preserve">static lift assumed </t>
  </si>
  <si>
    <t>NET PUMP HEAD</t>
  </si>
  <si>
    <t>Vapour pressure</t>
  </si>
  <si>
    <t>NPSH</t>
  </si>
  <si>
    <t>NPSH IN FEET</t>
  </si>
  <si>
    <t>to be able to use affinity laws</t>
  </si>
  <si>
    <t>Q IN GMP</t>
  </si>
  <si>
    <t>NPSH RANGE FOR AXIAL FLOW PUMPS IS 9000-15000</t>
  </si>
  <si>
    <t>choose intermediate</t>
  </si>
  <si>
    <t>perry</t>
  </si>
  <si>
    <t>NLOW END</t>
  </si>
  <si>
    <t>N HIGH END</t>
  </si>
  <si>
    <t>PERRY CURVE</t>
  </si>
  <si>
    <t>HEAD</t>
  </si>
  <si>
    <t>AFFINITY LAW 1 D</t>
  </si>
  <si>
    <t>AFFINITY LAW 2 D</t>
  </si>
  <si>
    <t>TOOO HIGH</t>
  </si>
  <si>
    <t>new dimensions</t>
  </si>
  <si>
    <t>liquefaction</t>
  </si>
  <si>
    <t>diameter</t>
  </si>
  <si>
    <t>height</t>
  </si>
  <si>
    <t>impeller diameter</t>
  </si>
  <si>
    <t>baffle width</t>
  </si>
  <si>
    <t>impeller width</t>
  </si>
  <si>
    <t>clearance of baffles</t>
  </si>
  <si>
    <t>diameter of shaft</t>
  </si>
  <si>
    <t>earance from bottom</t>
  </si>
  <si>
    <t>total power</t>
  </si>
  <si>
    <t>saccharification</t>
  </si>
  <si>
    <t>reactor wall thickness</t>
  </si>
  <si>
    <t>baffle length</t>
  </si>
  <si>
    <t>turbine thickness</t>
  </si>
  <si>
    <t>jacket volume</t>
  </si>
  <si>
    <t>cylidrical shaft thickness</t>
  </si>
  <si>
    <t>SAME WITH INTERNAL COOLING</t>
  </si>
  <si>
    <t>NUMBER OF UNITS 4</t>
  </si>
  <si>
    <t>NUMBER OF UNITS</t>
  </si>
  <si>
    <t>INTERNAL COIL DIAMETER</t>
  </si>
  <si>
    <t>INTERNAL HELIX</t>
  </si>
  <si>
    <t>INTERNAL LENGTH</t>
  </si>
  <si>
    <t>TOTAL POWER</t>
  </si>
  <si>
    <t>LIQUEFACTION RENEWED</t>
  </si>
  <si>
    <t>Impeller width</t>
  </si>
  <si>
    <t>impeller thickness</t>
  </si>
  <si>
    <t>shaft diameter</t>
  </si>
  <si>
    <t>shaft thickness</t>
  </si>
  <si>
    <t>baffle thickness</t>
  </si>
  <si>
    <t>clearance of impeller from bottom</t>
  </si>
  <si>
    <t>baffle clearance</t>
  </si>
  <si>
    <t>Number of units</t>
  </si>
  <si>
    <t>heating jacket volume</t>
  </si>
  <si>
    <t>saccharification renewed</t>
  </si>
  <si>
    <t>same but 16 units</t>
  </si>
  <si>
    <t>COSTING</t>
  </si>
  <si>
    <t>GRADE 304 SS</t>
  </si>
  <si>
    <t>CARBON STEEL</t>
  </si>
  <si>
    <t>LIQUEFACTION UNITS</t>
  </si>
  <si>
    <t>SACCHARIFICATION UNITS</t>
  </si>
  <si>
    <t>HEAT EXCHANGER FOR HEATING TOWNS WATER</t>
  </si>
  <si>
    <t>HEAT EXCHANGER FOR COOLING GLUCOSE SOLUTION</t>
  </si>
  <si>
    <t xml:space="preserve">Duty </t>
  </si>
  <si>
    <t>Tube outer</t>
  </si>
  <si>
    <t>Tube inner</t>
  </si>
  <si>
    <t>number</t>
  </si>
  <si>
    <t>Shell diam</t>
  </si>
  <si>
    <t>design pressure</t>
  </si>
  <si>
    <t>RPM</t>
  </si>
  <si>
    <t>D AFFINITY LAWS</t>
  </si>
  <si>
    <t>INTERNALS</t>
  </si>
  <si>
    <t>MASS</t>
  </si>
  <si>
    <t>COST</t>
  </si>
  <si>
    <t>cost</t>
  </si>
  <si>
    <t>SHAFT</t>
  </si>
  <si>
    <t>for tubes</t>
  </si>
  <si>
    <t>mass</t>
  </si>
  <si>
    <t>for shell thickness</t>
  </si>
  <si>
    <t xml:space="preserve">COULSON AND RICHARDSON P.259 </t>
  </si>
  <si>
    <t>TURBINES PITCH BLADE</t>
  </si>
  <si>
    <t>TURBINES</t>
  </si>
  <si>
    <t>p.11-44 PERRY</t>
  </si>
  <si>
    <t>MID 2004</t>
  </si>
  <si>
    <t>HEATING JACKET</t>
  </si>
  <si>
    <t>BAFFLES</t>
  </si>
  <si>
    <t>price</t>
  </si>
  <si>
    <t>1960 MARSHALL AND SWIFT INDEX</t>
  </si>
  <si>
    <t>EQUATION Ce=CS^n</t>
  </si>
  <si>
    <t>SUPPORT STRUCTURE</t>
  </si>
  <si>
    <t>STICK WITH THIS</t>
  </si>
  <si>
    <t>OVERALL PRICE</t>
  </si>
  <si>
    <t xml:space="preserve">675 BACK THEN </t>
  </si>
  <si>
    <t>C</t>
  </si>
  <si>
    <t>S</t>
  </si>
  <si>
    <t>liquefaction body</t>
  </si>
  <si>
    <t>HELICAL COOLING COILS</t>
  </si>
  <si>
    <t>tema standard</t>
  </si>
  <si>
    <t>NOW 1400</t>
  </si>
  <si>
    <t>TOTAL</t>
  </si>
  <si>
    <t>saccharification body</t>
  </si>
  <si>
    <t>use lmtd</t>
  </si>
  <si>
    <t>lmtd</t>
  </si>
  <si>
    <t>for such a heat exchanger</t>
  </si>
  <si>
    <t>PRICE</t>
  </si>
  <si>
    <t>avg inflation rate</t>
  </si>
  <si>
    <t>Ce</t>
  </si>
  <si>
    <t>cost today</t>
  </si>
  <si>
    <t>LIQUEFACTION REACTOR</t>
  </si>
  <si>
    <t>TOTAL MASS</t>
  </si>
  <si>
    <t>ACCORDING TO TEMA</t>
  </si>
  <si>
    <t>accuracy within +-25%</t>
  </si>
  <si>
    <t>WALL</t>
  </si>
  <si>
    <t>250-450 coulsonand richardson chemical engineering design vol.6 p.639</t>
  </si>
  <si>
    <t>HEIGHT</t>
  </si>
  <si>
    <t>roughly 110 000</t>
  </si>
  <si>
    <t>https://link.springer.com/content/pdf/bbm%3A978-94-011-6544-0%2F1.pdf</t>
  </si>
  <si>
    <t>equipment cost estimates</t>
  </si>
  <si>
    <t>dtlm</t>
  </si>
  <si>
    <t>A</t>
  </si>
  <si>
    <t>DIAMETER</t>
  </si>
  <si>
    <t>Shaft</t>
  </si>
  <si>
    <t>HEATING JACKET area</t>
  </si>
  <si>
    <t>BAFFLES height width and thickness thickness typically DT/100</t>
  </si>
  <si>
    <t>TURBINES length, diameter and thickness</t>
  </si>
  <si>
    <t>Saccharification reactor mass</t>
  </si>
  <si>
    <t>design at 5 bar stainless steel</t>
  </si>
  <si>
    <t>sterilisation sparge witrh steam initially or heat prior to cooling. Incoming substance at 90 C</t>
  </si>
  <si>
    <t>COMMON STERILISING TEMPERATURES PERFORMED BY STEAM ARE 121 DEGREES. Achieve trace heating for minimal time in both reactors. SUPPLY PRESENT</t>
  </si>
  <si>
    <t>global composite steel price and index also carbon steel and ss grade 304 indices</t>
  </si>
  <si>
    <t>CONVERSION</t>
  </si>
  <si>
    <t>sy</t>
  </si>
  <si>
    <t>price $/t</t>
  </si>
  <si>
    <t>index</t>
  </si>
  <si>
    <t>CURRENT INDEX</t>
  </si>
  <si>
    <t>PRICE IN £/t</t>
  </si>
  <si>
    <t>world steel prices</t>
  </si>
  <si>
    <t>https://worldsteelprices.com/</t>
  </si>
  <si>
    <t>AINSI MATERIAL FOR PROPERTIES</t>
  </si>
  <si>
    <t>FOR HEATING JACKET USE PERRY P.18-23 AND 18-24  jacket and heating coils</t>
  </si>
  <si>
    <t>reduce area for liquefaction heating specified</t>
  </si>
  <si>
    <t>FOR BLADE THICKNESS PITCHED BLADE TURBINE DOWN FLOW r.mezaki  M. Mochizuki, engineering data on mixing elsevier 1st edition 2000, p 197</t>
  </si>
  <si>
    <t>proposal for heat integration scheme B. Ivanov K. Peneva N. Bancheva Heat integration in batch reactors operating in different time intervals part I. A hot cold reactor system with two storage tanks  Hungarian Journal of Industrial Chemistry VESZPREM  Vol. 21 pp. 201-207 (1993)</t>
  </si>
  <si>
    <t>new duty liquefaction</t>
  </si>
  <si>
    <t>new duty saccharification</t>
  </si>
  <si>
    <t>for htc perry</t>
  </si>
  <si>
    <t>DF</t>
  </si>
  <si>
    <t>LP</t>
  </si>
  <si>
    <t>VISC</t>
  </si>
  <si>
    <t>CP</t>
  </si>
  <si>
    <t>K</t>
  </si>
  <si>
    <t>FIX JACKET AREA AT 100 UTILITY FLOW</t>
  </si>
  <si>
    <t>UTILITY</t>
  </si>
  <si>
    <t>UTILITY OUTLET</t>
  </si>
  <si>
    <t>WRONG</t>
  </si>
  <si>
    <t>SPECIFY DT IS 10</t>
  </si>
  <si>
    <t>SPECIFY DT FOR THE OTHER AS WELL</t>
  </si>
  <si>
    <t>CORRECTIONS</t>
  </si>
  <si>
    <t>STAINLESS STEEL SCREEN</t>
  </si>
  <si>
    <t>SHAFT LENGTH</t>
  </si>
  <si>
    <t>RPS</t>
  </si>
  <si>
    <t>key dimension</t>
  </si>
  <si>
    <t>baffle</t>
  </si>
  <si>
    <t>width</t>
  </si>
  <si>
    <t>length</t>
  </si>
  <si>
    <t>thickness</t>
  </si>
  <si>
    <t>jacket</t>
  </si>
  <si>
    <t>volume</t>
  </si>
  <si>
    <t>turbine</t>
  </si>
  <si>
    <t>shaft</t>
  </si>
  <si>
    <t>4 units</t>
  </si>
  <si>
    <t>internal coil diameter</t>
  </si>
  <si>
    <t>internal helix</t>
  </si>
  <si>
    <t>internal length</t>
  </si>
  <si>
    <t>total reactor mass</t>
  </si>
  <si>
    <t>doesn’t make sense</t>
  </si>
  <si>
    <t>new utility liquefaction assume heat contents and wall</t>
  </si>
  <si>
    <t>new utility saccharification</t>
  </si>
  <si>
    <t>energy</t>
  </si>
  <si>
    <t>htc</t>
  </si>
  <si>
    <t>for htc coils</t>
  </si>
  <si>
    <t>from 1,37 to 1,6 bar</t>
  </si>
  <si>
    <t>Unisim + initial estimate</t>
  </si>
  <si>
    <t>Estimate was 38,99*10^3</t>
  </si>
  <si>
    <t>Mechanical calculations</t>
  </si>
  <si>
    <t>tube thickness</t>
  </si>
  <si>
    <t>P</t>
  </si>
  <si>
    <t>excess ok</t>
  </si>
  <si>
    <t>shell min thickness</t>
  </si>
  <si>
    <t>shell oval thickness min</t>
  </si>
  <si>
    <t>use 10*</t>
  </si>
  <si>
    <t>coulson and richardson</t>
  </si>
  <si>
    <t>shell flat</t>
  </si>
  <si>
    <t>Vol.6 p.818-819</t>
  </si>
  <si>
    <t>NEW FLOW CALCULATIONS FOR SIZING</t>
  </si>
  <si>
    <t>Q1</t>
  </si>
  <si>
    <t>Q2</t>
  </si>
  <si>
    <t>Re turbulent</t>
  </si>
  <si>
    <t>viscosity 1</t>
  </si>
  <si>
    <t>viscosity 2 tables water</t>
  </si>
  <si>
    <t>d1</t>
  </si>
  <si>
    <t>d2</t>
  </si>
  <si>
    <t>FIXING D1 AND D2</t>
  </si>
  <si>
    <t>Re1</t>
  </si>
  <si>
    <t>Re 2</t>
  </si>
  <si>
    <t>Hactual</t>
  </si>
  <si>
    <t>ESTIMATE HEATING JACKET DUTY</t>
  </si>
  <si>
    <t>Tin feed</t>
  </si>
  <si>
    <t>Tfinal</t>
  </si>
  <si>
    <t>thermal conductivity of ss</t>
  </si>
  <si>
    <t>Loss by convection</t>
  </si>
  <si>
    <t>T ambient</t>
  </si>
  <si>
    <t>approximate loss by conduction</t>
  </si>
  <si>
    <t>heating jacket inlet T</t>
  </si>
  <si>
    <t>heat flux</t>
  </si>
  <si>
    <t>kss</t>
  </si>
  <si>
    <t>SACCHARIFICATION DUTY</t>
  </si>
  <si>
    <t>COOLING WATER 18 C PROPERTIES</t>
  </si>
  <si>
    <t>FOULING FACTOR</t>
  </si>
  <si>
    <t>SIZE PUMP</t>
  </si>
  <si>
    <t>FLOWRATE</t>
  </si>
  <si>
    <t>M3/S</t>
  </si>
  <si>
    <t>CF</t>
  </si>
  <si>
    <t>U</t>
  </si>
  <si>
    <t>RE</t>
  </si>
  <si>
    <t>e/d</t>
  </si>
  <si>
    <t>NEW</t>
  </si>
  <si>
    <t>waall thickness</t>
  </si>
  <si>
    <t>AREA</t>
  </si>
  <si>
    <t>a coverage</t>
  </si>
  <si>
    <t>Pump system 1</t>
  </si>
  <si>
    <t>v</t>
  </si>
  <si>
    <t>d</t>
  </si>
  <si>
    <t>l1</t>
  </si>
  <si>
    <t>l2</t>
  </si>
  <si>
    <t>f</t>
  </si>
  <si>
    <t>h1</t>
  </si>
  <si>
    <t>Pv</t>
  </si>
  <si>
    <t>total length</t>
  </si>
  <si>
    <t>total head</t>
  </si>
  <si>
    <t>Total head</t>
  </si>
  <si>
    <t>Qin gpm</t>
  </si>
  <si>
    <t>Pump system 2</t>
  </si>
  <si>
    <t>Total static head</t>
  </si>
  <si>
    <t>discharge</t>
  </si>
  <si>
    <t>suction</t>
  </si>
  <si>
    <t>Utility requirements</t>
  </si>
  <si>
    <t>cooling water</t>
  </si>
  <si>
    <t>lps</t>
  </si>
  <si>
    <t>Price</t>
  </si>
  <si>
    <t>LPS</t>
  </si>
  <si>
    <t>Electricity</t>
  </si>
  <si>
    <t>supply</t>
  </si>
  <si>
    <t>power</t>
  </si>
  <si>
    <t>utilities</t>
  </si>
  <si>
    <t>opex</t>
  </si>
  <si>
    <t xml:space="preserve">Total static </t>
  </si>
  <si>
    <t>difference in heights</t>
  </si>
  <si>
    <t>Total suction</t>
  </si>
  <si>
    <t xml:space="preserve">Dynamic </t>
  </si>
  <si>
    <t>Net pump head</t>
  </si>
  <si>
    <t xml:space="preserve">Sttic head </t>
  </si>
  <si>
    <t>Total suction nhead</t>
  </si>
  <si>
    <t>Total static</t>
  </si>
  <si>
    <t>dynamic friction</t>
  </si>
  <si>
    <t>Total dynamic head</t>
  </si>
  <si>
    <t>heat transfer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</si>
</sst>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1"/>
    </font>
    <font>
      <sz val="11"/>
      <color rgb="FF000000"/>
      <name val="Arial"/>
      <family val="2"/>
      <charset val="161"/>
    </font>
    <font>
      <sz val="10"/>
      <color rgb="FF000000"/>
      <name val="Roboto"/>
    </font>
    <font>
      <sz val="10"/>
      <color theme="1"/>
      <name val="Arial"/>
      <family val="2"/>
      <charset val="161"/>
    </font>
    <font>
      <sz val="11"/>
      <color rgb="FF000000"/>
      <name val="Calibri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0"/>
      <color theme="1"/>
      <name val="Arial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charset val="161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0" xfId="0" applyFont="1"/>
    <xf numFmtId="0" fontId="4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wrapText="1"/>
    </xf>
    <xf numFmtId="0" fontId="6" fillId="3" borderId="0" xfId="0" applyFont="1" applyFill="1"/>
    <xf numFmtId="0" fontId="5" fillId="0" borderId="4" xfId="0" applyFont="1" applyFill="1" applyBorder="1" applyAlignment="1">
      <alignment horizontal="right" wrapText="1"/>
    </xf>
    <xf numFmtId="0" fontId="0" fillId="4" borderId="0" xfId="0" applyFill="1"/>
    <xf numFmtId="164" fontId="0" fillId="0" borderId="0" xfId="0" applyNumberFormat="1"/>
    <xf numFmtId="0" fontId="9" fillId="3" borderId="0" xfId="0" applyFont="1" applyFill="1"/>
    <xf numFmtId="0" fontId="8" fillId="0" borderId="0" xfId="0" applyFont="1"/>
    <xf numFmtId="0" fontId="0" fillId="5" borderId="0" xfId="0" applyFill="1"/>
    <xf numFmtId="0" fontId="10" fillId="3" borderId="0" xfId="0" applyFont="1" applyFill="1"/>
    <xf numFmtId="0" fontId="0" fillId="3" borderId="0" xfId="0" applyFont="1" applyFill="1"/>
    <xf numFmtId="0" fontId="0" fillId="5" borderId="0" xfId="0" applyFont="1" applyFill="1"/>
    <xf numFmtId="0" fontId="10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12" fillId="0" borderId="0" xfId="0" applyFont="1"/>
    <xf numFmtId="0" fontId="11" fillId="0" borderId="0" xfId="1"/>
    <xf numFmtId="0" fontId="0" fillId="8" borderId="0" xfId="0" applyFill="1"/>
    <xf numFmtId="0" fontId="0" fillId="9" borderId="0" xfId="0" applyFill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2" fillId="1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ink.springer.com/content/pdf/bbm%3A978-94-011-6544-0%2F1.pdf" TargetMode="External"/><Relationship Id="rId1" Type="http://schemas.openxmlformats.org/officeDocument/2006/relationships/hyperlink" Target="https://worldsteelprice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ink.springer.com/content/pdf/bbm%3A978-94-011-6544-0%2F1.pdf" TargetMode="External"/><Relationship Id="rId1" Type="http://schemas.openxmlformats.org/officeDocument/2006/relationships/hyperlink" Target="https://worldsteelpric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2995-0624-48F5-8EE1-63AAEB6BA8E5}">
  <dimension ref="A1:DR48"/>
  <sheetViews>
    <sheetView topLeftCell="BS7" zoomScale="71" zoomScaleNormal="71" workbookViewId="0">
      <selection activeCell="BW3" sqref="BW3"/>
    </sheetView>
  </sheetViews>
  <sheetFormatPr defaultRowHeight="15" x14ac:dyDescent="0.25"/>
  <cols>
    <col min="2" max="3" width="13.28515625" bestFit="1" customWidth="1"/>
    <col min="4" max="4" width="12" bestFit="1" customWidth="1"/>
    <col min="5" max="5" width="13.28515625" bestFit="1" customWidth="1"/>
    <col min="6" max="8" width="11.5703125" bestFit="1" customWidth="1"/>
    <col min="9" max="9" width="9.5703125" bestFit="1" customWidth="1"/>
    <col min="10" max="11" width="11.5703125" bestFit="1" customWidth="1"/>
    <col min="12" max="12" width="9.5703125" bestFit="1" customWidth="1"/>
    <col min="19" max="19" width="13.42578125" bestFit="1" customWidth="1"/>
    <col min="20" max="20" width="11.5703125" bestFit="1" customWidth="1"/>
    <col min="22" max="22" width="12.28515625" bestFit="1" customWidth="1"/>
    <col min="51" max="51" width="12.7109375" bestFit="1" customWidth="1"/>
    <col min="71" max="73" width="14.5703125" bestFit="1" customWidth="1"/>
    <col min="77" max="85" width="12.28515625" bestFit="1" customWidth="1"/>
    <col min="86" max="86" width="15.5703125" bestFit="1" customWidth="1"/>
    <col min="88" max="90" width="12.28515625" bestFit="1" customWidth="1"/>
    <col min="92" max="92" width="12.28515625" bestFit="1" customWidth="1"/>
    <col min="121" max="121" width="12.28515625" bestFit="1" customWidth="1"/>
  </cols>
  <sheetData>
    <row r="1" spans="1:122" ht="180" thickBot="1" x14ac:dyDescent="0.3">
      <c r="A1" s="1" t="s">
        <v>0</v>
      </c>
      <c r="B1" s="2" t="s">
        <v>1</v>
      </c>
      <c r="C1" s="3" t="s">
        <v>38</v>
      </c>
      <c r="D1" s="3" t="s">
        <v>39</v>
      </c>
      <c r="E1" s="3" t="s">
        <v>19</v>
      </c>
      <c r="F1" s="3" t="s">
        <v>20</v>
      </c>
      <c r="G1" s="3" t="s">
        <v>37</v>
      </c>
      <c r="H1" s="3" t="s">
        <v>40</v>
      </c>
      <c r="I1" s="3" t="s">
        <v>41</v>
      </c>
      <c r="J1" s="3" t="s">
        <v>42</v>
      </c>
      <c r="K1" s="3" t="s">
        <v>43</v>
      </c>
      <c r="L1" s="3"/>
      <c r="P1" t="s">
        <v>13</v>
      </c>
      <c r="AL1" s="2"/>
      <c r="AN1" t="s">
        <v>46</v>
      </c>
      <c r="AO1" s="2" t="s">
        <v>78</v>
      </c>
      <c r="AP1" s="3" t="s">
        <v>47</v>
      </c>
      <c r="AQ1" s="3" t="s">
        <v>54</v>
      </c>
      <c r="AR1" s="3" t="s">
        <v>44</v>
      </c>
      <c r="AS1" s="3" t="s">
        <v>48</v>
      </c>
      <c r="AT1" s="3" t="s">
        <v>45</v>
      </c>
      <c r="AU1" s="3" t="s">
        <v>49</v>
      </c>
      <c r="AV1" s="3" t="s">
        <v>50</v>
      </c>
      <c r="AW1" s="13" t="s">
        <v>53</v>
      </c>
      <c r="BF1" t="s">
        <v>82</v>
      </c>
      <c r="BH1" t="s">
        <v>120</v>
      </c>
      <c r="BI1" t="s">
        <v>76</v>
      </c>
      <c r="BJ1" t="s">
        <v>73</v>
      </c>
      <c r="BK1" t="s">
        <v>64</v>
      </c>
      <c r="BL1" t="s">
        <v>74</v>
      </c>
      <c r="BN1" t="s">
        <v>17</v>
      </c>
      <c r="BO1" t="s">
        <v>77</v>
      </c>
      <c r="BQ1" t="s">
        <v>88</v>
      </c>
      <c r="BS1" t="s">
        <v>75</v>
      </c>
      <c r="BV1" t="s">
        <v>2</v>
      </c>
      <c r="BW1" t="s">
        <v>166</v>
      </c>
      <c r="BX1" s="20" t="s">
        <v>144</v>
      </c>
      <c r="BY1" t="s">
        <v>86</v>
      </c>
      <c r="BZ1" t="s">
        <v>145</v>
      </c>
      <c r="CA1" t="s">
        <v>85</v>
      </c>
      <c r="CB1" t="s">
        <v>87</v>
      </c>
      <c r="CC1" t="s">
        <v>167</v>
      </c>
      <c r="CD1" s="20" t="s">
        <v>146</v>
      </c>
      <c r="CE1" t="s">
        <v>90</v>
      </c>
      <c r="CF1" t="s">
        <v>91</v>
      </c>
      <c r="CG1" t="s">
        <v>168</v>
      </c>
      <c r="CH1" s="20" t="s">
        <v>147</v>
      </c>
      <c r="CI1" s="20" t="s">
        <v>129</v>
      </c>
      <c r="CJ1" s="20" t="s">
        <v>130</v>
      </c>
      <c r="CK1" s="20" t="s">
        <v>131</v>
      </c>
      <c r="CL1" t="s">
        <v>165</v>
      </c>
      <c r="CT1" t="s">
        <v>102</v>
      </c>
      <c r="DQ1" t="s">
        <v>163</v>
      </c>
      <c r="DR1" t="s">
        <v>164</v>
      </c>
    </row>
    <row r="2" spans="1:122" ht="15.75" customHeight="1" thickBot="1" x14ac:dyDescent="0.3">
      <c r="A2" s="32"/>
      <c r="B2" s="33"/>
      <c r="C2" s="4"/>
      <c r="D2" s="4"/>
      <c r="E2" s="4"/>
      <c r="F2" s="4"/>
      <c r="G2" s="4"/>
      <c r="H2" s="4"/>
      <c r="I2" s="4"/>
      <c r="J2" s="4"/>
      <c r="K2" s="4"/>
      <c r="L2" s="4"/>
      <c r="AN2" s="32" t="str">
        <f>A3</f>
        <v>components</v>
      </c>
      <c r="AO2" s="33"/>
      <c r="BF2">
        <f>B6+B7+B9</f>
        <v>13600.6</v>
      </c>
      <c r="BH2">
        <f>60</f>
        <v>60</v>
      </c>
      <c r="BI2">
        <v>1</v>
      </c>
      <c r="BJ2">
        <f>BH2/18.8</f>
        <v>3.1914893617021276</v>
      </c>
      <c r="BK2" t="s">
        <v>65</v>
      </c>
      <c r="BL2">
        <v>2.2999999999999998</v>
      </c>
      <c r="BM2">
        <f>BL2*$BJ$2</f>
        <v>7.3404255319148932</v>
      </c>
      <c r="BN2">
        <f>180*BI2-18*(BI2-1)</f>
        <v>180</v>
      </c>
      <c r="BO2">
        <f>BM2+BM3+BM4+BM5+BM6+BM7+BM8+BM9</f>
        <v>59.527659574468089</v>
      </c>
      <c r="BQ2">
        <f>BM2/$BH$2</f>
        <v>0.12234042553191489</v>
      </c>
      <c r="BV2" t="s">
        <v>83</v>
      </c>
      <c r="BW2">
        <f>B4</f>
        <v>71500</v>
      </c>
      <c r="BX2">
        <f>BW2</f>
        <v>71500</v>
      </c>
      <c r="BY2">
        <f>0</f>
        <v>0</v>
      </c>
      <c r="BZ2">
        <v>0</v>
      </c>
      <c r="CA2">
        <f>0</f>
        <v>0</v>
      </c>
      <c r="CB2">
        <f>0</f>
        <v>0</v>
      </c>
      <c r="CC2">
        <f>0</f>
        <v>0</v>
      </c>
      <c r="CD2">
        <f>CC2</f>
        <v>0</v>
      </c>
      <c r="CE2">
        <v>0</v>
      </c>
      <c r="CF2">
        <v>0</v>
      </c>
      <c r="CG2">
        <v>0</v>
      </c>
      <c r="CH2">
        <f>CG2</f>
        <v>0</v>
      </c>
      <c r="CI2">
        <f>0</f>
        <v>0</v>
      </c>
      <c r="CJ2">
        <f>CI2</f>
        <v>0</v>
      </c>
      <c r="CK2">
        <f>CJ2</f>
        <v>0</v>
      </c>
      <c r="CL2">
        <f>CK2</f>
        <v>0</v>
      </c>
      <c r="CP2" t="s">
        <v>149</v>
      </c>
      <c r="CT2" t="s">
        <v>2</v>
      </c>
      <c r="CU2" t="s">
        <v>103</v>
      </c>
      <c r="CV2" t="s">
        <v>133</v>
      </c>
      <c r="CW2" t="s">
        <v>86</v>
      </c>
      <c r="CX2" t="s">
        <v>127</v>
      </c>
      <c r="CY2" t="s">
        <v>85</v>
      </c>
      <c r="CZ2" t="s">
        <v>87</v>
      </c>
      <c r="DA2" t="s">
        <v>128</v>
      </c>
      <c r="DB2" t="s">
        <v>104</v>
      </c>
      <c r="DC2" t="s">
        <v>90</v>
      </c>
      <c r="DD2" t="s">
        <v>91</v>
      </c>
      <c r="DE2" t="s">
        <v>105</v>
      </c>
      <c r="DF2" t="s">
        <v>134</v>
      </c>
      <c r="DG2" t="s">
        <v>129</v>
      </c>
      <c r="DH2" t="s">
        <v>130</v>
      </c>
      <c r="DI2" t="s">
        <v>131</v>
      </c>
      <c r="DJ2" t="s">
        <v>132</v>
      </c>
      <c r="DQ2">
        <f>BZ3*Sheet2!B4</f>
        <v>1919042.466666667</v>
      </c>
      <c r="DR2">
        <f>DQ2/Sheet2!B3</f>
        <v>191904.2466666667</v>
      </c>
    </row>
    <row r="3" spans="1:122" ht="15.75" customHeight="1" thickBot="1" x14ac:dyDescent="0.3">
      <c r="A3" s="32" t="s">
        <v>2</v>
      </c>
      <c r="B3" s="33"/>
      <c r="C3" s="4"/>
      <c r="D3" s="4"/>
      <c r="E3" s="4"/>
      <c r="F3" s="4"/>
      <c r="G3" s="4"/>
      <c r="H3" s="4"/>
      <c r="I3" s="4"/>
      <c r="J3" s="4"/>
      <c r="K3" s="4"/>
      <c r="L3" s="4"/>
      <c r="N3" s="7" t="s">
        <v>15</v>
      </c>
      <c r="O3" s="7" t="s">
        <v>23</v>
      </c>
      <c r="P3" s="7" t="s">
        <v>22</v>
      </c>
      <c r="Q3" s="7"/>
      <c r="V3" s="7" t="s">
        <v>28</v>
      </c>
      <c r="AB3" t="s">
        <v>34</v>
      </c>
      <c r="AE3" t="s">
        <v>35</v>
      </c>
      <c r="AN3" t="str">
        <f>A4</f>
        <v>starch</v>
      </c>
      <c r="AO3">
        <f>B4</f>
        <v>71500</v>
      </c>
      <c r="AP3">
        <f>C4</f>
        <v>0</v>
      </c>
      <c r="AQ3">
        <f>AP3</f>
        <v>0</v>
      </c>
      <c r="AR3">
        <f>F4</f>
        <v>0</v>
      </c>
      <c r="AS3">
        <f>H4</f>
        <v>0</v>
      </c>
      <c r="AT3">
        <f>I4</f>
        <v>0</v>
      </c>
      <c r="AU3">
        <f>J4</f>
        <v>0</v>
      </c>
      <c r="AV3">
        <f>K4</f>
        <v>0</v>
      </c>
      <c r="AW3">
        <f>AO3</f>
        <v>71500</v>
      </c>
      <c r="BI3">
        <f>BI2+1</f>
        <v>2</v>
      </c>
      <c r="BK3" t="s">
        <v>66</v>
      </c>
      <c r="BL3">
        <v>1.9</v>
      </c>
      <c r="BM3">
        <f t="shared" ref="BM3:BM9" si="0">BL3*$BJ$2</f>
        <v>6.0638297872340425</v>
      </c>
      <c r="BN3">
        <f>180*BI3-18*(BI3-1)</f>
        <v>342</v>
      </c>
      <c r="BQ3">
        <f>BM3/$BH$2</f>
        <v>0.10106382978723404</v>
      </c>
      <c r="BV3" t="s">
        <v>4</v>
      </c>
      <c r="BW3">
        <f>B5</f>
        <v>152837.1</v>
      </c>
      <c r="BX3">
        <f t="shared" ref="BX3:BX14" si="1">BW3</f>
        <v>152837.1</v>
      </c>
      <c r="BY3">
        <f>C5</f>
        <v>959521.23333333351</v>
      </c>
      <c r="BZ3">
        <f>BY3</f>
        <v>959521.23333333351</v>
      </c>
      <c r="CA3">
        <f>0</f>
        <v>0</v>
      </c>
      <c r="CB3">
        <f>0</f>
        <v>0</v>
      </c>
      <c r="CC3">
        <f>BZ3+BX3-X20+7145.8</f>
        <v>1112354.1333333335</v>
      </c>
      <c r="CD3">
        <f>CC3</f>
        <v>1112354.1333333335</v>
      </c>
      <c r="CE3">
        <v>0</v>
      </c>
      <c r="CG3">
        <f>CD3</f>
        <v>1112354.1333333335</v>
      </c>
      <c r="CH3">
        <f t="shared" ref="CH3:CH16" si="2">CG3</f>
        <v>1112354.1333333335</v>
      </c>
      <c r="CI3">
        <v>0</v>
      </c>
      <c r="CJ3">
        <f>0</f>
        <v>0</v>
      </c>
      <c r="CK3">
        <f>CG3-CJ3</f>
        <v>1112354.1333333335</v>
      </c>
      <c r="CL3">
        <f>CK3</f>
        <v>1112354.1333333335</v>
      </c>
      <c r="CP3">
        <f>CH7/(BN2*10^-3*CH3)</f>
        <v>0.3590982695838511</v>
      </c>
      <c r="CT3" t="s">
        <v>83</v>
      </c>
      <c r="CU3" s="17">
        <f>BW2/$BW$18</f>
        <v>0.29999979020993689</v>
      </c>
      <c r="CV3" s="17">
        <f>BX2/$BX$18</f>
        <v>0.29999979020993689</v>
      </c>
      <c r="CW3" s="17">
        <f>BY2/$BY$18</f>
        <v>0</v>
      </c>
      <c r="CX3" s="17">
        <f>BZ2/$BZ$18</f>
        <v>0</v>
      </c>
      <c r="CY3" s="17">
        <f>CA2/$CA$18</f>
        <v>0</v>
      </c>
      <c r="CZ3" s="17">
        <f>CB2/$CB$18</f>
        <v>0</v>
      </c>
      <c r="DA3" s="17">
        <f>CC2/$CC$18</f>
        <v>0</v>
      </c>
      <c r="DB3" s="17">
        <f>DA3</f>
        <v>0</v>
      </c>
      <c r="DC3" s="17">
        <f>CE2/$CE$18</f>
        <v>0</v>
      </c>
      <c r="DD3" s="17">
        <f>CF2/$CF$18</f>
        <v>0</v>
      </c>
      <c r="DE3" s="17">
        <f>CG2/$CG$18</f>
        <v>0</v>
      </c>
      <c r="DF3" s="17">
        <f>DE3</f>
        <v>0</v>
      </c>
      <c r="DG3" s="17" t="e">
        <f>CI2/$CI$18</f>
        <v>#DIV/0!</v>
      </c>
      <c r="DH3" s="17" t="e">
        <f>CJ2/$CJ$18</f>
        <v>#DIV/0!</v>
      </c>
      <c r="DI3" s="17">
        <f>CK2/$CK$18</f>
        <v>0</v>
      </c>
      <c r="DJ3" s="17">
        <f>CL2/$CL$18</f>
        <v>0</v>
      </c>
    </row>
    <row r="4" spans="1:122" ht="15.75" customHeight="1" thickBot="1" x14ac:dyDescent="0.3">
      <c r="A4" s="5" t="s">
        <v>3</v>
      </c>
      <c r="B4" s="6">
        <f>71500</f>
        <v>71500</v>
      </c>
      <c r="C4" s="6">
        <f>0</f>
        <v>0</v>
      </c>
      <c r="D4" s="6">
        <f>C4</f>
        <v>0</v>
      </c>
      <c r="E4" s="6">
        <f>D4</f>
        <v>0</v>
      </c>
      <c r="F4" s="6">
        <f>0</f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/>
      <c r="N4" s="7" t="s">
        <v>16</v>
      </c>
      <c r="O4">
        <f>54</f>
        <v>54</v>
      </c>
      <c r="P4" s="7" t="s">
        <v>24</v>
      </c>
      <c r="Q4">
        <f>0.05/100</f>
        <v>5.0000000000000001E-4</v>
      </c>
      <c r="V4">
        <f>(B4/0.1621406)*18.016*10^-3</f>
        <v>7944.6110351139678</v>
      </c>
      <c r="AB4">
        <f>(F8/50)</f>
        <v>1438</v>
      </c>
      <c r="AC4">
        <f>AB4*980</f>
        <v>1409240</v>
      </c>
      <c r="AN4" t="str">
        <f t="shared" ref="AN4:AN11" si="3">A5</f>
        <v>water</v>
      </c>
      <c r="AO4">
        <f t="shared" ref="AO4:AO12" si="4">B5</f>
        <v>152837.1</v>
      </c>
      <c r="AP4">
        <f t="shared" ref="AP4:AP12" si="5">C5</f>
        <v>959521.23333333351</v>
      </c>
      <c r="AQ4">
        <f t="shared" ref="AQ4:AQ12" si="6">AP4</f>
        <v>959521.23333333351</v>
      </c>
      <c r="AR4">
        <f t="shared" ref="AR4:AR12" si="7">F5</f>
        <v>1112346.9333333333</v>
      </c>
      <c r="AS4">
        <f t="shared" ref="AS4:AS12" si="8">H5</f>
        <v>0</v>
      </c>
      <c r="AT4">
        <f t="shared" ref="AT4:AT12" si="9">I5</f>
        <v>305000</v>
      </c>
      <c r="AU4">
        <f t="shared" ref="AU4:AU12" si="10">J5</f>
        <v>807346.93333333335</v>
      </c>
      <c r="AV4">
        <f t="shared" ref="AV4:AV12" si="11">K5</f>
        <v>807346.93333333335</v>
      </c>
      <c r="AW4">
        <f t="shared" ref="AW4:AW25" si="12">AO4</f>
        <v>152837.1</v>
      </c>
      <c r="AY4">
        <f>AP4+AP9+AP10</f>
        <v>959596.5443333335</v>
      </c>
      <c r="BI4">
        <f t="shared" ref="BI4:BI8" si="13">BI3+1</f>
        <v>3</v>
      </c>
      <c r="BK4" t="s">
        <v>67</v>
      </c>
      <c r="BL4">
        <v>9.1999999999999998E-2</v>
      </c>
      <c r="BM4">
        <f t="shared" si="0"/>
        <v>0.29361702127659572</v>
      </c>
      <c r="BN4">
        <f>180*BI4-18*(BI4-1)</f>
        <v>504</v>
      </c>
      <c r="BQ4">
        <f t="shared" ref="BQ4:BQ9" si="14">BM4/$BH$2</f>
        <v>4.8936170212765953E-3</v>
      </c>
      <c r="BV4" t="s">
        <v>79</v>
      </c>
      <c r="BW4">
        <f>BF2</f>
        <v>13600.6</v>
      </c>
      <c r="BX4">
        <f t="shared" si="1"/>
        <v>13600.6</v>
      </c>
      <c r="BY4">
        <f>0</f>
        <v>0</v>
      </c>
      <c r="BZ4">
        <f>0</f>
        <v>0</v>
      </c>
      <c r="CA4">
        <v>0</v>
      </c>
      <c r="CB4">
        <f>0</f>
        <v>0</v>
      </c>
      <c r="CC4">
        <f>BX4</f>
        <v>13600.6</v>
      </c>
      <c r="CD4">
        <f t="shared" ref="CD4:CD15" si="15">CC4</f>
        <v>13600.6</v>
      </c>
      <c r="CE4">
        <v>0</v>
      </c>
      <c r="CF4">
        <v>0</v>
      </c>
      <c r="CG4">
        <f>CC4</f>
        <v>13600.6</v>
      </c>
      <c r="CH4">
        <f t="shared" si="2"/>
        <v>13600.6</v>
      </c>
      <c r="CI4">
        <v>0</v>
      </c>
      <c r="CJ4">
        <v>0</v>
      </c>
      <c r="CK4">
        <f>CH4</f>
        <v>13600.6</v>
      </c>
      <c r="CL4">
        <f t="shared" ref="CL4:CL17" si="16">CK4</f>
        <v>13600.6</v>
      </c>
      <c r="CT4" t="s">
        <v>4</v>
      </c>
      <c r="CU4" s="17">
        <v>0</v>
      </c>
      <c r="CV4" s="17">
        <f t="shared" ref="CV4:CV19" si="17">BX3/$BX$18</f>
        <v>0.64127409701112092</v>
      </c>
      <c r="CW4" s="17">
        <f t="shared" ref="CW4:CW19" si="18">BY3/$BY$18</f>
        <v>1</v>
      </c>
      <c r="CX4" s="17">
        <f t="shared" ref="CX4:CX19" si="19">BZ3/$BZ$18</f>
        <v>1</v>
      </c>
      <c r="CY4" s="17">
        <f t="shared" ref="CY4:CY19" si="20">CA3/$CA$18</f>
        <v>0</v>
      </c>
      <c r="CZ4" s="17">
        <f t="shared" ref="CZ4:CZ19" si="21">CB3/$CB$18</f>
        <v>0</v>
      </c>
      <c r="DA4" s="17">
        <f t="shared" ref="DA4:DA19" si="22">CC3/$CC$18</f>
        <v>0.92892034326396811</v>
      </c>
      <c r="DB4" s="17">
        <f t="shared" ref="DB4:DB19" si="23">DA4</f>
        <v>0.92892034326396811</v>
      </c>
      <c r="DC4" s="17">
        <f t="shared" ref="DC4:DC19" si="24">CE3/$CE$18</f>
        <v>0</v>
      </c>
      <c r="DD4" s="17">
        <f t="shared" ref="DD4:DD19" si="25">CF3/$CF$18</f>
        <v>0</v>
      </c>
      <c r="DE4" s="17">
        <f t="shared" ref="DE4:DE19" si="26">CG3/$CG$18</f>
        <v>0.92862189577690024</v>
      </c>
      <c r="DF4" s="17">
        <f t="shared" ref="DF4:DF19" si="27">DE4</f>
        <v>0.92862189577690024</v>
      </c>
      <c r="DG4" s="17" t="e">
        <f t="shared" ref="DG4:DG18" si="28">CI3/$CI$18</f>
        <v>#DIV/0!</v>
      </c>
      <c r="DH4" s="17" t="e">
        <f t="shared" ref="DH4:DH19" si="29">CJ3/$CJ$18</f>
        <v>#DIV/0!</v>
      </c>
      <c r="DI4" s="17">
        <f t="shared" ref="DI4:DI19" si="30">CK3/$CK$18</f>
        <v>0.92862189577690024</v>
      </c>
      <c r="DJ4" s="17">
        <f t="shared" ref="DJ4:DJ19" si="31">CL3/$CL$18</f>
        <v>0.92862189577690024</v>
      </c>
    </row>
    <row r="5" spans="1:122" ht="15.75" customHeight="1" thickBot="1" x14ac:dyDescent="0.3">
      <c r="A5" s="5" t="s">
        <v>4</v>
      </c>
      <c r="B5" s="6">
        <f>152837.1</f>
        <v>152837.1</v>
      </c>
      <c r="C5" s="6">
        <f>T22-U22</f>
        <v>959521.23333333351</v>
      </c>
      <c r="D5" s="6">
        <f>C5</f>
        <v>959521.23333333351</v>
      </c>
      <c r="E5" s="6">
        <f>D5</f>
        <v>959521.23333333351</v>
      </c>
      <c r="F5" s="6">
        <f>B5+D5-X20+7081.63+56.97</f>
        <v>1112346.9333333333</v>
      </c>
      <c r="G5" s="6">
        <f>F5</f>
        <v>1112346.9333333333</v>
      </c>
      <c r="H5" s="6">
        <v>0</v>
      </c>
      <c r="I5" s="6">
        <f>H12</f>
        <v>305000</v>
      </c>
      <c r="J5" s="6">
        <f>G5-I5</f>
        <v>807346.93333333335</v>
      </c>
      <c r="K5" s="6">
        <f>J5</f>
        <v>807346.93333333335</v>
      </c>
      <c r="L5" s="6"/>
      <c r="N5" s="7" t="s">
        <v>10</v>
      </c>
      <c r="O5">
        <f>118.17</f>
        <v>118.17</v>
      </c>
      <c r="P5" s="7" t="s">
        <v>14</v>
      </c>
      <c r="Q5">
        <f>Q4*B4</f>
        <v>35.75</v>
      </c>
      <c r="AN5" t="str">
        <f t="shared" si="3"/>
        <v>protein</v>
      </c>
      <c r="AO5">
        <f t="shared" si="4"/>
        <v>11560.5</v>
      </c>
      <c r="AP5">
        <f t="shared" si="5"/>
        <v>0</v>
      </c>
      <c r="AQ5">
        <f t="shared" si="6"/>
        <v>0</v>
      </c>
      <c r="AR5">
        <f t="shared" si="7"/>
        <v>11560.5</v>
      </c>
      <c r="AS5">
        <f t="shared" si="8"/>
        <v>0</v>
      </c>
      <c r="AT5">
        <f t="shared" si="9"/>
        <v>0</v>
      </c>
      <c r="AU5">
        <f t="shared" si="10"/>
        <v>11560.5</v>
      </c>
      <c r="AV5">
        <f t="shared" si="11"/>
        <v>11560.5</v>
      </c>
      <c r="AW5">
        <f t="shared" si="12"/>
        <v>11560.5</v>
      </c>
      <c r="AY5">
        <f>AY4+AO4</f>
        <v>1112433.6443333335</v>
      </c>
      <c r="BI5">
        <f t="shared" si="13"/>
        <v>4</v>
      </c>
      <c r="BK5" t="s">
        <v>68</v>
      </c>
      <c r="BL5">
        <v>0.36</v>
      </c>
      <c r="BM5">
        <f t="shared" si="0"/>
        <v>1.1489361702127658</v>
      </c>
      <c r="BN5">
        <f t="shared" ref="BN5:BN8" si="32">180*BI5-18*(BI5-1)</f>
        <v>666</v>
      </c>
      <c r="BQ5">
        <f t="shared" si="14"/>
        <v>1.9148936170212762E-2</v>
      </c>
      <c r="BV5" t="s">
        <v>80</v>
      </c>
      <c r="BW5">
        <f>B10</f>
        <v>7.2</v>
      </c>
      <c r="BX5">
        <f t="shared" si="1"/>
        <v>7.2</v>
      </c>
      <c r="BY5">
        <f>0</f>
        <v>0</v>
      </c>
      <c r="BZ5">
        <f>0</f>
        <v>0</v>
      </c>
      <c r="CA5">
        <f>C10</f>
        <v>2.5418750000000001</v>
      </c>
      <c r="CB5">
        <v>0</v>
      </c>
      <c r="CC5">
        <f>BX5+CA5</f>
        <v>9.7418750000000003</v>
      </c>
      <c r="CD5">
        <f t="shared" si="15"/>
        <v>9.7418750000000003</v>
      </c>
      <c r="CE5">
        <v>0</v>
      </c>
      <c r="CF5">
        <v>0</v>
      </c>
      <c r="CG5">
        <f>0</f>
        <v>0</v>
      </c>
      <c r="CH5">
        <f t="shared" si="2"/>
        <v>0</v>
      </c>
      <c r="CI5">
        <v>0</v>
      </c>
      <c r="CJ5">
        <f>0</f>
        <v>0</v>
      </c>
      <c r="CK5">
        <f t="shared" ref="CK5:CK17" si="33">CH5</f>
        <v>0</v>
      </c>
      <c r="CL5">
        <f t="shared" si="16"/>
        <v>0</v>
      </c>
      <c r="CT5" t="s">
        <v>79</v>
      </c>
      <c r="CU5" s="17">
        <f t="shared" ref="CU5:CU19" si="34">BW4/$BW$18</f>
        <v>5.7065414639570176E-2</v>
      </c>
      <c r="CV5" s="17">
        <f t="shared" si="17"/>
        <v>5.7065414639570176E-2</v>
      </c>
      <c r="CW5" s="17">
        <f t="shared" si="18"/>
        <v>0</v>
      </c>
      <c r="CX5" s="17">
        <f t="shared" si="19"/>
        <v>0</v>
      </c>
      <c r="CY5" s="17">
        <f t="shared" si="20"/>
        <v>0</v>
      </c>
      <c r="CZ5" s="17">
        <f t="shared" si="21"/>
        <v>0</v>
      </c>
      <c r="DA5" s="17">
        <f>CC4/$CC$18</f>
        <v>1.1357780442399809E-2</v>
      </c>
      <c r="DB5" s="17">
        <f t="shared" si="23"/>
        <v>1.1357780442399809E-2</v>
      </c>
      <c r="DC5" s="17">
        <f t="shared" si="24"/>
        <v>0</v>
      </c>
      <c r="DD5" s="17">
        <f t="shared" si="25"/>
        <v>0</v>
      </c>
      <c r="DE5" s="17">
        <f t="shared" si="26"/>
        <v>1.135413136629088E-2</v>
      </c>
      <c r="DF5" s="17">
        <f t="shared" si="27"/>
        <v>1.135413136629088E-2</v>
      </c>
      <c r="DG5" s="17" t="e">
        <f t="shared" si="28"/>
        <v>#DIV/0!</v>
      </c>
      <c r="DH5" s="17" t="e">
        <f t="shared" si="29"/>
        <v>#DIV/0!</v>
      </c>
      <c r="DI5" s="17">
        <f t="shared" si="30"/>
        <v>1.135413136629088E-2</v>
      </c>
      <c r="DJ5" s="17">
        <f t="shared" si="31"/>
        <v>1.135413136629088E-2</v>
      </c>
    </row>
    <row r="6" spans="1:122" ht="15.75" customHeight="1" thickBot="1" x14ac:dyDescent="0.3">
      <c r="A6" s="5" t="s">
        <v>5</v>
      </c>
      <c r="B6" s="6">
        <f>11560.5</f>
        <v>11560.5</v>
      </c>
      <c r="C6" s="6">
        <v>0</v>
      </c>
      <c r="D6" s="6">
        <f t="shared" ref="D6:E13" si="35">C6</f>
        <v>0</v>
      </c>
      <c r="E6" s="6">
        <f t="shared" si="35"/>
        <v>0</v>
      </c>
      <c r="F6" s="6">
        <f>B6</f>
        <v>11560.5</v>
      </c>
      <c r="G6" s="6">
        <f t="shared" ref="G6:G13" si="36">F6</f>
        <v>11560.5</v>
      </c>
      <c r="H6" s="6">
        <v>0</v>
      </c>
      <c r="I6" s="6">
        <v>0</v>
      </c>
      <c r="J6" s="6">
        <f>G6</f>
        <v>11560.5</v>
      </c>
      <c r="K6" s="6">
        <f t="shared" ref="K6:K13" si="37">J6</f>
        <v>11560.5</v>
      </c>
      <c r="L6" s="4"/>
      <c r="P6" s="7" t="s">
        <v>18</v>
      </c>
      <c r="Q6">
        <f>8*Q5*O5/O4</f>
        <v>625.86333333333334</v>
      </c>
      <c r="AN6" t="str">
        <f t="shared" si="3"/>
        <v>lipid</v>
      </c>
      <c r="AO6">
        <f t="shared" si="4"/>
        <v>1068.5999999999999</v>
      </c>
      <c r="AP6">
        <f t="shared" si="5"/>
        <v>0</v>
      </c>
      <c r="AQ6">
        <f t="shared" si="6"/>
        <v>0</v>
      </c>
      <c r="AR6">
        <f t="shared" si="7"/>
        <v>1068.5999999999999</v>
      </c>
      <c r="AS6">
        <f t="shared" si="8"/>
        <v>0</v>
      </c>
      <c r="AT6">
        <f t="shared" si="9"/>
        <v>0</v>
      </c>
      <c r="AU6">
        <f t="shared" si="10"/>
        <v>1068.5999999999999</v>
      </c>
      <c r="AV6">
        <f t="shared" si="11"/>
        <v>1068.5999999999999</v>
      </c>
      <c r="AW6">
        <f t="shared" si="12"/>
        <v>1068.5999999999999</v>
      </c>
      <c r="AY6">
        <f>AY5+AO9</f>
        <v>1112440.8443333334</v>
      </c>
      <c r="BI6">
        <f t="shared" si="13"/>
        <v>5</v>
      </c>
      <c r="BK6" t="s">
        <v>69</v>
      </c>
      <c r="BL6">
        <v>0.14000000000000001</v>
      </c>
      <c r="BM6">
        <f t="shared" si="0"/>
        <v>0.44680851063829791</v>
      </c>
      <c r="BN6">
        <f t="shared" si="32"/>
        <v>828</v>
      </c>
      <c r="BQ6">
        <f t="shared" si="14"/>
        <v>7.4468085106382982E-3</v>
      </c>
      <c r="BV6" t="s">
        <v>10</v>
      </c>
      <c r="BW6">
        <v>0</v>
      </c>
      <c r="BX6">
        <f t="shared" si="1"/>
        <v>0</v>
      </c>
      <c r="BY6">
        <f>0</f>
        <v>0</v>
      </c>
      <c r="BZ6">
        <f>0</f>
        <v>0</v>
      </c>
      <c r="CA6">
        <v>0</v>
      </c>
      <c r="CB6">
        <v>0</v>
      </c>
      <c r="CC6">
        <f>0</f>
        <v>0</v>
      </c>
      <c r="CD6">
        <f t="shared" si="15"/>
        <v>0</v>
      </c>
      <c r="CE6">
        <f>Q16</f>
        <v>72.769124999999988</v>
      </c>
      <c r="CF6">
        <v>0</v>
      </c>
      <c r="CG6">
        <f>0</f>
        <v>0</v>
      </c>
      <c r="CH6">
        <f t="shared" si="2"/>
        <v>0</v>
      </c>
      <c r="CI6">
        <v>0</v>
      </c>
      <c r="CJ6">
        <f>0</f>
        <v>0</v>
      </c>
      <c r="CK6">
        <f t="shared" si="33"/>
        <v>0</v>
      </c>
      <c r="CL6">
        <f t="shared" si="16"/>
        <v>0</v>
      </c>
      <c r="CT6" t="s">
        <v>80</v>
      </c>
      <c r="CU6" s="17">
        <f t="shared" si="34"/>
        <v>3.020976908407756E-5</v>
      </c>
      <c r="CV6" s="17">
        <f t="shared" si="17"/>
        <v>3.020976908407756E-5</v>
      </c>
      <c r="CW6" s="17">
        <f t="shared" si="18"/>
        <v>0</v>
      </c>
      <c r="CX6" s="17">
        <f t="shared" si="19"/>
        <v>0</v>
      </c>
      <c r="CY6" s="17">
        <f t="shared" si="20"/>
        <v>1</v>
      </c>
      <c r="CZ6" s="17">
        <f t="shared" si="21"/>
        <v>0</v>
      </c>
      <c r="DA6" s="17">
        <f t="shared" si="22"/>
        <v>8.1353820675046422E-6</v>
      </c>
      <c r="DB6" s="17">
        <f t="shared" si="23"/>
        <v>8.1353820675046422E-6</v>
      </c>
      <c r="DC6" s="17">
        <f t="shared" si="24"/>
        <v>0</v>
      </c>
      <c r="DD6" s="17">
        <f t="shared" si="25"/>
        <v>0</v>
      </c>
      <c r="DE6" s="17">
        <f t="shared" si="26"/>
        <v>0</v>
      </c>
      <c r="DF6" s="17">
        <f t="shared" si="27"/>
        <v>0</v>
      </c>
      <c r="DG6" s="17" t="e">
        <f t="shared" si="28"/>
        <v>#DIV/0!</v>
      </c>
      <c r="DH6" s="17" t="e">
        <f t="shared" si="29"/>
        <v>#DIV/0!</v>
      </c>
      <c r="DI6" s="17">
        <f t="shared" si="30"/>
        <v>0</v>
      </c>
      <c r="DJ6" s="17">
        <f t="shared" si="31"/>
        <v>0</v>
      </c>
    </row>
    <row r="7" spans="1:122" ht="15.75" customHeight="1" thickBot="1" x14ac:dyDescent="0.3">
      <c r="A7" s="5" t="s">
        <v>6</v>
      </c>
      <c r="B7" s="6">
        <f>1068.6</f>
        <v>1068.5999999999999</v>
      </c>
      <c r="C7" s="6">
        <v>0</v>
      </c>
      <c r="D7" s="6">
        <f t="shared" si="35"/>
        <v>0</v>
      </c>
      <c r="E7" s="6">
        <f t="shared" si="35"/>
        <v>0</v>
      </c>
      <c r="F7" s="6">
        <f>B7</f>
        <v>1068.5999999999999</v>
      </c>
      <c r="G7" s="6">
        <f t="shared" si="36"/>
        <v>1068.5999999999999</v>
      </c>
      <c r="H7" s="6">
        <v>0</v>
      </c>
      <c r="I7" s="6">
        <v>0</v>
      </c>
      <c r="J7" s="6">
        <f t="shared" ref="J7:J12" si="38">G7</f>
        <v>1068.5999999999999</v>
      </c>
      <c r="K7" s="6">
        <f t="shared" si="37"/>
        <v>1068.5999999999999</v>
      </c>
      <c r="L7" s="4"/>
      <c r="N7" s="14" t="s">
        <v>57</v>
      </c>
      <c r="W7" t="s">
        <v>36</v>
      </c>
      <c r="AN7" t="str">
        <f t="shared" si="3"/>
        <v>sugar</v>
      </c>
      <c r="AO7">
        <f t="shared" si="4"/>
        <v>388.6</v>
      </c>
      <c r="AP7">
        <f t="shared" si="5"/>
        <v>0</v>
      </c>
      <c r="AQ7">
        <f t="shared" si="6"/>
        <v>0</v>
      </c>
      <c r="AR7">
        <f t="shared" si="7"/>
        <v>71900</v>
      </c>
      <c r="AS7">
        <f t="shared" si="8"/>
        <v>0</v>
      </c>
      <c r="AT7">
        <f t="shared" si="9"/>
        <v>0</v>
      </c>
      <c r="AU7">
        <f t="shared" si="10"/>
        <v>71900</v>
      </c>
      <c r="AV7">
        <f t="shared" si="11"/>
        <v>71900</v>
      </c>
      <c r="AW7">
        <f t="shared" si="12"/>
        <v>388.6</v>
      </c>
      <c r="AZ7">
        <f>AY6-AT4</f>
        <v>807440.84433333343</v>
      </c>
      <c r="BI7">
        <f t="shared" si="13"/>
        <v>6</v>
      </c>
      <c r="BK7" t="s">
        <v>70</v>
      </c>
      <c r="BL7">
        <v>0.62</v>
      </c>
      <c r="BM7">
        <f t="shared" si="0"/>
        <v>1.978723404255319</v>
      </c>
      <c r="BN7">
        <f t="shared" si="32"/>
        <v>990</v>
      </c>
      <c r="BQ7">
        <f t="shared" si="14"/>
        <v>3.2978723404255318E-2</v>
      </c>
      <c r="BV7" t="s">
        <v>65</v>
      </c>
      <c r="BW7">
        <f>B8</f>
        <v>388.6</v>
      </c>
      <c r="BX7">
        <f t="shared" si="1"/>
        <v>388.6</v>
      </c>
      <c r="BY7">
        <f>0</f>
        <v>0</v>
      </c>
      <c r="BZ7">
        <f>0</f>
        <v>0</v>
      </c>
      <c r="CA7">
        <v>0</v>
      </c>
      <c r="CB7">
        <v>0</v>
      </c>
      <c r="CC7">
        <f>BW7 + BQ2*BW2</f>
        <v>9135.940425531915</v>
      </c>
      <c r="CD7">
        <f t="shared" si="15"/>
        <v>9135.940425531915</v>
      </c>
      <c r="CE7">
        <f>0</f>
        <v>0</v>
      </c>
      <c r="CF7">
        <v>0</v>
      </c>
      <c r="CG7">
        <f>71900</f>
        <v>71900</v>
      </c>
      <c r="CH7">
        <f t="shared" si="2"/>
        <v>71900</v>
      </c>
      <c r="CI7">
        <v>0</v>
      </c>
      <c r="CJ7">
        <f>0</f>
        <v>0</v>
      </c>
      <c r="CK7">
        <f t="shared" si="33"/>
        <v>71900</v>
      </c>
      <c r="CL7">
        <f t="shared" si="16"/>
        <v>71900</v>
      </c>
      <c r="CT7" t="s">
        <v>10</v>
      </c>
      <c r="CU7" s="17">
        <f t="shared" si="34"/>
        <v>0</v>
      </c>
      <c r="CV7" s="17">
        <f t="shared" si="17"/>
        <v>0</v>
      </c>
      <c r="CW7" s="17">
        <f t="shared" si="18"/>
        <v>0</v>
      </c>
      <c r="CX7" s="17">
        <f t="shared" si="19"/>
        <v>0</v>
      </c>
      <c r="CY7" s="17">
        <f t="shared" si="20"/>
        <v>0</v>
      </c>
      <c r="CZ7" s="17">
        <f t="shared" si="21"/>
        <v>0</v>
      </c>
      <c r="DA7" s="17">
        <f t="shared" si="22"/>
        <v>0</v>
      </c>
      <c r="DB7" s="17">
        <f t="shared" si="23"/>
        <v>0</v>
      </c>
      <c r="DC7" s="17">
        <f t="shared" si="24"/>
        <v>1</v>
      </c>
      <c r="DD7" s="17">
        <f t="shared" si="25"/>
        <v>0</v>
      </c>
      <c r="DE7" s="17">
        <f t="shared" si="26"/>
        <v>0</v>
      </c>
      <c r="DF7" s="17">
        <f t="shared" si="27"/>
        <v>0</v>
      </c>
      <c r="DG7" s="17" t="e">
        <f t="shared" si="28"/>
        <v>#DIV/0!</v>
      </c>
      <c r="DH7" s="17" t="e">
        <f t="shared" si="29"/>
        <v>#DIV/0!</v>
      </c>
      <c r="DI7" s="17">
        <f t="shared" si="30"/>
        <v>0</v>
      </c>
      <c r="DJ7" s="17">
        <f t="shared" si="31"/>
        <v>0</v>
      </c>
    </row>
    <row r="8" spans="1:122" ht="15.75" customHeight="1" thickBot="1" x14ac:dyDescent="0.3">
      <c r="A8" s="5" t="s">
        <v>7</v>
      </c>
      <c r="B8" s="6">
        <f>388.6</f>
        <v>388.6</v>
      </c>
      <c r="C8" s="6">
        <v>0</v>
      </c>
      <c r="D8" s="6">
        <f t="shared" si="35"/>
        <v>0</v>
      </c>
      <c r="E8" s="6">
        <f t="shared" si="35"/>
        <v>0</v>
      </c>
      <c r="F8" s="6">
        <f>71900</f>
        <v>71900</v>
      </c>
      <c r="G8" s="6">
        <f t="shared" si="36"/>
        <v>71900</v>
      </c>
      <c r="H8" s="6">
        <v>0</v>
      </c>
      <c r="I8" s="6">
        <v>0</v>
      </c>
      <c r="J8" s="6">
        <f>G8</f>
        <v>71900</v>
      </c>
      <c r="K8" s="6">
        <f t="shared" si="37"/>
        <v>71900</v>
      </c>
      <c r="L8" s="6"/>
      <c r="N8" s="7" t="s">
        <v>21</v>
      </c>
      <c r="P8" s="7" t="s">
        <v>25</v>
      </c>
      <c r="R8" s="7" t="s">
        <v>26</v>
      </c>
      <c r="W8">
        <f>B6+B7+B9+B10+C10+C11</f>
        <v>13683.111000000003</v>
      </c>
      <c r="AN8" t="str">
        <f t="shared" si="3"/>
        <v>fibre</v>
      </c>
      <c r="AO8">
        <f t="shared" si="4"/>
        <v>971.5</v>
      </c>
      <c r="AP8">
        <f t="shared" si="5"/>
        <v>0</v>
      </c>
      <c r="AQ8">
        <f t="shared" si="6"/>
        <v>0</v>
      </c>
      <c r="AR8">
        <f t="shared" si="7"/>
        <v>971.5</v>
      </c>
      <c r="AS8">
        <f t="shared" si="8"/>
        <v>0</v>
      </c>
      <c r="AT8">
        <f t="shared" si="9"/>
        <v>0</v>
      </c>
      <c r="AU8">
        <f t="shared" si="10"/>
        <v>971.5</v>
      </c>
      <c r="AV8">
        <f t="shared" si="11"/>
        <v>971.5</v>
      </c>
      <c r="AW8">
        <f t="shared" si="12"/>
        <v>971.5</v>
      </c>
      <c r="BI8">
        <f t="shared" si="13"/>
        <v>7</v>
      </c>
      <c r="BK8" t="s">
        <v>71</v>
      </c>
      <c r="BL8">
        <v>0.24</v>
      </c>
      <c r="BM8">
        <f t="shared" si="0"/>
        <v>0.76595744680851063</v>
      </c>
      <c r="BN8">
        <f t="shared" si="32"/>
        <v>1152</v>
      </c>
      <c r="BQ8">
        <f t="shared" si="14"/>
        <v>1.276595744680851E-2</v>
      </c>
      <c r="BV8" t="s">
        <v>66</v>
      </c>
      <c r="BW8">
        <v>0</v>
      </c>
      <c r="BX8">
        <f t="shared" si="1"/>
        <v>0</v>
      </c>
      <c r="BY8">
        <f>0</f>
        <v>0</v>
      </c>
      <c r="BZ8">
        <f>0</f>
        <v>0</v>
      </c>
      <c r="CA8">
        <v>0</v>
      </c>
      <c r="CB8">
        <v>0</v>
      </c>
      <c r="CC8">
        <f>BQ3*$BW$2</f>
        <v>7226.0638297872338</v>
      </c>
      <c r="CD8">
        <f t="shared" si="15"/>
        <v>7226.0638297872338</v>
      </c>
      <c r="CE8">
        <v>0</v>
      </c>
      <c r="CF8">
        <v>0</v>
      </c>
      <c r="CG8">
        <f>CF8</f>
        <v>0</v>
      </c>
      <c r="CH8">
        <f t="shared" si="2"/>
        <v>0</v>
      </c>
      <c r="CI8">
        <v>0</v>
      </c>
      <c r="CJ8">
        <f>0</f>
        <v>0</v>
      </c>
      <c r="CK8">
        <f t="shared" si="33"/>
        <v>0</v>
      </c>
      <c r="CL8">
        <f t="shared" si="16"/>
        <v>0</v>
      </c>
      <c r="CT8" t="s">
        <v>65</v>
      </c>
      <c r="CU8" s="17">
        <f t="shared" si="34"/>
        <v>1.6304883702878529E-3</v>
      </c>
      <c r="CV8" s="17">
        <f t="shared" si="17"/>
        <v>1.6304883702878529E-3</v>
      </c>
      <c r="CW8" s="17">
        <f t="shared" si="18"/>
        <v>0</v>
      </c>
      <c r="CX8" s="17">
        <f t="shared" si="19"/>
        <v>0</v>
      </c>
      <c r="CY8" s="17">
        <f t="shared" si="20"/>
        <v>0</v>
      </c>
      <c r="CZ8" s="17">
        <f t="shared" si="21"/>
        <v>0</v>
      </c>
      <c r="DA8" s="17">
        <f t="shared" si="22"/>
        <v>7.6293696960454804E-3</v>
      </c>
      <c r="DB8" s="17">
        <f t="shared" si="23"/>
        <v>7.6293696960454804E-3</v>
      </c>
      <c r="DC8" s="17">
        <f t="shared" si="24"/>
        <v>0</v>
      </c>
      <c r="DD8" s="17">
        <f t="shared" si="25"/>
        <v>0</v>
      </c>
      <c r="DE8" s="17">
        <f t="shared" si="26"/>
        <v>6.0023972856808834E-2</v>
      </c>
      <c r="DF8" s="17">
        <f t="shared" si="27"/>
        <v>6.0023972856808834E-2</v>
      </c>
      <c r="DG8" s="17" t="e">
        <f t="shared" si="28"/>
        <v>#DIV/0!</v>
      </c>
      <c r="DH8" s="17" t="e">
        <f t="shared" si="29"/>
        <v>#DIV/0!</v>
      </c>
      <c r="DI8" s="17">
        <f t="shared" si="30"/>
        <v>6.0023972856808834E-2</v>
      </c>
      <c r="DJ8" s="17">
        <f t="shared" si="31"/>
        <v>6.0023972856808834E-2</v>
      </c>
    </row>
    <row r="9" spans="1:122" ht="15.75" customHeight="1" thickBot="1" x14ac:dyDescent="0.3">
      <c r="A9" s="5" t="s">
        <v>8</v>
      </c>
      <c r="B9" s="6">
        <f>971.5</f>
        <v>971.5</v>
      </c>
      <c r="C9" s="6">
        <v>0</v>
      </c>
      <c r="D9" s="6">
        <f t="shared" si="35"/>
        <v>0</v>
      </c>
      <c r="E9" s="6">
        <f t="shared" si="35"/>
        <v>0</v>
      </c>
      <c r="F9" s="6">
        <f>B9</f>
        <v>971.5</v>
      </c>
      <c r="G9" s="6">
        <f t="shared" si="36"/>
        <v>971.5</v>
      </c>
      <c r="H9" s="6">
        <v>0</v>
      </c>
      <c r="I9" s="6">
        <v>0</v>
      </c>
      <c r="J9" s="6">
        <f t="shared" si="38"/>
        <v>971.5</v>
      </c>
      <c r="K9" s="6">
        <f t="shared" si="37"/>
        <v>971.5</v>
      </c>
      <c r="L9" s="4"/>
      <c r="N9">
        <f>33.5</f>
        <v>33.5</v>
      </c>
      <c r="P9">
        <f>40</f>
        <v>40</v>
      </c>
      <c r="R9">
        <f>N9/P9</f>
        <v>0.83750000000000002</v>
      </c>
      <c r="AN9" t="str">
        <f t="shared" si="3"/>
        <v>amylase</v>
      </c>
      <c r="AO9">
        <f t="shared" si="4"/>
        <v>7.2</v>
      </c>
      <c r="AP9">
        <f t="shared" si="5"/>
        <v>2.5418750000000001</v>
      </c>
      <c r="AQ9">
        <f t="shared" si="6"/>
        <v>2.5418750000000001</v>
      </c>
      <c r="AR9">
        <f t="shared" si="7"/>
        <v>9.7418750000000003</v>
      </c>
      <c r="AS9">
        <f t="shared" si="8"/>
        <v>0</v>
      </c>
      <c r="AT9">
        <f t="shared" si="9"/>
        <v>0</v>
      </c>
      <c r="AU9">
        <f t="shared" si="10"/>
        <v>9.7418750000000003</v>
      </c>
      <c r="AV9">
        <f t="shared" si="11"/>
        <v>9.7418750000000003</v>
      </c>
      <c r="AW9">
        <f t="shared" si="12"/>
        <v>7.2</v>
      </c>
      <c r="BK9" t="s">
        <v>72</v>
      </c>
      <c r="BL9">
        <v>13</v>
      </c>
      <c r="BM9">
        <f t="shared" si="0"/>
        <v>41.48936170212766</v>
      </c>
      <c r="BQ9">
        <f t="shared" si="14"/>
        <v>0.69148936170212771</v>
      </c>
      <c r="BT9" t="s">
        <v>214</v>
      </c>
      <c r="BV9" t="s">
        <v>67</v>
      </c>
      <c r="BW9">
        <v>0</v>
      </c>
      <c r="BX9">
        <f t="shared" si="1"/>
        <v>0</v>
      </c>
      <c r="BY9">
        <f>0</f>
        <v>0</v>
      </c>
      <c r="BZ9">
        <f>0</f>
        <v>0</v>
      </c>
      <c r="CA9">
        <v>0</v>
      </c>
      <c r="CB9">
        <v>0</v>
      </c>
      <c r="CC9">
        <f t="shared" ref="CC9:CC13" si="39">BQ4*$BW$2</f>
        <v>349.89361702127655</v>
      </c>
      <c r="CD9">
        <f t="shared" si="15"/>
        <v>349.89361702127655</v>
      </c>
      <c r="CE9">
        <v>0</v>
      </c>
      <c r="CF9">
        <v>0</v>
      </c>
      <c r="CG9">
        <f t="shared" ref="CG9:CG15" si="40">CF9</f>
        <v>0</v>
      </c>
      <c r="CH9">
        <f t="shared" si="2"/>
        <v>0</v>
      </c>
      <c r="CI9">
        <v>0</v>
      </c>
      <c r="CJ9">
        <f>0</f>
        <v>0</v>
      </c>
      <c r="CK9">
        <f t="shared" si="33"/>
        <v>0</v>
      </c>
      <c r="CL9">
        <f t="shared" si="16"/>
        <v>0</v>
      </c>
      <c r="CT9" t="s">
        <v>66</v>
      </c>
      <c r="CU9" s="17">
        <f t="shared" si="34"/>
        <v>0</v>
      </c>
      <c r="CV9" s="17">
        <f t="shared" si="17"/>
        <v>0</v>
      </c>
      <c r="CW9" s="17">
        <f t="shared" si="18"/>
        <v>0</v>
      </c>
      <c r="CX9" s="17">
        <f t="shared" si="19"/>
        <v>0</v>
      </c>
      <c r="CY9" s="17">
        <f t="shared" si="20"/>
        <v>0</v>
      </c>
      <c r="CZ9" s="17">
        <f t="shared" si="21"/>
        <v>0</v>
      </c>
      <c r="DA9" s="17">
        <f t="shared" si="22"/>
        <v>6.0344430717387543E-3</v>
      </c>
      <c r="DB9" s="17">
        <f t="shared" si="23"/>
        <v>6.0344430717387543E-3</v>
      </c>
      <c r="DC9" s="17">
        <f t="shared" si="24"/>
        <v>0</v>
      </c>
      <c r="DD9" s="17">
        <f t="shared" si="25"/>
        <v>0</v>
      </c>
      <c r="DE9" s="17">
        <f t="shared" si="26"/>
        <v>0</v>
      </c>
      <c r="DF9" s="17">
        <f t="shared" si="27"/>
        <v>0</v>
      </c>
      <c r="DG9" s="17" t="e">
        <f t="shared" si="28"/>
        <v>#DIV/0!</v>
      </c>
      <c r="DH9" s="17" t="e">
        <f t="shared" si="29"/>
        <v>#DIV/0!</v>
      </c>
      <c r="DI9" s="17">
        <f t="shared" si="30"/>
        <v>0</v>
      </c>
      <c r="DJ9" s="17">
        <f t="shared" si="31"/>
        <v>0</v>
      </c>
    </row>
    <row r="10" spans="1:122" ht="15.75" customHeight="1" thickBot="1" x14ac:dyDescent="0.3">
      <c r="A10" s="5" t="s">
        <v>9</v>
      </c>
      <c r="B10" s="6">
        <f>7.2</f>
        <v>7.2</v>
      </c>
      <c r="C10" s="6">
        <f>M16-B10</f>
        <v>2.5418750000000001</v>
      </c>
      <c r="D10" s="6">
        <f>C10</f>
        <v>2.5418750000000001</v>
      </c>
      <c r="E10" s="6">
        <f t="shared" si="35"/>
        <v>2.5418750000000001</v>
      </c>
      <c r="F10" s="6">
        <f>E10+B10</f>
        <v>9.7418750000000003</v>
      </c>
      <c r="G10" s="6">
        <f t="shared" si="36"/>
        <v>9.7418750000000003</v>
      </c>
      <c r="H10" s="6">
        <v>0</v>
      </c>
      <c r="I10" s="6">
        <v>0</v>
      </c>
      <c r="J10" s="6">
        <f t="shared" si="38"/>
        <v>9.7418750000000003</v>
      </c>
      <c r="K10" s="6">
        <f t="shared" si="37"/>
        <v>9.7418750000000003</v>
      </c>
      <c r="L10" s="6"/>
      <c r="AN10" t="str">
        <f t="shared" si="3"/>
        <v>glucoamylase</v>
      </c>
      <c r="AO10">
        <f t="shared" si="4"/>
        <v>0</v>
      </c>
      <c r="AP10">
        <f t="shared" si="5"/>
        <v>72.769124999999988</v>
      </c>
      <c r="AQ10">
        <f t="shared" si="6"/>
        <v>72.769124999999988</v>
      </c>
      <c r="AR10">
        <f t="shared" si="7"/>
        <v>72.769124999999988</v>
      </c>
      <c r="AS10">
        <f t="shared" si="8"/>
        <v>0</v>
      </c>
      <c r="AT10">
        <f t="shared" si="9"/>
        <v>0</v>
      </c>
      <c r="AU10">
        <f t="shared" si="10"/>
        <v>72.769124999999988</v>
      </c>
      <c r="AV10">
        <f t="shared" si="11"/>
        <v>72.769124999999988</v>
      </c>
      <c r="AW10">
        <f t="shared" si="12"/>
        <v>0</v>
      </c>
      <c r="BQ10">
        <f>SUM(BQ2:BQ9)</f>
        <v>0.99212765957446813</v>
      </c>
      <c r="BS10">
        <f>BW7+BW5+BW4+BW3+BW2</f>
        <v>238333.5</v>
      </c>
      <c r="BT10">
        <f>150*10^-6*(BX18+BY18+CA18)</f>
        <v>179.67859128125005</v>
      </c>
      <c r="BV10" t="s">
        <v>68</v>
      </c>
      <c r="BW10">
        <v>0</v>
      </c>
      <c r="BX10">
        <f t="shared" si="1"/>
        <v>0</v>
      </c>
      <c r="BY10">
        <f>0</f>
        <v>0</v>
      </c>
      <c r="BZ10">
        <f>0</f>
        <v>0</v>
      </c>
      <c r="CA10">
        <v>0</v>
      </c>
      <c r="CB10">
        <v>0</v>
      </c>
      <c r="CC10">
        <f t="shared" si="39"/>
        <v>1369.1489361702124</v>
      </c>
      <c r="CD10">
        <f t="shared" si="15"/>
        <v>1369.1489361702124</v>
      </c>
      <c r="CE10">
        <v>0</v>
      </c>
      <c r="CF10">
        <v>0</v>
      </c>
      <c r="CG10">
        <f t="shared" si="40"/>
        <v>0</v>
      </c>
      <c r="CH10">
        <f t="shared" si="2"/>
        <v>0</v>
      </c>
      <c r="CI10">
        <v>0</v>
      </c>
      <c r="CJ10">
        <f>0</f>
        <v>0</v>
      </c>
      <c r="CK10">
        <f t="shared" si="33"/>
        <v>0</v>
      </c>
      <c r="CL10">
        <f t="shared" si="16"/>
        <v>0</v>
      </c>
      <c r="CT10" t="s">
        <v>67</v>
      </c>
      <c r="CU10" s="17">
        <f t="shared" si="34"/>
        <v>0</v>
      </c>
      <c r="CV10" s="17">
        <f t="shared" si="17"/>
        <v>0</v>
      </c>
      <c r="CW10" s="17">
        <f t="shared" si="18"/>
        <v>0</v>
      </c>
      <c r="CX10" s="17">
        <f t="shared" si="19"/>
        <v>0</v>
      </c>
      <c r="CY10" s="17">
        <f t="shared" si="20"/>
        <v>0</v>
      </c>
      <c r="CZ10" s="17">
        <f t="shared" si="21"/>
        <v>0</v>
      </c>
      <c r="DA10" s="17">
        <f>CC9/$CC$18</f>
        <v>2.921940855789291E-4</v>
      </c>
      <c r="DB10" s="17">
        <f t="shared" si="23"/>
        <v>2.921940855789291E-4</v>
      </c>
      <c r="DC10" s="17">
        <f t="shared" si="24"/>
        <v>0</v>
      </c>
      <c r="DD10" s="17">
        <f t="shared" si="25"/>
        <v>0</v>
      </c>
      <c r="DE10" s="17">
        <f t="shared" si="26"/>
        <v>0</v>
      </c>
      <c r="DF10" s="17">
        <f t="shared" si="27"/>
        <v>0</v>
      </c>
      <c r="DG10" s="17" t="e">
        <f t="shared" si="28"/>
        <v>#DIV/0!</v>
      </c>
      <c r="DH10" s="17" t="e">
        <f t="shared" si="29"/>
        <v>#DIV/0!</v>
      </c>
      <c r="DI10" s="17">
        <f t="shared" si="30"/>
        <v>0</v>
      </c>
      <c r="DJ10" s="17">
        <f t="shared" si="31"/>
        <v>0</v>
      </c>
    </row>
    <row r="11" spans="1:122" ht="30.75" thickBot="1" x14ac:dyDescent="0.3">
      <c r="A11" s="5" t="s">
        <v>10</v>
      </c>
      <c r="B11" s="6">
        <v>0</v>
      </c>
      <c r="C11" s="6">
        <f>Q16</f>
        <v>72.769124999999988</v>
      </c>
      <c r="D11" s="6">
        <f t="shared" si="35"/>
        <v>72.769124999999988</v>
      </c>
      <c r="E11" s="6">
        <f>D11</f>
        <v>72.769124999999988</v>
      </c>
      <c r="F11" s="6">
        <f>E11</f>
        <v>72.769124999999988</v>
      </c>
      <c r="G11" s="6">
        <f t="shared" si="36"/>
        <v>72.769124999999988</v>
      </c>
      <c r="H11" s="6">
        <f>0</f>
        <v>0</v>
      </c>
      <c r="I11" s="6">
        <v>0</v>
      </c>
      <c r="J11" s="6">
        <f t="shared" si="38"/>
        <v>72.769124999999988</v>
      </c>
      <c r="K11" s="6">
        <f t="shared" si="37"/>
        <v>72.769124999999988</v>
      </c>
      <c r="L11" s="4"/>
      <c r="P11" s="7" t="s">
        <v>27</v>
      </c>
      <c r="W11" t="s">
        <v>31</v>
      </c>
      <c r="AN11" t="str">
        <f t="shared" si="3"/>
        <v>steam</v>
      </c>
      <c r="AO11">
        <f t="shared" si="4"/>
        <v>0</v>
      </c>
      <c r="AP11">
        <f t="shared" si="5"/>
        <v>0</v>
      </c>
      <c r="AQ11">
        <f t="shared" si="6"/>
        <v>0</v>
      </c>
      <c r="AR11">
        <f t="shared" si="7"/>
        <v>0</v>
      </c>
      <c r="AS11">
        <f t="shared" si="8"/>
        <v>305000</v>
      </c>
      <c r="AT11">
        <f t="shared" si="9"/>
        <v>0</v>
      </c>
      <c r="AU11">
        <f t="shared" si="10"/>
        <v>0</v>
      </c>
      <c r="AV11">
        <f t="shared" si="11"/>
        <v>0</v>
      </c>
      <c r="AW11">
        <f t="shared" si="12"/>
        <v>0</v>
      </c>
      <c r="BV11" t="s">
        <v>69</v>
      </c>
      <c r="BW11">
        <v>0</v>
      </c>
      <c r="BX11">
        <f t="shared" si="1"/>
        <v>0</v>
      </c>
      <c r="BY11">
        <f>0</f>
        <v>0</v>
      </c>
      <c r="BZ11">
        <f>0</f>
        <v>0</v>
      </c>
      <c r="CA11">
        <v>0</v>
      </c>
      <c r="CB11">
        <v>0</v>
      </c>
      <c r="CC11">
        <f t="shared" si="39"/>
        <v>532.44680851063833</v>
      </c>
      <c r="CD11">
        <f t="shared" si="15"/>
        <v>532.44680851063833</v>
      </c>
      <c r="CE11">
        <v>0</v>
      </c>
      <c r="CF11">
        <v>0</v>
      </c>
      <c r="CG11">
        <f t="shared" si="40"/>
        <v>0</v>
      </c>
      <c r="CH11">
        <f t="shared" si="2"/>
        <v>0</v>
      </c>
      <c r="CI11">
        <v>0</v>
      </c>
      <c r="CJ11">
        <f>0</f>
        <v>0</v>
      </c>
      <c r="CK11">
        <f t="shared" si="33"/>
        <v>0</v>
      </c>
      <c r="CL11">
        <f t="shared" si="16"/>
        <v>0</v>
      </c>
      <c r="CT11" t="s">
        <v>68</v>
      </c>
      <c r="CU11" s="17">
        <f t="shared" si="34"/>
        <v>0</v>
      </c>
      <c r="CV11" s="17">
        <f t="shared" si="17"/>
        <v>0</v>
      </c>
      <c r="CW11" s="17">
        <f t="shared" si="18"/>
        <v>0</v>
      </c>
      <c r="CX11" s="17">
        <f t="shared" si="19"/>
        <v>0</v>
      </c>
      <c r="CY11" s="17">
        <f t="shared" si="20"/>
        <v>0</v>
      </c>
      <c r="CZ11" s="17">
        <f t="shared" si="21"/>
        <v>0</v>
      </c>
      <c r="DA11" s="17">
        <f>CC10/$CC$18</f>
        <v>1.1433681609610269E-3</v>
      </c>
      <c r="DB11" s="17">
        <f t="shared" si="23"/>
        <v>1.1433681609610269E-3</v>
      </c>
      <c r="DC11" s="17">
        <f t="shared" si="24"/>
        <v>0</v>
      </c>
      <c r="DD11" s="17">
        <f t="shared" si="25"/>
        <v>0</v>
      </c>
      <c r="DE11" s="17">
        <f t="shared" si="26"/>
        <v>0</v>
      </c>
      <c r="DF11" s="17">
        <f t="shared" si="27"/>
        <v>0</v>
      </c>
      <c r="DG11" s="17" t="e">
        <f t="shared" si="28"/>
        <v>#DIV/0!</v>
      </c>
      <c r="DH11" s="17" t="e">
        <f t="shared" si="29"/>
        <v>#DIV/0!</v>
      </c>
      <c r="DI11" s="17">
        <f t="shared" si="30"/>
        <v>0</v>
      </c>
      <c r="DJ11" s="17">
        <f t="shared" si="31"/>
        <v>0</v>
      </c>
    </row>
    <row r="12" spans="1:122" ht="15.75" customHeight="1" thickBot="1" x14ac:dyDescent="0.3">
      <c r="A12" s="5" t="s">
        <v>11</v>
      </c>
      <c r="B12" s="6">
        <v>0</v>
      </c>
      <c r="C12" s="6">
        <f>0</f>
        <v>0</v>
      </c>
      <c r="D12" s="6">
        <f t="shared" si="35"/>
        <v>0</v>
      </c>
      <c r="E12" s="6">
        <f t="shared" si="35"/>
        <v>0</v>
      </c>
      <c r="F12" s="6">
        <f>E12</f>
        <v>0</v>
      </c>
      <c r="G12" s="6">
        <f t="shared" si="36"/>
        <v>0</v>
      </c>
      <c r="H12" s="6">
        <f>305000</f>
        <v>305000</v>
      </c>
      <c r="I12" s="6">
        <f>0</f>
        <v>0</v>
      </c>
      <c r="J12" s="6">
        <f t="shared" si="38"/>
        <v>0</v>
      </c>
      <c r="K12" s="6">
        <f t="shared" si="37"/>
        <v>0</v>
      </c>
      <c r="L12" s="6"/>
      <c r="P12">
        <f>F8/N9</f>
        <v>2146.2686567164178</v>
      </c>
      <c r="W12">
        <f>B13+C11+C10</f>
        <v>238408.81100000002</v>
      </c>
      <c r="AN12" t="str">
        <f>A13</f>
        <v>total</v>
      </c>
      <c r="AO12">
        <f t="shared" si="4"/>
        <v>238333.50000000003</v>
      </c>
      <c r="AP12">
        <f t="shared" si="5"/>
        <v>959596.5443333335</v>
      </c>
      <c r="AQ12">
        <f t="shared" si="6"/>
        <v>959596.5443333335</v>
      </c>
      <c r="AR12">
        <f t="shared" si="7"/>
        <v>1197930.0443333336</v>
      </c>
      <c r="AS12">
        <f t="shared" si="8"/>
        <v>305000</v>
      </c>
      <c r="AT12">
        <f t="shared" si="9"/>
        <v>305000</v>
      </c>
      <c r="AU12">
        <f t="shared" si="10"/>
        <v>892930.04433333327</v>
      </c>
      <c r="AV12">
        <f t="shared" si="11"/>
        <v>892930.04433333327</v>
      </c>
      <c r="AW12">
        <f t="shared" si="12"/>
        <v>238333.50000000003</v>
      </c>
      <c r="BG12">
        <f>CC7*10/(BN2*10^-3)</f>
        <v>507552.24586288421</v>
      </c>
      <c r="BV12" t="s">
        <v>70</v>
      </c>
      <c r="BW12">
        <v>0</v>
      </c>
      <c r="BX12">
        <f t="shared" si="1"/>
        <v>0</v>
      </c>
      <c r="BY12">
        <f>0</f>
        <v>0</v>
      </c>
      <c r="BZ12">
        <f>0</f>
        <v>0</v>
      </c>
      <c r="CA12">
        <v>0</v>
      </c>
      <c r="CB12">
        <v>0</v>
      </c>
      <c r="CC12">
        <f t="shared" si="39"/>
        <v>2357.9787234042551</v>
      </c>
      <c r="CD12">
        <f t="shared" si="15"/>
        <v>2357.9787234042551</v>
      </c>
      <c r="CE12">
        <v>0</v>
      </c>
      <c r="CF12">
        <v>0</v>
      </c>
      <c r="CG12">
        <f t="shared" si="40"/>
        <v>0</v>
      </c>
      <c r="CH12">
        <f t="shared" si="2"/>
        <v>0</v>
      </c>
      <c r="CI12">
        <v>0</v>
      </c>
      <c r="CJ12">
        <f>0</f>
        <v>0</v>
      </c>
      <c r="CK12">
        <f t="shared" si="33"/>
        <v>0</v>
      </c>
      <c r="CL12">
        <f t="shared" si="16"/>
        <v>0</v>
      </c>
      <c r="CT12" t="s">
        <v>69</v>
      </c>
      <c r="CU12" s="17">
        <f t="shared" si="34"/>
        <v>0</v>
      </c>
      <c r="CV12" s="17">
        <f t="shared" si="17"/>
        <v>0</v>
      </c>
      <c r="CW12" s="17">
        <f t="shared" si="18"/>
        <v>0</v>
      </c>
      <c r="CX12" s="17">
        <f t="shared" si="19"/>
        <v>0</v>
      </c>
      <c r="CY12" s="17">
        <f t="shared" si="20"/>
        <v>0</v>
      </c>
      <c r="CZ12" s="17">
        <f t="shared" si="21"/>
        <v>0</v>
      </c>
      <c r="DA12" s="17">
        <f t="shared" si="22"/>
        <v>4.4464317370706614E-4</v>
      </c>
      <c r="DB12" s="17">
        <f t="shared" si="23"/>
        <v>4.4464317370706614E-4</v>
      </c>
      <c r="DC12" s="17">
        <f t="shared" si="24"/>
        <v>0</v>
      </c>
      <c r="DD12" s="17">
        <f t="shared" si="25"/>
        <v>0</v>
      </c>
      <c r="DE12" s="17">
        <f t="shared" si="26"/>
        <v>0</v>
      </c>
      <c r="DF12" s="17">
        <f t="shared" si="27"/>
        <v>0</v>
      </c>
      <c r="DG12" s="17" t="e">
        <f t="shared" si="28"/>
        <v>#DIV/0!</v>
      </c>
      <c r="DH12" s="17" t="e">
        <f t="shared" si="29"/>
        <v>#DIV/0!</v>
      </c>
      <c r="DI12" s="17">
        <f t="shared" si="30"/>
        <v>0</v>
      </c>
      <c r="DJ12" s="17">
        <f t="shared" si="31"/>
        <v>0</v>
      </c>
    </row>
    <row r="13" spans="1:122" ht="15.75" customHeight="1" thickBot="1" x14ac:dyDescent="0.3">
      <c r="A13" s="5" t="s">
        <v>12</v>
      </c>
      <c r="B13" s="6">
        <f>B4+B5+B6+B7+B8+B9+B10</f>
        <v>238333.50000000003</v>
      </c>
      <c r="C13" s="6">
        <f>C4+C5+C6+C7+C8+C9+C10+C11+C12</f>
        <v>959596.5443333335</v>
      </c>
      <c r="D13" s="6">
        <f t="shared" si="35"/>
        <v>959596.5443333335</v>
      </c>
      <c r="E13" s="6">
        <f t="shared" si="35"/>
        <v>959596.5443333335</v>
      </c>
      <c r="F13" s="6">
        <f>E13+B13</f>
        <v>1197930.0443333336</v>
      </c>
      <c r="G13" s="6">
        <f t="shared" si="36"/>
        <v>1197930.0443333336</v>
      </c>
      <c r="H13" s="6">
        <f>H12</f>
        <v>305000</v>
      </c>
      <c r="I13" s="6">
        <f>I5</f>
        <v>305000</v>
      </c>
      <c r="J13" s="6">
        <f>J5+J6+J7+J8+J9+J10+J11</f>
        <v>892930.04433333327</v>
      </c>
      <c r="K13" s="6">
        <f t="shared" si="37"/>
        <v>892930.04433333327</v>
      </c>
      <c r="L13" s="4"/>
      <c r="N13" s="7" t="s">
        <v>51</v>
      </c>
      <c r="BG13">
        <f t="shared" ref="BG13:BG17" si="41">CC8*10/(BN3*10^-3)</f>
        <v>211288.41607565011</v>
      </c>
      <c r="BV13" t="s">
        <v>71</v>
      </c>
      <c r="BW13">
        <v>0</v>
      </c>
      <c r="BX13">
        <f t="shared" si="1"/>
        <v>0</v>
      </c>
      <c r="BY13">
        <f>0</f>
        <v>0</v>
      </c>
      <c r="BZ13">
        <f>0</f>
        <v>0</v>
      </c>
      <c r="CA13">
        <v>0</v>
      </c>
      <c r="CB13">
        <v>0</v>
      </c>
      <c r="CC13">
        <f t="shared" si="39"/>
        <v>912.76595744680844</v>
      </c>
      <c r="CD13">
        <f t="shared" si="15"/>
        <v>912.76595744680844</v>
      </c>
      <c r="CE13">
        <v>0</v>
      </c>
      <c r="CF13">
        <v>0</v>
      </c>
      <c r="CG13">
        <f t="shared" si="40"/>
        <v>0</v>
      </c>
      <c r="CH13">
        <f t="shared" si="2"/>
        <v>0</v>
      </c>
      <c r="CI13">
        <v>0</v>
      </c>
      <c r="CJ13">
        <f>0</f>
        <v>0</v>
      </c>
      <c r="CK13">
        <f t="shared" si="33"/>
        <v>0</v>
      </c>
      <c r="CL13">
        <f t="shared" si="16"/>
        <v>0</v>
      </c>
      <c r="CT13" t="s">
        <v>70</v>
      </c>
      <c r="CU13" s="17">
        <f t="shared" si="34"/>
        <v>0</v>
      </c>
      <c r="CV13" s="17">
        <f t="shared" si="17"/>
        <v>0</v>
      </c>
      <c r="CW13" s="17">
        <f t="shared" si="18"/>
        <v>0</v>
      </c>
      <c r="CX13" s="17">
        <f t="shared" si="19"/>
        <v>0</v>
      </c>
      <c r="CY13" s="17">
        <f t="shared" si="20"/>
        <v>0</v>
      </c>
      <c r="CZ13" s="17">
        <f t="shared" si="21"/>
        <v>0</v>
      </c>
      <c r="DA13" s="17">
        <f t="shared" si="22"/>
        <v>1.9691340549884357E-3</v>
      </c>
      <c r="DB13" s="17">
        <f t="shared" si="23"/>
        <v>1.9691340549884357E-3</v>
      </c>
      <c r="DC13" s="17">
        <f t="shared" si="24"/>
        <v>0</v>
      </c>
      <c r="DD13" s="17">
        <f t="shared" si="25"/>
        <v>0</v>
      </c>
      <c r="DE13" s="17">
        <f t="shared" si="26"/>
        <v>0</v>
      </c>
      <c r="DF13" s="17">
        <f t="shared" si="27"/>
        <v>0</v>
      </c>
      <c r="DG13" s="17" t="e">
        <f t="shared" si="28"/>
        <v>#DIV/0!</v>
      </c>
      <c r="DH13" s="17" t="e">
        <f t="shared" si="29"/>
        <v>#DIV/0!</v>
      </c>
      <c r="DI13" s="17">
        <f t="shared" si="30"/>
        <v>0</v>
      </c>
      <c r="DJ13" s="17">
        <f t="shared" si="31"/>
        <v>0</v>
      </c>
    </row>
    <row r="14" spans="1:122" x14ac:dyDescent="0.25">
      <c r="E14" s="15"/>
      <c r="F14" s="16">
        <f>F5+F6+F7+F8+F9+F10+F11</f>
        <v>1197930.0443333336</v>
      </c>
      <c r="G14" s="16"/>
      <c r="H14" s="16">
        <f>F13-F14</f>
        <v>0</v>
      </c>
      <c r="BE14">
        <v>2</v>
      </c>
      <c r="BG14">
        <f t="shared" si="41"/>
        <v>6942.3336710570738</v>
      </c>
      <c r="BV14" t="s">
        <v>81</v>
      </c>
      <c r="BW14">
        <v>0</v>
      </c>
      <c r="BX14">
        <f t="shared" si="1"/>
        <v>0</v>
      </c>
      <c r="BY14">
        <v>0</v>
      </c>
      <c r="BZ14">
        <v>0</v>
      </c>
      <c r="CA14">
        <v>0</v>
      </c>
      <c r="CB14">
        <v>0</v>
      </c>
      <c r="CC14">
        <f>BQ9*$BW$2</f>
        <v>49441.48936170213</v>
      </c>
      <c r="CD14">
        <f t="shared" si="15"/>
        <v>49441.48936170213</v>
      </c>
      <c r="CE14">
        <v>0</v>
      </c>
      <c r="CF14">
        <v>0</v>
      </c>
      <c r="CG14">
        <f t="shared" si="40"/>
        <v>0</v>
      </c>
      <c r="CH14">
        <f t="shared" si="2"/>
        <v>0</v>
      </c>
      <c r="CI14">
        <v>0</v>
      </c>
      <c r="CJ14">
        <f>0</f>
        <v>0</v>
      </c>
      <c r="CK14">
        <f t="shared" si="33"/>
        <v>0</v>
      </c>
      <c r="CL14">
        <f t="shared" si="16"/>
        <v>0</v>
      </c>
      <c r="CT14" t="s">
        <v>71</v>
      </c>
      <c r="CU14" s="17">
        <f t="shared" si="34"/>
        <v>0</v>
      </c>
      <c r="CV14" s="17">
        <f t="shared" si="17"/>
        <v>0</v>
      </c>
      <c r="CW14" s="17">
        <f t="shared" si="18"/>
        <v>0</v>
      </c>
      <c r="CX14" s="17">
        <f t="shared" si="19"/>
        <v>0</v>
      </c>
      <c r="CY14" s="17">
        <f t="shared" si="20"/>
        <v>0</v>
      </c>
      <c r="CZ14" s="17">
        <f t="shared" si="21"/>
        <v>0</v>
      </c>
      <c r="DA14" s="17">
        <f t="shared" si="22"/>
        <v>7.6224544064068468E-4</v>
      </c>
      <c r="DB14" s="17">
        <f t="shared" si="23"/>
        <v>7.6224544064068468E-4</v>
      </c>
      <c r="DC14" s="17">
        <f t="shared" si="24"/>
        <v>0</v>
      </c>
      <c r="DD14" s="17">
        <f t="shared" si="25"/>
        <v>0</v>
      </c>
      <c r="DE14" s="17">
        <f t="shared" si="26"/>
        <v>0</v>
      </c>
      <c r="DF14" s="17">
        <f t="shared" si="27"/>
        <v>0</v>
      </c>
      <c r="DG14" s="17" t="e">
        <f t="shared" si="28"/>
        <v>#DIV/0!</v>
      </c>
      <c r="DH14" s="17" t="e">
        <f t="shared" si="29"/>
        <v>#DIV/0!</v>
      </c>
      <c r="DI14" s="17">
        <f t="shared" si="30"/>
        <v>0</v>
      </c>
      <c r="DJ14" s="17">
        <f t="shared" si="31"/>
        <v>0</v>
      </c>
    </row>
    <row r="15" spans="1:122" ht="30.75" thickBot="1" x14ac:dyDescent="0.3">
      <c r="A15" s="11" t="s">
        <v>29</v>
      </c>
      <c r="E15" s="12"/>
      <c r="M15" s="7" t="s">
        <v>32</v>
      </c>
      <c r="N15" s="7"/>
      <c r="O15" s="7"/>
      <c r="P15" s="7"/>
      <c r="Q15" s="7" t="s">
        <v>33</v>
      </c>
      <c r="R15" s="7"/>
      <c r="W15" s="7" t="s">
        <v>52</v>
      </c>
      <c r="AN15" t="str">
        <f>A15</f>
        <v>weight fractions</v>
      </c>
      <c r="AW15">
        <f t="shared" si="12"/>
        <v>0</v>
      </c>
      <c r="BG15">
        <f t="shared" si="41"/>
        <v>20557.791834387572</v>
      </c>
      <c r="BV15" t="s">
        <v>84</v>
      </c>
      <c r="BW15">
        <f>0</f>
        <v>0</v>
      </c>
      <c r="BX15">
        <f>0</f>
        <v>0</v>
      </c>
      <c r="BY15">
        <f>0</f>
        <v>0</v>
      </c>
      <c r="BZ15">
        <f>0</f>
        <v>0</v>
      </c>
      <c r="CA15">
        <v>0</v>
      </c>
      <c r="CB15">
        <f>BT10</f>
        <v>179.67859128125005</v>
      </c>
      <c r="CC15">
        <f>CB15</f>
        <v>179.67859128125005</v>
      </c>
      <c r="CD15">
        <f t="shared" si="15"/>
        <v>179.67859128125005</v>
      </c>
      <c r="CE15">
        <v>0</v>
      </c>
      <c r="CF15">
        <v>0</v>
      </c>
      <c r="CG15">
        <f t="shared" si="40"/>
        <v>0</v>
      </c>
      <c r="CH15">
        <f t="shared" si="2"/>
        <v>0</v>
      </c>
      <c r="CI15">
        <v>0</v>
      </c>
      <c r="CJ15">
        <f>0</f>
        <v>0</v>
      </c>
      <c r="CK15">
        <f t="shared" si="33"/>
        <v>0</v>
      </c>
      <c r="CL15">
        <f t="shared" si="16"/>
        <v>0</v>
      </c>
      <c r="CT15" t="s">
        <v>81</v>
      </c>
      <c r="CU15" s="17">
        <f t="shared" si="34"/>
        <v>0</v>
      </c>
      <c r="CV15" s="17">
        <f t="shared" si="17"/>
        <v>0</v>
      </c>
      <c r="CW15" s="17">
        <f t="shared" si="18"/>
        <v>0</v>
      </c>
      <c r="CX15" s="17">
        <f t="shared" si="19"/>
        <v>0</v>
      </c>
      <c r="CY15" s="17">
        <f t="shared" si="20"/>
        <v>0</v>
      </c>
      <c r="CZ15" s="17">
        <f t="shared" si="21"/>
        <v>0</v>
      </c>
      <c r="DA15" s="17">
        <f t="shared" si="22"/>
        <v>4.1288294701370423E-2</v>
      </c>
      <c r="DB15" s="17">
        <f t="shared" si="23"/>
        <v>4.1288294701370423E-2</v>
      </c>
      <c r="DC15" s="17">
        <f t="shared" si="24"/>
        <v>0</v>
      </c>
      <c r="DD15" s="17">
        <f t="shared" si="25"/>
        <v>0</v>
      </c>
      <c r="DE15" s="17">
        <f t="shared" si="26"/>
        <v>0</v>
      </c>
      <c r="DF15" s="17">
        <f t="shared" si="27"/>
        <v>0</v>
      </c>
      <c r="DG15" s="17" t="e">
        <f t="shared" si="28"/>
        <v>#DIV/0!</v>
      </c>
      <c r="DH15" s="17" t="e">
        <f t="shared" si="29"/>
        <v>#DIV/0!</v>
      </c>
      <c r="DI15" s="17">
        <f t="shared" si="30"/>
        <v>0</v>
      </c>
      <c r="DJ15" s="17">
        <f t="shared" si="31"/>
        <v>0</v>
      </c>
    </row>
    <row r="16" spans="1:122" ht="15.75" customHeight="1" thickBot="1" x14ac:dyDescent="0.3">
      <c r="A16" s="5" t="s">
        <v>3</v>
      </c>
      <c r="B16">
        <f>B4/$B$13</f>
        <v>0.29999979020993689</v>
      </c>
      <c r="C16">
        <f>C4/$C$13</f>
        <v>0</v>
      </c>
      <c r="D16">
        <f>D4/$D$13</f>
        <v>0</v>
      </c>
      <c r="E16">
        <f>E4/$E$13</f>
        <v>0</v>
      </c>
      <c r="F16">
        <f>F4/$F$13</f>
        <v>0</v>
      </c>
      <c r="G16">
        <f>G4/$G$13</f>
        <v>0</v>
      </c>
      <c r="H16">
        <f>H4/$H$13</f>
        <v>0</v>
      </c>
      <c r="I16">
        <f>I4/$I$13</f>
        <v>0</v>
      </c>
      <c r="J16">
        <f>J4/$J$13</f>
        <v>0</v>
      </c>
      <c r="K16">
        <f>K4/$K$13</f>
        <v>0</v>
      </c>
      <c r="M16">
        <f>B4*10^3*0.109*10^-9*1.25*10^3</f>
        <v>9.7418750000000003</v>
      </c>
      <c r="Q16">
        <f>0.885*B4*10^3*10^-9*1.15*10^3</f>
        <v>72.769124999999988</v>
      </c>
      <c r="W16" t="str">
        <f>AO1</f>
        <v>Stream 3.1 (T=50, P=2.27 bar)</v>
      </c>
      <c r="AN16" t="str">
        <f t="shared" ref="AN16:AN25" si="42">A16</f>
        <v>starch</v>
      </c>
      <c r="AO16">
        <f>AO3/$AO$12</f>
        <v>0.29999979020993689</v>
      </c>
      <c r="AP16">
        <f>AP3/$AP$12</f>
        <v>0</v>
      </c>
      <c r="AQ16">
        <f>AQ3/$AQ$12</f>
        <v>0</v>
      </c>
      <c r="AR16">
        <f>AR3/$AR$12</f>
        <v>0</v>
      </c>
      <c r="AS16">
        <f>AS3/$AS$12</f>
        <v>0</v>
      </c>
      <c r="AT16">
        <f>AT3/$AT$12</f>
        <v>0</v>
      </c>
      <c r="AU16">
        <f>AU3/$AU$12</f>
        <v>0</v>
      </c>
      <c r="AV16">
        <f>AV3/$AV$12</f>
        <v>0</v>
      </c>
      <c r="AW16">
        <f t="shared" si="12"/>
        <v>0.29999979020993689</v>
      </c>
      <c r="BG16">
        <f t="shared" si="41"/>
        <v>6430.5170109980463</v>
      </c>
      <c r="BV16" t="s">
        <v>92</v>
      </c>
      <c r="BW16">
        <f>0</f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f>0</f>
        <v>0</v>
      </c>
      <c r="CF16">
        <f>BV23</f>
        <v>1.1869311911742852E-3</v>
      </c>
      <c r="CG16">
        <f>0</f>
        <v>0</v>
      </c>
      <c r="CH16">
        <f t="shared" si="2"/>
        <v>0</v>
      </c>
      <c r="CI16">
        <v>0</v>
      </c>
      <c r="CJ16">
        <f>0</f>
        <v>0</v>
      </c>
      <c r="CK16">
        <f t="shared" si="33"/>
        <v>0</v>
      </c>
      <c r="CL16">
        <f t="shared" si="16"/>
        <v>0</v>
      </c>
      <c r="CT16" t="s">
        <v>84</v>
      </c>
      <c r="CU16" s="17">
        <f t="shared" si="34"/>
        <v>0</v>
      </c>
      <c r="CV16" s="17">
        <f t="shared" si="17"/>
        <v>0</v>
      </c>
      <c r="CW16" s="17">
        <f t="shared" si="18"/>
        <v>0</v>
      </c>
      <c r="CX16" s="17">
        <f t="shared" si="19"/>
        <v>0</v>
      </c>
      <c r="CY16" s="17">
        <f t="shared" si="20"/>
        <v>0</v>
      </c>
      <c r="CZ16" s="17">
        <f t="shared" si="21"/>
        <v>1</v>
      </c>
      <c r="DA16" s="17">
        <f t="shared" si="22"/>
        <v>1.5004852653354488E-4</v>
      </c>
      <c r="DB16" s="17">
        <f t="shared" si="23"/>
        <v>1.5004852653354488E-4</v>
      </c>
      <c r="DC16" s="17">
        <f t="shared" si="24"/>
        <v>0</v>
      </c>
      <c r="DD16" s="17">
        <f t="shared" si="25"/>
        <v>0</v>
      </c>
      <c r="DE16" s="17">
        <f t="shared" si="26"/>
        <v>0</v>
      </c>
      <c r="DF16" s="17">
        <f t="shared" si="27"/>
        <v>0</v>
      </c>
      <c r="DG16" s="17" t="e">
        <f t="shared" si="28"/>
        <v>#DIV/0!</v>
      </c>
      <c r="DH16" s="17" t="e">
        <f t="shared" si="29"/>
        <v>#DIV/0!</v>
      </c>
      <c r="DI16" s="17">
        <f t="shared" si="30"/>
        <v>0</v>
      </c>
      <c r="DJ16" s="17">
        <f t="shared" si="31"/>
        <v>0</v>
      </c>
    </row>
    <row r="17" spans="1:114" ht="15.75" customHeight="1" thickBot="1" x14ac:dyDescent="0.3">
      <c r="A17" s="5" t="s">
        <v>4</v>
      </c>
      <c r="B17">
        <f t="shared" ref="B17:B25" si="43">B5/$B$13</f>
        <v>0.64127409701112092</v>
      </c>
      <c r="C17">
        <f t="shared" ref="C17:C25" si="44">C5/$C$13</f>
        <v>0.99992151805834995</v>
      </c>
      <c r="D17">
        <f t="shared" ref="D17:D25" si="45">D5/$D$13</f>
        <v>0.99992151805834995</v>
      </c>
      <c r="E17">
        <f t="shared" ref="E17:E25" si="46">E5/$E$13</f>
        <v>0.99992151805834995</v>
      </c>
      <c r="F17">
        <f t="shared" ref="F17:F25" si="47">F5/$F$13</f>
        <v>0.92855750516915325</v>
      </c>
      <c r="G17">
        <f t="shared" ref="G17:G25" si="48">G5/$G$13</f>
        <v>0.92855750516915325</v>
      </c>
      <c r="H17">
        <f t="shared" ref="H17:H25" si="49">H5/$H$13</f>
        <v>0</v>
      </c>
      <c r="I17">
        <f t="shared" ref="I17:I25" si="50">I5/$I$13</f>
        <v>1</v>
      </c>
      <c r="J17">
        <f t="shared" ref="J17:J25" si="51">J5/$J$13</f>
        <v>0.90415474141213747</v>
      </c>
      <c r="K17">
        <f t="shared" ref="K17:K25" si="52">K5/$K$13</f>
        <v>0.90415474141213747</v>
      </c>
      <c r="S17" s="14" t="s">
        <v>142</v>
      </c>
      <c r="T17" s="14" t="s">
        <v>143</v>
      </c>
      <c r="AN17" t="str">
        <f t="shared" si="42"/>
        <v>water</v>
      </c>
      <c r="AO17">
        <f t="shared" ref="AO17:AO25" si="53">AO4/$AO$12</f>
        <v>0.64127409701112092</v>
      </c>
      <c r="AP17">
        <f t="shared" ref="AP17:AP25" si="54">AP4/$AP$12</f>
        <v>0.99992151805834995</v>
      </c>
      <c r="AQ17">
        <f t="shared" ref="AQ17:AQ25" si="55">AQ4/$AQ$12</f>
        <v>0.99992151805834995</v>
      </c>
      <c r="AR17">
        <f t="shared" ref="AR17:AR25" si="56">AR4/$AR$12</f>
        <v>0.92855750516915325</v>
      </c>
      <c r="AS17">
        <f t="shared" ref="AS17:AS25" si="57">AS4/$AS$12</f>
        <v>0</v>
      </c>
      <c r="AT17">
        <f t="shared" ref="AT17:AT25" si="58">AT4/$AT$12</f>
        <v>1</v>
      </c>
      <c r="AU17">
        <f t="shared" ref="AU17:AU25" si="59">AU4/$AU$12</f>
        <v>0.90415474141213747</v>
      </c>
      <c r="AV17">
        <f t="shared" ref="AV17:AV25" si="60">AV4/$AV$12</f>
        <v>0.90415474141213747</v>
      </c>
      <c r="AW17">
        <f t="shared" si="12"/>
        <v>0.64127409701112092</v>
      </c>
      <c r="BG17">
        <f t="shared" si="41"/>
        <v>23817.966903073288</v>
      </c>
      <c r="BV17" t="s">
        <v>101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f>0</f>
        <v>0</v>
      </c>
      <c r="CJ17">
        <f>0</f>
        <v>0</v>
      </c>
      <c r="CK17">
        <f t="shared" si="33"/>
        <v>0</v>
      </c>
      <c r="CL17">
        <f t="shared" si="16"/>
        <v>0</v>
      </c>
      <c r="CT17" t="s">
        <v>92</v>
      </c>
      <c r="CU17" s="17">
        <f t="shared" si="34"/>
        <v>0</v>
      </c>
      <c r="CV17" s="17">
        <f t="shared" si="17"/>
        <v>0</v>
      </c>
      <c r="CW17" s="17">
        <f t="shared" si="18"/>
        <v>0</v>
      </c>
      <c r="CX17" s="17">
        <f t="shared" si="19"/>
        <v>0</v>
      </c>
      <c r="CY17" s="17">
        <f t="shared" si="20"/>
        <v>0</v>
      </c>
      <c r="CZ17" s="17">
        <f t="shared" si="21"/>
        <v>0</v>
      </c>
      <c r="DA17" s="17">
        <f t="shared" si="22"/>
        <v>0</v>
      </c>
      <c r="DB17" s="17">
        <f t="shared" si="23"/>
        <v>0</v>
      </c>
      <c r="DC17" s="17">
        <f t="shared" si="24"/>
        <v>0</v>
      </c>
      <c r="DD17" s="17">
        <f t="shared" si="25"/>
        <v>1</v>
      </c>
      <c r="DE17" s="17">
        <f t="shared" si="26"/>
        <v>0</v>
      </c>
      <c r="DF17" s="17">
        <f t="shared" si="27"/>
        <v>0</v>
      </c>
      <c r="DG17" s="17" t="e">
        <f t="shared" si="28"/>
        <v>#DIV/0!</v>
      </c>
      <c r="DH17" s="17" t="e">
        <f t="shared" si="29"/>
        <v>#DIV/0!</v>
      </c>
      <c r="DI17" s="17">
        <f t="shared" si="30"/>
        <v>0</v>
      </c>
      <c r="DJ17" s="17">
        <f t="shared" si="31"/>
        <v>0</v>
      </c>
    </row>
    <row r="18" spans="1:114" ht="15.75" customHeight="1" thickBot="1" x14ac:dyDescent="0.3">
      <c r="A18" s="5" t="s">
        <v>5</v>
      </c>
      <c r="B18">
        <f t="shared" si="43"/>
        <v>4.8505560485622032E-2</v>
      </c>
      <c r="C18">
        <f t="shared" si="44"/>
        <v>0</v>
      </c>
      <c r="D18">
        <f t="shared" si="45"/>
        <v>0</v>
      </c>
      <c r="E18">
        <f t="shared" si="46"/>
        <v>0</v>
      </c>
      <c r="F18">
        <f t="shared" si="47"/>
        <v>9.6503965775677613E-3</v>
      </c>
      <c r="G18">
        <f t="shared" si="48"/>
        <v>9.6503965775677613E-3</v>
      </c>
      <c r="H18">
        <f t="shared" si="49"/>
        <v>0</v>
      </c>
      <c r="I18">
        <f t="shared" si="50"/>
        <v>0</v>
      </c>
      <c r="J18">
        <f t="shared" si="51"/>
        <v>1.29467029061959E-2</v>
      </c>
      <c r="K18">
        <f t="shared" si="52"/>
        <v>1.29467029061959E-2</v>
      </c>
      <c r="S18">
        <f>60</f>
        <v>60</v>
      </c>
      <c r="T18">
        <f>10</f>
        <v>10</v>
      </c>
      <c r="AN18" t="str">
        <f t="shared" si="42"/>
        <v>protein</v>
      </c>
      <c r="AO18">
        <f t="shared" si="53"/>
        <v>4.8505560485622032E-2</v>
      </c>
      <c r="AP18">
        <f t="shared" si="54"/>
        <v>0</v>
      </c>
      <c r="AQ18">
        <f t="shared" si="55"/>
        <v>0</v>
      </c>
      <c r="AR18">
        <f t="shared" si="56"/>
        <v>9.6503965775677613E-3</v>
      </c>
      <c r="AS18">
        <f t="shared" si="57"/>
        <v>0</v>
      </c>
      <c r="AT18">
        <f t="shared" si="58"/>
        <v>0</v>
      </c>
      <c r="AU18">
        <f t="shared" si="59"/>
        <v>1.29467029061959E-2</v>
      </c>
      <c r="AV18">
        <f t="shared" si="60"/>
        <v>1.29467029061959E-2</v>
      </c>
      <c r="AW18">
        <f t="shared" si="12"/>
        <v>4.8505560485622032E-2</v>
      </c>
      <c r="BG18">
        <f>CC13*10/(BN8*10^-3)</f>
        <v>7923.3156028368785</v>
      </c>
      <c r="BV18" t="s">
        <v>89</v>
      </c>
      <c r="BW18">
        <f>SUM(BW2:BW17)</f>
        <v>238333.50000000003</v>
      </c>
      <c r="BX18">
        <f>SUM(BX2:BX16)</f>
        <v>238333.50000000003</v>
      </c>
      <c r="BY18">
        <f>SUM(BY2:BY16)</f>
        <v>959521.23333333351</v>
      </c>
      <c r="BZ18">
        <f>BY18</f>
        <v>959521.23333333351</v>
      </c>
      <c r="CA18">
        <f>SUM(CA2:CA17)</f>
        <v>2.5418750000000001</v>
      </c>
      <c r="CB18">
        <f>SUM(CB2:CB17)</f>
        <v>179.67859128125005</v>
      </c>
      <c r="CC18">
        <f>SUM(CC2:CC16)</f>
        <v>1197469.8814591896</v>
      </c>
      <c r="CD18">
        <f>SUM(CD2:CD16)</f>
        <v>1197469.8814591896</v>
      </c>
      <c r="CE18">
        <f>CE6</f>
        <v>72.769124999999988</v>
      </c>
      <c r="CF18">
        <f>CF16</f>
        <v>1.1869311911742852E-3</v>
      </c>
      <c r="CG18">
        <f>SUM(CG2:CG16)</f>
        <v>1197854.7333333336</v>
      </c>
      <c r="CH18">
        <f>SUM(CH2:CH16)</f>
        <v>1197854.7333333336</v>
      </c>
      <c r="CI18">
        <f>CI17</f>
        <v>0</v>
      </c>
      <c r="CJ18">
        <f>CJ3</f>
        <v>0</v>
      </c>
      <c r="CK18">
        <f>SUM(CK2:CK17)</f>
        <v>1197854.7333333336</v>
      </c>
      <c r="CL18">
        <f>CK18</f>
        <v>1197854.7333333336</v>
      </c>
      <c r="CT18" t="s">
        <v>101</v>
      </c>
      <c r="CU18" s="17">
        <f t="shared" si="34"/>
        <v>0</v>
      </c>
      <c r="CV18" s="17">
        <f t="shared" si="17"/>
        <v>0</v>
      </c>
      <c r="CW18" s="17">
        <f t="shared" si="18"/>
        <v>0</v>
      </c>
      <c r="CX18" s="17">
        <f t="shared" si="19"/>
        <v>0</v>
      </c>
      <c r="CY18" s="17">
        <f t="shared" si="20"/>
        <v>0</v>
      </c>
      <c r="CZ18" s="17">
        <f t="shared" si="21"/>
        <v>0</v>
      </c>
      <c r="DA18" s="17">
        <f t="shared" si="22"/>
        <v>0</v>
      </c>
      <c r="DB18" s="17">
        <f t="shared" si="23"/>
        <v>0</v>
      </c>
      <c r="DC18" s="17">
        <f t="shared" si="24"/>
        <v>0</v>
      </c>
      <c r="DD18" s="17">
        <f t="shared" si="25"/>
        <v>0</v>
      </c>
      <c r="DE18" s="17">
        <f t="shared" si="26"/>
        <v>0</v>
      </c>
      <c r="DF18" s="17">
        <f t="shared" si="27"/>
        <v>0</v>
      </c>
      <c r="DG18" s="17" t="e">
        <f t="shared" si="28"/>
        <v>#DIV/0!</v>
      </c>
      <c r="DH18" s="17" t="e">
        <f t="shared" si="29"/>
        <v>#DIV/0!</v>
      </c>
      <c r="DI18" s="17">
        <f t="shared" si="30"/>
        <v>0</v>
      </c>
      <c r="DJ18" s="17">
        <f t="shared" si="31"/>
        <v>0</v>
      </c>
    </row>
    <row r="19" spans="1:114" ht="15.75" customHeight="1" thickBot="1" x14ac:dyDescent="0.3">
      <c r="A19" s="5" t="s">
        <v>6</v>
      </c>
      <c r="B19">
        <f t="shared" si="43"/>
        <v>4.4836332282285106E-3</v>
      </c>
      <c r="C19">
        <f t="shared" si="44"/>
        <v>0</v>
      </c>
      <c r="D19">
        <f t="shared" si="45"/>
        <v>0</v>
      </c>
      <c r="E19">
        <f t="shared" si="46"/>
        <v>0</v>
      </c>
      <c r="F19">
        <f t="shared" si="47"/>
        <v>8.920387338600328E-4</v>
      </c>
      <c r="G19">
        <f t="shared" si="48"/>
        <v>8.920387338600328E-4</v>
      </c>
      <c r="H19">
        <f t="shared" si="49"/>
        <v>0</v>
      </c>
      <c r="I19">
        <f t="shared" si="50"/>
        <v>0</v>
      </c>
      <c r="J19">
        <f t="shared" si="51"/>
        <v>1.1967342870603294E-3</v>
      </c>
      <c r="K19">
        <f t="shared" si="52"/>
        <v>1.1967342870603294E-3</v>
      </c>
      <c r="X19" t="s">
        <v>60</v>
      </c>
      <c r="AN19" t="str">
        <f t="shared" si="42"/>
        <v>lipid</v>
      </c>
      <c r="AO19">
        <f t="shared" si="53"/>
        <v>4.4836332282285106E-3</v>
      </c>
      <c r="AP19">
        <f t="shared" si="54"/>
        <v>0</v>
      </c>
      <c r="AQ19">
        <f t="shared" si="55"/>
        <v>0</v>
      </c>
      <c r="AR19">
        <f t="shared" si="56"/>
        <v>8.920387338600328E-4</v>
      </c>
      <c r="AS19">
        <f t="shared" si="57"/>
        <v>0</v>
      </c>
      <c r="AT19">
        <f t="shared" si="58"/>
        <v>0</v>
      </c>
      <c r="AU19">
        <f t="shared" si="59"/>
        <v>1.1967342870603294E-3</v>
      </c>
      <c r="AV19">
        <f t="shared" si="60"/>
        <v>1.1967342870603294E-3</v>
      </c>
      <c r="AW19">
        <f t="shared" si="12"/>
        <v>4.4836332282285106E-3</v>
      </c>
      <c r="CT19" t="s">
        <v>89</v>
      </c>
      <c r="CU19" s="17">
        <f t="shared" si="34"/>
        <v>1</v>
      </c>
      <c r="CV19" s="17">
        <f t="shared" si="17"/>
        <v>1</v>
      </c>
      <c r="CW19" s="17">
        <f t="shared" si="18"/>
        <v>1</v>
      </c>
      <c r="CX19" s="17">
        <f t="shared" si="19"/>
        <v>1</v>
      </c>
      <c r="CY19" s="17">
        <f t="shared" si="20"/>
        <v>1</v>
      </c>
      <c r="CZ19" s="17">
        <f t="shared" si="21"/>
        <v>1</v>
      </c>
      <c r="DA19" s="17">
        <f t="shared" si="22"/>
        <v>1</v>
      </c>
      <c r="DB19" s="17">
        <f t="shared" si="23"/>
        <v>1</v>
      </c>
      <c r="DC19" s="17">
        <f t="shared" si="24"/>
        <v>1</v>
      </c>
      <c r="DD19" s="17">
        <f t="shared" si="25"/>
        <v>1</v>
      </c>
      <c r="DE19" s="17">
        <f t="shared" si="26"/>
        <v>1</v>
      </c>
      <c r="DF19" s="17">
        <f t="shared" si="27"/>
        <v>1</v>
      </c>
      <c r="DG19" s="17" t="e">
        <f>CI18/$CI$18</f>
        <v>#DIV/0!</v>
      </c>
      <c r="DH19" s="17" t="e">
        <f t="shared" si="29"/>
        <v>#DIV/0!</v>
      </c>
      <c r="DI19" s="17">
        <f t="shared" si="30"/>
        <v>1</v>
      </c>
      <c r="DJ19" s="17">
        <f t="shared" si="31"/>
        <v>1</v>
      </c>
    </row>
    <row r="20" spans="1:114" ht="15.75" customHeight="1" thickBot="1" x14ac:dyDescent="0.3">
      <c r="A20" s="5" t="s">
        <v>7</v>
      </c>
      <c r="B20">
        <f t="shared" si="43"/>
        <v>1.6304883702878529E-3</v>
      </c>
      <c r="C20">
        <f t="shared" si="44"/>
        <v>0</v>
      </c>
      <c r="D20">
        <f t="shared" si="45"/>
        <v>0</v>
      </c>
      <c r="E20">
        <f t="shared" si="46"/>
        <v>0</v>
      </c>
      <c r="F20">
        <f t="shared" si="47"/>
        <v>6.0020199293034218E-2</v>
      </c>
      <c r="G20">
        <f t="shared" si="48"/>
        <v>6.0020199293034218E-2</v>
      </c>
      <c r="H20">
        <f t="shared" si="49"/>
        <v>0</v>
      </c>
      <c r="I20">
        <f t="shared" si="50"/>
        <v>0</v>
      </c>
      <c r="J20">
        <f t="shared" si="51"/>
        <v>8.0521425453525822E-2</v>
      </c>
      <c r="K20">
        <f t="shared" si="52"/>
        <v>8.0521425453525822E-2</v>
      </c>
      <c r="X20">
        <f>(B4/0.18)*18*10^-3</f>
        <v>7150</v>
      </c>
      <c r="Y20">
        <f>X20*10</f>
        <v>71500</v>
      </c>
      <c r="AN20" t="str">
        <f t="shared" si="42"/>
        <v>sugar</v>
      </c>
      <c r="AO20">
        <f t="shared" si="53"/>
        <v>1.6304883702878529E-3</v>
      </c>
      <c r="AP20">
        <f t="shared" si="54"/>
        <v>0</v>
      </c>
      <c r="AQ20">
        <f t="shared" si="55"/>
        <v>0</v>
      </c>
      <c r="AR20">
        <f t="shared" si="56"/>
        <v>6.0020199293034218E-2</v>
      </c>
      <c r="AS20">
        <f t="shared" si="57"/>
        <v>0</v>
      </c>
      <c r="AT20">
        <f t="shared" si="58"/>
        <v>0</v>
      </c>
      <c r="AU20">
        <f t="shared" si="59"/>
        <v>8.0521425453525822E-2</v>
      </c>
      <c r="AV20">
        <f t="shared" si="60"/>
        <v>8.0521425453525822E-2</v>
      </c>
      <c r="AW20">
        <f t="shared" si="12"/>
        <v>1.6304883702878529E-3</v>
      </c>
      <c r="CA20">
        <f>BX17+BY17+CA17+CB17</f>
        <v>0</v>
      </c>
      <c r="CE20">
        <f>CD17+CE17+CF17</f>
        <v>0</v>
      </c>
    </row>
    <row r="21" spans="1:114" ht="15.75" customHeight="1" thickBot="1" x14ac:dyDescent="0.3">
      <c r="A21" s="5" t="s">
        <v>8</v>
      </c>
      <c r="B21">
        <f t="shared" si="43"/>
        <v>4.0762209257196322E-3</v>
      </c>
      <c r="C21">
        <f t="shared" si="44"/>
        <v>0</v>
      </c>
      <c r="D21">
        <f t="shared" si="45"/>
        <v>0</v>
      </c>
      <c r="E21">
        <f t="shared" si="46"/>
        <v>0</v>
      </c>
      <c r="F21">
        <f t="shared" si="47"/>
        <v>8.1098224774941226E-4</v>
      </c>
      <c r="G21">
        <f t="shared" si="48"/>
        <v>8.1098224774941226E-4</v>
      </c>
      <c r="H21">
        <f t="shared" si="49"/>
        <v>0</v>
      </c>
      <c r="I21">
        <f t="shared" si="50"/>
        <v>0</v>
      </c>
      <c r="J21">
        <f t="shared" si="51"/>
        <v>1.0879911658984748E-3</v>
      </c>
      <c r="K21">
        <f t="shared" si="52"/>
        <v>1.0879911658984748E-3</v>
      </c>
      <c r="O21" s="14" t="s">
        <v>55</v>
      </c>
      <c r="R21" s="14" t="s">
        <v>56</v>
      </c>
      <c r="S21" t="s">
        <v>62</v>
      </c>
      <c r="T21" t="s">
        <v>63</v>
      </c>
      <c r="U21" t="s">
        <v>148</v>
      </c>
      <c r="AN21" t="str">
        <f t="shared" si="42"/>
        <v>fibre</v>
      </c>
      <c r="AO21">
        <f t="shared" si="53"/>
        <v>4.0762209257196322E-3</v>
      </c>
      <c r="AP21">
        <f t="shared" si="54"/>
        <v>0</v>
      </c>
      <c r="AQ21">
        <f t="shared" si="55"/>
        <v>0</v>
      </c>
      <c r="AR21">
        <f t="shared" si="56"/>
        <v>8.1098224774941226E-4</v>
      </c>
      <c r="AS21">
        <f t="shared" si="57"/>
        <v>0</v>
      </c>
      <c r="AT21">
        <f t="shared" si="58"/>
        <v>0</v>
      </c>
      <c r="AU21">
        <f t="shared" si="59"/>
        <v>1.0879911658984748E-3</v>
      </c>
      <c r="AV21">
        <f t="shared" si="60"/>
        <v>1.0879911658984748E-3</v>
      </c>
      <c r="AW21">
        <f t="shared" si="12"/>
        <v>4.0762209257196322E-3</v>
      </c>
      <c r="BO21" t="s">
        <v>98</v>
      </c>
    </row>
    <row r="22" spans="1:114" ht="15.75" customHeight="1" thickBot="1" x14ac:dyDescent="0.3">
      <c r="A22" s="5" t="s">
        <v>9</v>
      </c>
      <c r="B22">
        <f t="shared" si="43"/>
        <v>3.020976908407756E-5</v>
      </c>
      <c r="C22">
        <f t="shared" si="44"/>
        <v>2.6488997016615279E-6</v>
      </c>
      <c r="D22">
        <f t="shared" si="45"/>
        <v>2.6488997016615279E-6</v>
      </c>
      <c r="E22">
        <f t="shared" si="46"/>
        <v>2.6488997016615279E-6</v>
      </c>
      <c r="F22">
        <f t="shared" si="47"/>
        <v>8.1322570095664502E-6</v>
      </c>
      <c r="G22">
        <f t="shared" si="48"/>
        <v>8.1322570095664502E-6</v>
      </c>
      <c r="H22">
        <f t="shared" si="49"/>
        <v>0</v>
      </c>
      <c r="I22">
        <f t="shared" si="50"/>
        <v>0</v>
      </c>
      <c r="J22">
        <f t="shared" si="51"/>
        <v>1.0910009201530833E-5</v>
      </c>
      <c r="K22">
        <f t="shared" si="52"/>
        <v>1.0910009201530833E-5</v>
      </c>
      <c r="O22">
        <f>71500</f>
        <v>71500</v>
      </c>
      <c r="R22">
        <f>G8*10/S18</f>
        <v>11983.333333333334</v>
      </c>
      <c r="S22">
        <f>R22*985</f>
        <v>11803583.333333334</v>
      </c>
      <c r="T22">
        <f>(S22/T18)-B5</f>
        <v>1027521.2333333335</v>
      </c>
      <c r="U22">
        <f>68000</f>
        <v>68000</v>
      </c>
      <c r="V22">
        <f>14630.6992*988/(10)</f>
        <v>1445513.0809599999</v>
      </c>
      <c r="AN22" t="str">
        <f t="shared" si="42"/>
        <v>amylase</v>
      </c>
      <c r="AO22">
        <f t="shared" si="53"/>
        <v>3.020976908407756E-5</v>
      </c>
      <c r="AP22">
        <f t="shared" si="54"/>
        <v>2.6488997016615279E-6</v>
      </c>
      <c r="AQ22">
        <f t="shared" si="55"/>
        <v>2.6488997016615279E-6</v>
      </c>
      <c r="AR22">
        <f t="shared" si="56"/>
        <v>8.1322570095664502E-6</v>
      </c>
      <c r="AS22">
        <f t="shared" si="57"/>
        <v>0</v>
      </c>
      <c r="AT22">
        <f t="shared" si="58"/>
        <v>0</v>
      </c>
      <c r="AU22">
        <f t="shared" si="59"/>
        <v>1.0910009201530833E-5</v>
      </c>
      <c r="AV22">
        <f t="shared" si="60"/>
        <v>1.0910009201530833E-5</v>
      </c>
      <c r="AW22">
        <f t="shared" si="12"/>
        <v>3.020976908407756E-5</v>
      </c>
      <c r="BO22">
        <f>0.098086</f>
        <v>9.8086000000000007E-2</v>
      </c>
      <c r="BQ22" t="s">
        <v>93</v>
      </c>
      <c r="BR22" t="s">
        <v>94</v>
      </c>
      <c r="BS22" t="s">
        <v>96</v>
      </c>
      <c r="BT22" t="s">
        <v>97</v>
      </c>
      <c r="BU22" t="s">
        <v>99</v>
      </c>
      <c r="BV22" t="s">
        <v>100</v>
      </c>
      <c r="BZ22">
        <f>BW18+BY18</f>
        <v>1197854.7333333336</v>
      </c>
    </row>
    <row r="23" spans="1:114" ht="30.75" thickBot="1" x14ac:dyDescent="0.3">
      <c r="A23" s="5" t="s">
        <v>10</v>
      </c>
      <c r="B23">
        <f t="shared" si="43"/>
        <v>0</v>
      </c>
      <c r="C23">
        <f t="shared" si="44"/>
        <v>7.5833041948431915E-5</v>
      </c>
      <c r="D23">
        <f t="shared" si="45"/>
        <v>7.5833041948431915E-5</v>
      </c>
      <c r="E23">
        <f t="shared" si="46"/>
        <v>7.5833041948431915E-5</v>
      </c>
      <c r="F23">
        <f t="shared" si="47"/>
        <v>6.0745721625587175E-5</v>
      </c>
      <c r="G23">
        <f t="shared" si="48"/>
        <v>6.0745721625587175E-5</v>
      </c>
      <c r="H23">
        <f t="shared" si="49"/>
        <v>0</v>
      </c>
      <c r="I23">
        <f t="shared" si="50"/>
        <v>0</v>
      </c>
      <c r="J23">
        <f t="shared" si="51"/>
        <v>8.1494765980609198E-5</v>
      </c>
      <c r="K23">
        <f t="shared" si="52"/>
        <v>8.1494765980609198E-5</v>
      </c>
      <c r="AN23" t="str">
        <f t="shared" si="42"/>
        <v>glucoamylase</v>
      </c>
      <c r="AO23">
        <f t="shared" si="53"/>
        <v>0</v>
      </c>
      <c r="AP23">
        <f t="shared" si="54"/>
        <v>7.5833041948431915E-5</v>
      </c>
      <c r="AQ23">
        <f t="shared" si="55"/>
        <v>7.5833041948431915E-5</v>
      </c>
      <c r="AR23">
        <f t="shared" si="56"/>
        <v>6.0745721625587175E-5</v>
      </c>
      <c r="AS23">
        <f t="shared" si="57"/>
        <v>0</v>
      </c>
      <c r="AT23">
        <f t="shared" si="58"/>
        <v>0</v>
      </c>
      <c r="AU23">
        <f t="shared" si="59"/>
        <v>8.1494765980609198E-5</v>
      </c>
      <c r="AV23">
        <f t="shared" si="60"/>
        <v>8.1494765980609198E-5</v>
      </c>
      <c r="AW23">
        <f t="shared" si="12"/>
        <v>0</v>
      </c>
      <c r="BQ23">
        <v>5</v>
      </c>
      <c r="BR23" t="s">
        <v>95</v>
      </c>
      <c r="BS23">
        <f>(10^-5)-(10^-5.8)</f>
        <v>8.4151068075388891E-6</v>
      </c>
      <c r="BT23">
        <f>BS23*14380</f>
        <v>0.12100923589240922</v>
      </c>
      <c r="BU23">
        <f>BT23*BO22</f>
        <v>1.1869311911742852E-2</v>
      </c>
      <c r="BV23">
        <f>BU23/10</f>
        <v>1.1869311911742852E-3</v>
      </c>
    </row>
    <row r="24" spans="1:114" ht="15.75" thickBot="1" x14ac:dyDescent="0.3">
      <c r="A24" s="5" t="s">
        <v>11</v>
      </c>
      <c r="B24">
        <f t="shared" si="43"/>
        <v>0</v>
      </c>
      <c r="C24">
        <f t="shared" si="44"/>
        <v>0</v>
      </c>
      <c r="D24">
        <f t="shared" si="45"/>
        <v>0</v>
      </c>
      <c r="E24">
        <f t="shared" si="46"/>
        <v>0</v>
      </c>
      <c r="F24">
        <f t="shared" si="47"/>
        <v>0</v>
      </c>
      <c r="G24">
        <f t="shared" si="48"/>
        <v>0</v>
      </c>
      <c r="H24">
        <f t="shared" si="49"/>
        <v>1</v>
      </c>
      <c r="I24">
        <f t="shared" si="50"/>
        <v>0</v>
      </c>
      <c r="J24">
        <f t="shared" si="51"/>
        <v>0</v>
      </c>
      <c r="K24">
        <f t="shared" si="52"/>
        <v>0</v>
      </c>
      <c r="O24" s="14" t="s">
        <v>58</v>
      </c>
      <c r="R24" s="14" t="s">
        <v>59</v>
      </c>
      <c r="AN24" t="str">
        <f t="shared" si="42"/>
        <v>steam</v>
      </c>
      <c r="AO24">
        <f t="shared" si="53"/>
        <v>0</v>
      </c>
      <c r="AP24">
        <f t="shared" si="54"/>
        <v>0</v>
      </c>
      <c r="AQ24">
        <f t="shared" si="55"/>
        <v>0</v>
      </c>
      <c r="AR24">
        <f t="shared" si="56"/>
        <v>0</v>
      </c>
      <c r="AS24">
        <f t="shared" si="57"/>
        <v>1</v>
      </c>
      <c r="AT24">
        <f t="shared" si="58"/>
        <v>0</v>
      </c>
      <c r="AU24">
        <f t="shared" si="59"/>
        <v>0</v>
      </c>
      <c r="AV24">
        <f t="shared" si="60"/>
        <v>0</v>
      </c>
      <c r="AW24">
        <f t="shared" si="12"/>
        <v>0</v>
      </c>
      <c r="CE24">
        <f>BW18+BZ18</f>
        <v>1197854.7333333336</v>
      </c>
      <c r="CF24">
        <f>CL18+CJ18</f>
        <v>1197854.7333333336</v>
      </c>
    </row>
    <row r="25" spans="1:114" ht="15.75" thickBot="1" x14ac:dyDescent="0.3">
      <c r="A25" s="5" t="s">
        <v>12</v>
      </c>
      <c r="B25">
        <f t="shared" si="43"/>
        <v>1</v>
      </c>
      <c r="C25">
        <f t="shared" si="44"/>
        <v>1</v>
      </c>
      <c r="D25">
        <f t="shared" si="45"/>
        <v>1</v>
      </c>
      <c r="E25">
        <f t="shared" si="46"/>
        <v>1</v>
      </c>
      <c r="F25">
        <f t="shared" si="47"/>
        <v>1</v>
      </c>
      <c r="G25">
        <f t="shared" si="48"/>
        <v>1</v>
      </c>
      <c r="H25">
        <f t="shared" si="49"/>
        <v>1</v>
      </c>
      <c r="I25">
        <f t="shared" si="50"/>
        <v>1</v>
      </c>
      <c r="J25">
        <f t="shared" si="51"/>
        <v>1</v>
      </c>
      <c r="K25">
        <f t="shared" si="52"/>
        <v>1</v>
      </c>
      <c r="O25">
        <f>R22-(F8/60)*10</f>
        <v>0</v>
      </c>
      <c r="R25">
        <f>R22-O25</f>
        <v>11983.333333333334</v>
      </c>
      <c r="AN25" t="str">
        <f t="shared" si="42"/>
        <v>total</v>
      </c>
      <c r="AO25">
        <f t="shared" si="53"/>
        <v>1</v>
      </c>
      <c r="AP25">
        <f t="shared" si="54"/>
        <v>1</v>
      </c>
      <c r="AQ25">
        <f t="shared" si="55"/>
        <v>1</v>
      </c>
      <c r="AR25">
        <f t="shared" si="56"/>
        <v>1</v>
      </c>
      <c r="AS25">
        <f t="shared" si="57"/>
        <v>1</v>
      </c>
      <c r="AT25">
        <f t="shared" si="58"/>
        <v>1</v>
      </c>
      <c r="AU25">
        <f t="shared" si="59"/>
        <v>1</v>
      </c>
      <c r="AV25">
        <f t="shared" si="60"/>
        <v>1</v>
      </c>
      <c r="AW25">
        <f t="shared" si="12"/>
        <v>1</v>
      </c>
    </row>
    <row r="26" spans="1:114" ht="18.75" x14ac:dyDescent="0.3">
      <c r="BH26" s="18" t="s">
        <v>119</v>
      </c>
      <c r="BL26" s="19" t="s">
        <v>121</v>
      </c>
      <c r="BM26" t="s">
        <v>122</v>
      </c>
      <c r="CF26">
        <f>CE24-CF24</f>
        <v>0</v>
      </c>
    </row>
    <row r="27" spans="1:114" ht="60.75" thickBot="1" x14ac:dyDescent="0.3">
      <c r="A27" s="11" t="s">
        <v>30</v>
      </c>
      <c r="N27" s="14" t="s">
        <v>61</v>
      </c>
      <c r="BH27">
        <f>CG7*10/BH2</f>
        <v>11983.333333333334</v>
      </c>
      <c r="BL27">
        <f>20</f>
        <v>20</v>
      </c>
      <c r="BM27">
        <f>BH27/BL27</f>
        <v>599.16666666666674</v>
      </c>
      <c r="BX27" t="s">
        <v>106</v>
      </c>
      <c r="BY27" t="s">
        <v>107</v>
      </c>
      <c r="BZ27" t="s">
        <v>108</v>
      </c>
      <c r="CA27" t="s">
        <v>109</v>
      </c>
      <c r="CB27" t="s">
        <v>110</v>
      </c>
      <c r="CC27" t="s">
        <v>111</v>
      </c>
      <c r="CD27" t="s">
        <v>112</v>
      </c>
      <c r="CE27" t="s">
        <v>113</v>
      </c>
      <c r="CF27" t="s">
        <v>114</v>
      </c>
      <c r="CG27" t="s">
        <v>115</v>
      </c>
      <c r="CH27" t="s">
        <v>116</v>
      </c>
      <c r="CI27" t="s">
        <v>117</v>
      </c>
      <c r="CJ27" t="s">
        <v>118</v>
      </c>
    </row>
    <row r="28" spans="1:114" ht="15.75" thickBot="1" x14ac:dyDescent="0.3">
      <c r="A28" s="5" t="s">
        <v>3</v>
      </c>
      <c r="B28">
        <f t="shared" ref="B28:K28" si="61">B4*10</f>
        <v>715000</v>
      </c>
      <c r="C28">
        <f t="shared" si="61"/>
        <v>0</v>
      </c>
      <c r="D28">
        <f t="shared" si="61"/>
        <v>0</v>
      </c>
      <c r="E28">
        <f t="shared" si="61"/>
        <v>0</v>
      </c>
      <c r="F28">
        <f t="shared" si="61"/>
        <v>0</v>
      </c>
      <c r="G28">
        <f t="shared" si="61"/>
        <v>0</v>
      </c>
      <c r="H28">
        <f t="shared" si="61"/>
        <v>0</v>
      </c>
      <c r="I28">
        <f t="shared" si="61"/>
        <v>0</v>
      </c>
      <c r="J28">
        <f t="shared" si="61"/>
        <v>0</v>
      </c>
      <c r="K28">
        <f t="shared" si="61"/>
        <v>0</v>
      </c>
      <c r="N28">
        <f>246.8*10</f>
        <v>2468</v>
      </c>
      <c r="BY28">
        <f>BW18*10</f>
        <v>2383335.0000000005</v>
      </c>
      <c r="BZ28">
        <f>BY28</f>
        <v>2383335.0000000005</v>
      </c>
      <c r="CA28">
        <f>BY18*10</f>
        <v>9595212.3333333358</v>
      </c>
      <c r="CB28">
        <f>CA28</f>
        <v>9595212.3333333358</v>
      </c>
      <c r="CC28">
        <f>CC18*10</f>
        <v>11974698.814591896</v>
      </c>
      <c r="CD28">
        <f>CC28</f>
        <v>11974698.814591896</v>
      </c>
      <c r="CE28">
        <f>CG18*10</f>
        <v>11978547.333333336</v>
      </c>
      <c r="CF28">
        <f>CE28</f>
        <v>11978547.333333336</v>
      </c>
      <c r="CG28">
        <f>CI18*10</f>
        <v>0</v>
      </c>
      <c r="CH28">
        <f>CG28</f>
        <v>0</v>
      </c>
      <c r="CI28">
        <f>CK18*10</f>
        <v>11978547.333333336</v>
      </c>
      <c r="CJ28">
        <f>CL18*10</f>
        <v>11978547.333333336</v>
      </c>
    </row>
    <row r="29" spans="1:114" ht="15.75" thickBot="1" x14ac:dyDescent="0.3">
      <c r="A29" s="5" t="s">
        <v>4</v>
      </c>
      <c r="B29">
        <f t="shared" ref="B29:K37" si="62">B5*10</f>
        <v>1528371</v>
      </c>
      <c r="C29">
        <f t="shared" si="62"/>
        <v>9595212.3333333358</v>
      </c>
      <c r="D29">
        <f t="shared" si="62"/>
        <v>9595212.3333333358</v>
      </c>
      <c r="E29">
        <f t="shared" si="62"/>
        <v>9595212.3333333358</v>
      </c>
      <c r="F29">
        <f t="shared" si="62"/>
        <v>11123469.333333334</v>
      </c>
      <c r="G29">
        <f t="shared" si="62"/>
        <v>11123469.333333334</v>
      </c>
      <c r="H29">
        <f t="shared" si="62"/>
        <v>0</v>
      </c>
      <c r="I29">
        <f t="shared" si="62"/>
        <v>3050000</v>
      </c>
      <c r="J29">
        <f t="shared" si="62"/>
        <v>8073469.333333334</v>
      </c>
      <c r="K29">
        <f t="shared" si="62"/>
        <v>8073469.333333334</v>
      </c>
      <c r="BY29">
        <f>BY28/1000</f>
        <v>2383.3350000000005</v>
      </c>
      <c r="BZ29">
        <f t="shared" ref="BZ29:CJ29" si="63">BZ28/1000</f>
        <v>2383.3350000000005</v>
      </c>
      <c r="CA29">
        <f t="shared" si="63"/>
        <v>9595.2123333333366</v>
      </c>
      <c r="CB29">
        <f t="shared" si="63"/>
        <v>9595.2123333333366</v>
      </c>
      <c r="CC29">
        <f t="shared" si="63"/>
        <v>11974.698814591895</v>
      </c>
      <c r="CD29">
        <f t="shared" si="63"/>
        <v>11974.698814591895</v>
      </c>
      <c r="CE29">
        <f t="shared" si="63"/>
        <v>11978.547333333336</v>
      </c>
      <c r="CF29">
        <f t="shared" si="63"/>
        <v>11978.547333333336</v>
      </c>
      <c r="CG29">
        <f t="shared" si="63"/>
        <v>0</v>
      </c>
      <c r="CH29">
        <f t="shared" si="63"/>
        <v>0</v>
      </c>
      <c r="CI29">
        <f t="shared" si="63"/>
        <v>11978.547333333336</v>
      </c>
      <c r="CJ29">
        <f t="shared" si="63"/>
        <v>11978.547333333336</v>
      </c>
    </row>
    <row r="30" spans="1:114" ht="15.75" thickBot="1" x14ac:dyDescent="0.3">
      <c r="A30" s="5" t="s">
        <v>5</v>
      </c>
      <c r="B30">
        <f t="shared" si="62"/>
        <v>115605</v>
      </c>
      <c r="C30">
        <f t="shared" si="62"/>
        <v>0</v>
      </c>
      <c r="D30">
        <f t="shared" si="62"/>
        <v>0</v>
      </c>
      <c r="E30">
        <f t="shared" si="62"/>
        <v>0</v>
      </c>
      <c r="F30">
        <f t="shared" si="62"/>
        <v>115605</v>
      </c>
      <c r="G30">
        <f t="shared" si="62"/>
        <v>115605</v>
      </c>
      <c r="H30">
        <f t="shared" si="62"/>
        <v>0</v>
      </c>
      <c r="I30">
        <f t="shared" si="62"/>
        <v>0</v>
      </c>
      <c r="J30">
        <f t="shared" si="62"/>
        <v>115605</v>
      </c>
      <c r="K30">
        <f t="shared" si="62"/>
        <v>115605</v>
      </c>
    </row>
    <row r="31" spans="1:114" ht="15.75" thickBot="1" x14ac:dyDescent="0.3">
      <c r="A31" s="5" t="s">
        <v>6</v>
      </c>
      <c r="B31">
        <f t="shared" si="62"/>
        <v>10686</v>
      </c>
      <c r="C31">
        <f t="shared" si="62"/>
        <v>0</v>
      </c>
      <c r="D31">
        <f t="shared" si="62"/>
        <v>0</v>
      </c>
      <c r="E31">
        <f t="shared" si="62"/>
        <v>0</v>
      </c>
      <c r="F31">
        <f t="shared" si="62"/>
        <v>10686</v>
      </c>
      <c r="G31">
        <f t="shared" si="62"/>
        <v>10686</v>
      </c>
      <c r="H31">
        <f t="shared" si="62"/>
        <v>0</v>
      </c>
      <c r="I31">
        <f t="shared" si="62"/>
        <v>0</v>
      </c>
      <c r="J31">
        <f t="shared" si="62"/>
        <v>10686</v>
      </c>
      <c r="K31">
        <f t="shared" si="62"/>
        <v>10686</v>
      </c>
    </row>
    <row r="32" spans="1:114" ht="15.75" thickBot="1" x14ac:dyDescent="0.3">
      <c r="A32" s="5" t="s">
        <v>7</v>
      </c>
      <c r="B32">
        <f t="shared" si="62"/>
        <v>3886</v>
      </c>
      <c r="C32">
        <f t="shared" si="62"/>
        <v>0</v>
      </c>
      <c r="D32">
        <f t="shared" si="62"/>
        <v>0</v>
      </c>
      <c r="E32">
        <f t="shared" si="62"/>
        <v>0</v>
      </c>
      <c r="F32">
        <f t="shared" si="62"/>
        <v>719000</v>
      </c>
      <c r="G32">
        <f t="shared" si="62"/>
        <v>719000</v>
      </c>
      <c r="H32">
        <f t="shared" si="62"/>
        <v>0</v>
      </c>
      <c r="I32">
        <f t="shared" si="62"/>
        <v>0</v>
      </c>
      <c r="J32">
        <f t="shared" si="62"/>
        <v>719000</v>
      </c>
      <c r="K32">
        <f t="shared" si="62"/>
        <v>719000</v>
      </c>
    </row>
    <row r="33" spans="1:86" ht="15.75" thickBot="1" x14ac:dyDescent="0.3">
      <c r="A33" s="5" t="s">
        <v>8</v>
      </c>
      <c r="B33">
        <f t="shared" si="62"/>
        <v>9715</v>
      </c>
      <c r="C33">
        <f t="shared" si="62"/>
        <v>0</v>
      </c>
      <c r="D33">
        <f t="shared" si="62"/>
        <v>0</v>
      </c>
      <c r="E33">
        <f t="shared" si="62"/>
        <v>0</v>
      </c>
      <c r="F33">
        <f t="shared" si="62"/>
        <v>9715</v>
      </c>
      <c r="G33">
        <f t="shared" si="62"/>
        <v>9715</v>
      </c>
      <c r="H33">
        <f t="shared" si="62"/>
        <v>0</v>
      </c>
      <c r="I33">
        <f t="shared" si="62"/>
        <v>0</v>
      </c>
      <c r="J33">
        <f t="shared" si="62"/>
        <v>9715</v>
      </c>
      <c r="K33">
        <f t="shared" si="62"/>
        <v>9715</v>
      </c>
    </row>
    <row r="34" spans="1:86" ht="15.75" thickBot="1" x14ac:dyDescent="0.3">
      <c r="A34" s="5" t="s">
        <v>9</v>
      </c>
      <c r="B34">
        <f t="shared" si="62"/>
        <v>72</v>
      </c>
      <c r="C34">
        <f t="shared" si="62"/>
        <v>25.418750000000003</v>
      </c>
      <c r="D34">
        <f t="shared" si="62"/>
        <v>25.418750000000003</v>
      </c>
      <c r="E34">
        <f t="shared" si="62"/>
        <v>25.418750000000003</v>
      </c>
      <c r="F34">
        <f t="shared" si="62"/>
        <v>97.418750000000003</v>
      </c>
      <c r="G34">
        <f t="shared" si="62"/>
        <v>97.418750000000003</v>
      </c>
      <c r="H34">
        <f t="shared" si="62"/>
        <v>0</v>
      </c>
      <c r="I34">
        <f t="shared" si="62"/>
        <v>0</v>
      </c>
      <c r="J34">
        <f t="shared" si="62"/>
        <v>97.418750000000003</v>
      </c>
      <c r="K34">
        <f t="shared" si="62"/>
        <v>97.418750000000003</v>
      </c>
    </row>
    <row r="35" spans="1:86" ht="30.75" thickBot="1" x14ac:dyDescent="0.3">
      <c r="A35" s="5" t="s">
        <v>10</v>
      </c>
      <c r="B35">
        <f t="shared" si="62"/>
        <v>0</v>
      </c>
      <c r="C35">
        <f t="shared" si="62"/>
        <v>727.69124999999985</v>
      </c>
      <c r="D35">
        <f t="shared" si="62"/>
        <v>727.69124999999985</v>
      </c>
      <c r="E35">
        <f t="shared" si="62"/>
        <v>727.69124999999985</v>
      </c>
      <c r="F35">
        <f t="shared" si="62"/>
        <v>727.69124999999985</v>
      </c>
      <c r="G35">
        <f t="shared" si="62"/>
        <v>727.69124999999985</v>
      </c>
      <c r="H35">
        <f t="shared" si="62"/>
        <v>0</v>
      </c>
      <c r="I35">
        <f t="shared" si="62"/>
        <v>0</v>
      </c>
      <c r="J35">
        <f t="shared" si="62"/>
        <v>727.69124999999985</v>
      </c>
      <c r="K35">
        <f t="shared" si="62"/>
        <v>727.69124999999985</v>
      </c>
      <c r="BZ35" t="s">
        <v>123</v>
      </c>
      <c r="CA35">
        <v>1</v>
      </c>
      <c r="CB35">
        <v>2</v>
      </c>
      <c r="CC35">
        <v>3</v>
      </c>
      <c r="CD35">
        <v>4</v>
      </c>
      <c r="CF35" t="s">
        <v>137</v>
      </c>
      <c r="CG35" t="s">
        <v>140</v>
      </c>
      <c r="CH35" t="s">
        <v>139</v>
      </c>
    </row>
    <row r="36" spans="1:86" ht="15.75" thickBot="1" x14ac:dyDescent="0.3">
      <c r="A36" s="5" t="s">
        <v>11</v>
      </c>
      <c r="B36">
        <f t="shared" si="62"/>
        <v>0</v>
      </c>
      <c r="C36">
        <f t="shared" si="62"/>
        <v>0</v>
      </c>
      <c r="D36">
        <f t="shared" si="62"/>
        <v>0</v>
      </c>
      <c r="E36">
        <f t="shared" si="62"/>
        <v>0</v>
      </c>
      <c r="F36">
        <f t="shared" si="62"/>
        <v>0</v>
      </c>
      <c r="G36">
        <f t="shared" si="62"/>
        <v>0</v>
      </c>
      <c r="H36">
        <f t="shared" si="62"/>
        <v>3050000</v>
      </c>
      <c r="I36">
        <f t="shared" si="62"/>
        <v>0</v>
      </c>
      <c r="J36">
        <f t="shared" si="62"/>
        <v>0</v>
      </c>
      <c r="K36">
        <f t="shared" si="62"/>
        <v>0</v>
      </c>
      <c r="BZ36" t="s">
        <v>124</v>
      </c>
      <c r="CA36">
        <f>BY28/10</f>
        <v>238333.50000000006</v>
      </c>
      <c r="CB36">
        <f>CA28/10</f>
        <v>959521.23333333363</v>
      </c>
      <c r="CC36">
        <f>CC28/10</f>
        <v>1197469.8814591896</v>
      </c>
      <c r="CD36">
        <f>CJ28/10</f>
        <v>1197854.7333333336</v>
      </c>
      <c r="CF36">
        <f>CG28/10</f>
        <v>0</v>
      </c>
      <c r="CG36" t="s">
        <v>141</v>
      </c>
      <c r="CH36">
        <f>2202.1*10^3*CJ3/3600</f>
        <v>0</v>
      </c>
    </row>
    <row r="37" spans="1:86" ht="15.75" thickBot="1" x14ac:dyDescent="0.3">
      <c r="A37" s="5" t="s">
        <v>12</v>
      </c>
      <c r="B37">
        <f t="shared" si="62"/>
        <v>2383335.0000000005</v>
      </c>
      <c r="C37">
        <f t="shared" si="62"/>
        <v>9595965.4433333352</v>
      </c>
      <c r="D37">
        <f t="shared" si="62"/>
        <v>9595965.4433333352</v>
      </c>
      <c r="E37">
        <f t="shared" si="62"/>
        <v>9595965.4433333352</v>
      </c>
      <c r="F37">
        <f t="shared" si="62"/>
        <v>11979300.443333335</v>
      </c>
      <c r="G37">
        <f t="shared" si="62"/>
        <v>11979300.443333335</v>
      </c>
      <c r="H37">
        <f t="shared" si="62"/>
        <v>3050000</v>
      </c>
      <c r="I37">
        <f t="shared" si="62"/>
        <v>3050000</v>
      </c>
      <c r="J37">
        <f t="shared" si="62"/>
        <v>8929300.4433333334</v>
      </c>
      <c r="K37">
        <f t="shared" si="62"/>
        <v>8929300.4433333334</v>
      </c>
      <c r="BZ37" t="s">
        <v>125</v>
      </c>
      <c r="CA37">
        <f>4*10^3</f>
        <v>4000</v>
      </c>
      <c r="CB37">
        <f>4.18*10^3</f>
        <v>4180</v>
      </c>
      <c r="CC37">
        <f>4180</f>
        <v>4180</v>
      </c>
      <c r="CD37">
        <f>4180</f>
        <v>4180</v>
      </c>
      <c r="CE37" t="s">
        <v>138</v>
      </c>
      <c r="CF37">
        <f>2256.4*10^3</f>
        <v>2256400</v>
      </c>
    </row>
    <row r="38" spans="1:86" x14ac:dyDescent="0.25">
      <c r="BZ38" t="s">
        <v>126</v>
      </c>
      <c r="CA38">
        <f>35</f>
        <v>35</v>
      </c>
      <c r="CB38">
        <v>70</v>
      </c>
      <c r="CC38">
        <v>35</v>
      </c>
      <c r="CD38">
        <v>85</v>
      </c>
    </row>
    <row r="39" spans="1:86" ht="30.75" thickBot="1" x14ac:dyDescent="0.3">
      <c r="A39" s="10" t="s">
        <v>15</v>
      </c>
      <c r="B39" t="s">
        <v>17</v>
      </c>
    </row>
    <row r="40" spans="1:86" ht="15.75" thickBot="1" x14ac:dyDescent="0.3">
      <c r="A40" s="5" t="s">
        <v>3</v>
      </c>
      <c r="BZ40" t="s">
        <v>135</v>
      </c>
      <c r="CA40">
        <f>CA$36*CA$37*CA$38/3600</f>
        <v>9268525.0000000019</v>
      </c>
      <c r="CB40">
        <f>CB$36*CB$37*CB$38/3600</f>
        <v>77987753.575925961</v>
      </c>
      <c r="CC40">
        <f>CC$36*CC$37*CC$38/3600</f>
        <v>48663845.460410953</v>
      </c>
      <c r="CD40">
        <f>CD$36*CD$37*CD$38/3600</f>
        <v>118221607.43148153</v>
      </c>
      <c r="CF40">
        <f>CF37*CF36/3600</f>
        <v>0</v>
      </c>
      <c r="CH40">
        <f>CH36</f>
        <v>0</v>
      </c>
    </row>
    <row r="41" spans="1:86" ht="15.75" thickBot="1" x14ac:dyDescent="0.3">
      <c r="A41" s="5" t="s">
        <v>4</v>
      </c>
      <c r="B41">
        <f>18.016*10^-3</f>
        <v>1.8015999999999997E-2</v>
      </c>
      <c r="BZ41" t="s">
        <v>136</v>
      </c>
      <c r="CA41">
        <f>CA40/10^6</f>
        <v>9.2685250000000021</v>
      </c>
      <c r="CB41">
        <f>CB40/10^6</f>
        <v>77.987753575925964</v>
      </c>
      <c r="CC41">
        <f t="shared" ref="CC41:CD41" si="64">CC40/10^6</f>
        <v>48.663845460410954</v>
      </c>
      <c r="CD41">
        <f t="shared" si="64"/>
        <v>118.22160743148153</v>
      </c>
      <c r="CF41">
        <f>CF40/10^6</f>
        <v>0</v>
      </c>
      <c r="CH41">
        <f>CH40/10^6</f>
        <v>0</v>
      </c>
    </row>
    <row r="42" spans="1:86" ht="15.75" thickBot="1" x14ac:dyDescent="0.3">
      <c r="A42" s="5" t="s">
        <v>5</v>
      </c>
    </row>
    <row r="43" spans="1:86" ht="15.75" thickBot="1" x14ac:dyDescent="0.3">
      <c r="A43" s="5" t="s">
        <v>6</v>
      </c>
    </row>
    <row r="44" spans="1:86" ht="15.75" thickBot="1" x14ac:dyDescent="0.3">
      <c r="A44" s="5" t="s">
        <v>7</v>
      </c>
      <c r="B44">
        <f>0.180156</f>
        <v>0.18015600000000001</v>
      </c>
    </row>
    <row r="45" spans="1:86" ht="15.75" thickBot="1" x14ac:dyDescent="0.3">
      <c r="A45" s="5" t="s">
        <v>8</v>
      </c>
    </row>
    <row r="46" spans="1:86" ht="15.75" thickBot="1" x14ac:dyDescent="0.3">
      <c r="A46" s="5" t="s">
        <v>9</v>
      </c>
      <c r="B46">
        <f>54</f>
        <v>54</v>
      </c>
    </row>
    <row r="47" spans="1:86" ht="30.75" thickBot="1" x14ac:dyDescent="0.3">
      <c r="A47" s="5" t="s">
        <v>10</v>
      </c>
      <c r="B47">
        <f>118.17</f>
        <v>118.17</v>
      </c>
    </row>
    <row r="48" spans="1:86" ht="15.75" thickBot="1" x14ac:dyDescent="0.3">
      <c r="A48" s="5" t="s">
        <v>11</v>
      </c>
      <c r="B48">
        <f>B41</f>
        <v>1.8015999999999997E-2</v>
      </c>
    </row>
  </sheetData>
  <mergeCells count="3">
    <mergeCell ref="A2:B2"/>
    <mergeCell ref="A3:B3"/>
    <mergeCell ref="AN2:AO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C15F-A9B5-4C0A-B064-92A1CA3ACB2F}">
  <dimension ref="A1:F11"/>
  <sheetViews>
    <sheetView workbookViewId="0">
      <selection activeCell="B11" sqref="B11"/>
    </sheetView>
  </sheetViews>
  <sheetFormatPr defaultRowHeight="15" x14ac:dyDescent="0.25"/>
  <sheetData>
    <row r="1" spans="1:6" x14ac:dyDescent="0.25">
      <c r="A1" t="s">
        <v>418</v>
      </c>
    </row>
    <row r="2" spans="1:6" x14ac:dyDescent="0.25">
      <c r="A2" t="s">
        <v>419</v>
      </c>
      <c r="B2" t="s">
        <v>420</v>
      </c>
      <c r="C2" t="s">
        <v>421</v>
      </c>
      <c r="E2" t="s">
        <v>422</v>
      </c>
      <c r="F2" t="s">
        <v>423</v>
      </c>
    </row>
    <row r="3" spans="1:6" x14ac:dyDescent="0.25">
      <c r="A3">
        <f>Sheet1!BW18/(985*3600)</f>
        <v>6.7211928934010165E-2</v>
      </c>
      <c r="B3">
        <f>Sheet1!BZ18/(985*3600)</f>
        <v>0.27059256439180301</v>
      </c>
      <c r="C3">
        <f>1000</f>
        <v>1000</v>
      </c>
      <c r="E3">
        <f>2</f>
        <v>2</v>
      </c>
      <c r="F3">
        <f>0.585*10^-3</f>
        <v>5.8500000000000002E-4</v>
      </c>
    </row>
    <row r="5" spans="1:6" x14ac:dyDescent="0.25">
      <c r="A5" t="s">
        <v>424</v>
      </c>
      <c r="B5" t="s">
        <v>425</v>
      </c>
    </row>
    <row r="6" spans="1:6" x14ac:dyDescent="0.25">
      <c r="A6">
        <f>A3*4*985/(2*PI()*C3)</f>
        <v>4.2146616254880274E-2</v>
      </c>
      <c r="B6">
        <f>B3*985*4/(PI()*F3*C3)</f>
        <v>580.10464306412894</v>
      </c>
    </row>
    <row r="9" spans="1:6" x14ac:dyDescent="0.25">
      <c r="A9" t="s">
        <v>426</v>
      </c>
      <c r="C9" t="s">
        <v>427</v>
      </c>
      <c r="D9" t="s">
        <v>428</v>
      </c>
    </row>
    <row r="10" spans="1:6" x14ac:dyDescent="0.25">
      <c r="A10" t="s">
        <v>424</v>
      </c>
      <c r="B10" t="s">
        <v>425</v>
      </c>
      <c r="C10">
        <f>985*A3*4/(PI()*A11*2)</f>
        <v>140.48872084960092</v>
      </c>
      <c r="D10">
        <f>985*B3*4/(F3*PI()*B11)</f>
        <v>1933682.1435470963</v>
      </c>
    </row>
    <row r="11" spans="1:6" x14ac:dyDescent="0.25">
      <c r="A11">
        <f>0.3</f>
        <v>0.3</v>
      </c>
      <c r="B11">
        <f>0.3</f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AC90-2570-49A3-9D8D-7858B39DD9E5}">
  <dimension ref="A1:BB97"/>
  <sheetViews>
    <sheetView tabSelected="1" topLeftCell="A43" zoomScale="84" zoomScaleNormal="84" workbookViewId="0">
      <selection activeCell="B46" sqref="B46"/>
    </sheetView>
  </sheetViews>
  <sheetFormatPr defaultRowHeight="15" x14ac:dyDescent="0.25"/>
  <cols>
    <col min="2" max="2" width="12" bestFit="1" customWidth="1"/>
    <col min="10" max="10" width="12" bestFit="1" customWidth="1"/>
    <col min="11" max="11" width="10" bestFit="1" customWidth="1"/>
    <col min="27" max="28" width="12.42578125" bestFit="1" customWidth="1"/>
  </cols>
  <sheetData>
    <row r="1" spans="1:54" ht="15.75" thickBot="1" x14ac:dyDescent="0.3">
      <c r="A1" s="8"/>
      <c r="B1" t="s">
        <v>150</v>
      </c>
      <c r="D1" s="7" t="s">
        <v>159</v>
      </c>
      <c r="G1" s="7" t="s">
        <v>160</v>
      </c>
      <c r="J1" s="14" t="s">
        <v>196</v>
      </c>
      <c r="S1" s="7" t="s">
        <v>174</v>
      </c>
      <c r="AL1" t="s">
        <v>244</v>
      </c>
    </row>
    <row r="2" spans="1:54" ht="39.75" thickBot="1" x14ac:dyDescent="0.3">
      <c r="A2" s="9" t="s">
        <v>154</v>
      </c>
      <c r="B2">
        <f>Sheet1!CL7</f>
        <v>71900</v>
      </c>
      <c r="D2" s="7" t="s">
        <v>157</v>
      </c>
      <c r="E2">
        <f>(B8/B6)*B4/B7</f>
        <v>2396.666666666667</v>
      </c>
      <c r="G2" s="7" t="s">
        <v>161</v>
      </c>
      <c r="H2">
        <f>608</f>
        <v>608</v>
      </c>
      <c r="J2" s="7" t="s">
        <v>175</v>
      </c>
      <c r="M2" s="7" t="s">
        <v>169</v>
      </c>
      <c r="S2" s="7" t="s">
        <v>173</v>
      </c>
      <c r="AG2" t="s">
        <v>192</v>
      </c>
      <c r="AI2" t="s">
        <v>195</v>
      </c>
      <c r="AK2" s="25" t="s">
        <v>245</v>
      </c>
      <c r="AP2" t="s">
        <v>255</v>
      </c>
      <c r="AW2" t="s">
        <v>268</v>
      </c>
      <c r="BB2" t="s">
        <v>278</v>
      </c>
    </row>
    <row r="3" spans="1:54" ht="15.75" thickBot="1" x14ac:dyDescent="0.3">
      <c r="A3" s="9" t="s">
        <v>151</v>
      </c>
      <c r="B3">
        <v>10</v>
      </c>
      <c r="D3" s="7" t="s">
        <v>158</v>
      </c>
      <c r="E3">
        <f>B2*B7/B6*B5/B7</f>
        <v>9586.6666666666679</v>
      </c>
      <c r="G3" s="7" t="s">
        <v>162</v>
      </c>
      <c r="H3">
        <f>608</f>
        <v>608</v>
      </c>
      <c r="I3" s="14" t="s">
        <v>197</v>
      </c>
      <c r="J3" s="21" t="s">
        <v>176</v>
      </c>
      <c r="K3" s="21" t="s">
        <v>177</v>
      </c>
      <c r="L3" s="22"/>
      <c r="M3" s="24" t="s">
        <v>170</v>
      </c>
      <c r="N3" s="24" t="s">
        <v>171</v>
      </c>
      <c r="O3" s="21" t="s">
        <v>186</v>
      </c>
      <c r="P3" s="21" t="s">
        <v>172</v>
      </c>
      <c r="Q3" s="22"/>
      <c r="R3" s="21" t="s">
        <v>179</v>
      </c>
      <c r="S3" s="21" t="s">
        <v>178</v>
      </c>
      <c r="T3" s="21" t="s">
        <v>180</v>
      </c>
      <c r="U3" s="21" t="s">
        <v>181</v>
      </c>
      <c r="V3" s="21" t="s">
        <v>182</v>
      </c>
      <c r="W3" s="21" t="s">
        <v>183</v>
      </c>
      <c r="X3" s="22"/>
      <c r="Y3" s="21" t="s">
        <v>184</v>
      </c>
      <c r="Z3" s="21" t="s">
        <v>185</v>
      </c>
      <c r="AA3" s="21" t="s">
        <v>187</v>
      </c>
      <c r="AB3" s="21" t="s">
        <v>188</v>
      </c>
      <c r="AD3" s="21" t="s">
        <v>189</v>
      </c>
      <c r="AE3" s="21" t="s">
        <v>190</v>
      </c>
      <c r="AF3" s="21" t="s">
        <v>191</v>
      </c>
      <c r="AG3" s="21" t="s">
        <v>193</v>
      </c>
      <c r="AH3" s="24" t="s">
        <v>194</v>
      </c>
      <c r="AK3" s="25" t="s">
        <v>246</v>
      </c>
      <c r="AL3">
        <f>M4</f>
        <v>9.1820129152742869</v>
      </c>
      <c r="AP3" t="s">
        <v>261</v>
      </c>
      <c r="AW3" s="25" t="s">
        <v>269</v>
      </c>
      <c r="AX3">
        <f>AM7</f>
        <v>0.60601285240810299</v>
      </c>
      <c r="BB3" t="s">
        <v>279</v>
      </c>
    </row>
    <row r="4" spans="1:54" ht="39.75" thickBot="1" x14ac:dyDescent="0.3">
      <c r="A4" s="9" t="s">
        <v>152</v>
      </c>
      <c r="B4">
        <v>2</v>
      </c>
      <c r="D4" s="7" t="s">
        <v>205</v>
      </c>
      <c r="E4" t="s">
        <v>204</v>
      </c>
      <c r="I4">
        <f>4.18*10^3</f>
        <v>4180</v>
      </c>
      <c r="J4">
        <f>2</f>
        <v>2</v>
      </c>
      <c r="K4">
        <f>985</f>
        <v>985</v>
      </c>
      <c r="M4">
        <f>((4*H2)/(PI()*P4))^(1/3)</f>
        <v>9.1820129152742869</v>
      </c>
      <c r="N4">
        <f>M4*P4</f>
        <v>9.1820129152742869</v>
      </c>
      <c r="O4">
        <f>2</f>
        <v>2</v>
      </c>
      <c r="P4">
        <v>1</v>
      </c>
      <c r="R4">
        <v>0.33</v>
      </c>
      <c r="S4">
        <f>1.3*O4</f>
        <v>2.6</v>
      </c>
      <c r="T4">
        <f>R4*M4</f>
        <v>3.0300642620405149</v>
      </c>
      <c r="U4">
        <f>5000</f>
        <v>5000</v>
      </c>
      <c r="V4">
        <f>J4*U4/(K4*T4^2)</f>
        <v>1.1057580026254201</v>
      </c>
      <c r="W4" s="23">
        <f>V4*60</f>
        <v>66.345480157525202</v>
      </c>
      <c r="Y4">
        <f>S4*K4*V4^3*T4^5</f>
        <v>884400.63920543389</v>
      </c>
      <c r="Z4">
        <f>Y4/O4</f>
        <v>442200.31960271695</v>
      </c>
      <c r="AA4">
        <f>((S4*K4*T4^5)^(-1)*Z4)^(1/5)</f>
        <v>0.92467700050060142</v>
      </c>
      <c r="AB4">
        <f>AA4*60</f>
        <v>55.480620030036086</v>
      </c>
      <c r="AC4">
        <f>(AB4+W4)/2</f>
        <v>60.91305009378064</v>
      </c>
      <c r="AD4">
        <f>M4*0.1</f>
        <v>0.91820129152742869</v>
      </c>
      <c r="AF4">
        <f>0.33*M4</f>
        <v>3.0300642620405149</v>
      </c>
      <c r="AG4">
        <f>0.2*T4</f>
        <v>0.60601285240810299</v>
      </c>
      <c r="AH4" s="20">
        <f>0.25*T4</f>
        <v>0.75751606551012873</v>
      </c>
      <c r="AK4" s="25" t="s">
        <v>247</v>
      </c>
      <c r="AL4">
        <f>N5</f>
        <v>10.100214206801718</v>
      </c>
      <c r="AP4" s="25" t="s">
        <v>263</v>
      </c>
      <c r="AQ4">
        <f>16</f>
        <v>16</v>
      </c>
      <c r="AW4" s="25" t="s">
        <v>248</v>
      </c>
      <c r="AX4">
        <f>AM5</f>
        <v>3.0300642620405149</v>
      </c>
    </row>
    <row r="5" spans="1:54" ht="52.5" thickBot="1" x14ac:dyDescent="0.3">
      <c r="A5" s="9" t="s">
        <v>153</v>
      </c>
      <c r="B5">
        <v>8</v>
      </c>
      <c r="D5">
        <f>($B$2*$B$7)/($E$2+$B$3*E5)</f>
        <v>53.670067180890761</v>
      </c>
      <c r="E5">
        <f>1100</f>
        <v>1100</v>
      </c>
      <c r="M5" t="s">
        <v>429</v>
      </c>
      <c r="N5">
        <f>H2*1.1*4/(PI()*M4^2)</f>
        <v>10.100214206801718</v>
      </c>
      <c r="Y5">
        <f>Y4/10^6</f>
        <v>0.88440063920543388</v>
      </c>
      <c r="Z5">
        <f>Y5*4</f>
        <v>3.5376025568217355</v>
      </c>
      <c r="AH5" s="20"/>
      <c r="AK5" s="25" t="s">
        <v>248</v>
      </c>
      <c r="AM5">
        <f>T4</f>
        <v>3.0300642620405149</v>
      </c>
      <c r="AP5" s="25" t="s">
        <v>264</v>
      </c>
      <c r="AQ5">
        <f>0.5*AL3/10.69</f>
        <v>0.42946739547587875</v>
      </c>
      <c r="AW5" s="25" t="s">
        <v>270</v>
      </c>
      <c r="AX5">
        <f>3*10^-3</f>
        <v>3.0000000000000001E-3</v>
      </c>
    </row>
    <row r="6" spans="1:54" ht="52.5" thickBot="1" x14ac:dyDescent="0.3">
      <c r="A6" s="9" t="s">
        <v>155</v>
      </c>
      <c r="B6">
        <f>60</f>
        <v>60</v>
      </c>
      <c r="D6">
        <f t="shared" ref="D6:D8" si="0">($B$2*$B$7)/($E$2+$B$3*E6)</f>
        <v>59.999998331015348</v>
      </c>
      <c r="E6">
        <f>958.6667</f>
        <v>958.66669999999999</v>
      </c>
      <c r="J6" s="14" t="s">
        <v>198</v>
      </c>
      <c r="K6" t="s">
        <v>199</v>
      </c>
      <c r="M6" t="s">
        <v>200</v>
      </c>
      <c r="N6" t="s">
        <v>201</v>
      </c>
      <c r="O6" t="s">
        <v>202</v>
      </c>
      <c r="AK6" s="25" t="s">
        <v>249</v>
      </c>
      <c r="AM6">
        <f>AD4</f>
        <v>0.91820129152742869</v>
      </c>
      <c r="AP6" s="25" t="s">
        <v>265</v>
      </c>
      <c r="AQ6">
        <f>2.21*AL4/10.69</f>
        <v>2.0880704768037233</v>
      </c>
      <c r="AW6" s="25" t="s">
        <v>271</v>
      </c>
      <c r="AX6">
        <f>AM9</f>
        <v>0.56177591496594881</v>
      </c>
    </row>
    <row r="7" spans="1:54" ht="27" thickBot="1" x14ac:dyDescent="0.3">
      <c r="A7" s="9" t="s">
        <v>143</v>
      </c>
      <c r="B7">
        <f>SUM(B4:B5)</f>
        <v>10</v>
      </c>
      <c r="D7">
        <f t="shared" si="0"/>
        <v>59.437861669881507</v>
      </c>
      <c r="E7">
        <f>970</f>
        <v>970</v>
      </c>
      <c r="J7">
        <f>K4*H2*(90-55)*I4</f>
        <v>87616144000</v>
      </c>
      <c r="K7">
        <f>1.5*J7</f>
        <v>131424216000</v>
      </c>
      <c r="L7">
        <f>K7/(B4*3600)</f>
        <v>18253363.333333332</v>
      </c>
      <c r="M7">
        <f>L7/10^6</f>
        <v>18.253363333333333</v>
      </c>
      <c r="O7">
        <f>2.147*10^3</f>
        <v>2147</v>
      </c>
      <c r="AK7" s="25" t="s">
        <v>250</v>
      </c>
      <c r="AM7">
        <f>AG4</f>
        <v>0.60601285240810299</v>
      </c>
      <c r="AP7" s="25" t="s">
        <v>266</v>
      </c>
      <c r="AQ7">
        <f>50*AL4/10.69</f>
        <v>47.241413502346674</v>
      </c>
      <c r="AW7" s="25" t="s">
        <v>272</v>
      </c>
      <c r="AX7">
        <f>AL16</f>
        <v>3.6958941774075582E-3</v>
      </c>
    </row>
    <row r="8" spans="1:54" ht="39.75" thickBot="1" x14ac:dyDescent="0.3">
      <c r="A8" s="9" t="s">
        <v>156</v>
      </c>
      <c r="B8">
        <f>B2*B7</f>
        <v>719000</v>
      </c>
      <c r="D8">
        <f t="shared" si="0"/>
        <v>58.950532932495214</v>
      </c>
      <c r="E8">
        <f>980</f>
        <v>980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AK8" s="25" t="s">
        <v>251</v>
      </c>
      <c r="AM8">
        <f>0.02*M4</f>
        <v>0.18364025830548575</v>
      </c>
      <c r="AP8" s="25" t="s">
        <v>263</v>
      </c>
      <c r="AQ8">
        <f>16</f>
        <v>16</v>
      </c>
      <c r="AW8" s="25" t="s">
        <v>257</v>
      </c>
      <c r="AX8">
        <f>AL12</f>
        <v>6.3226801162777413</v>
      </c>
    </row>
    <row r="9" spans="1:54" ht="15.75" thickBot="1" x14ac:dyDescent="0.3">
      <c r="A9" s="9"/>
      <c r="J9" s="14" t="s">
        <v>203</v>
      </c>
      <c r="AK9" s="25" t="s">
        <v>252</v>
      </c>
      <c r="AM9">
        <f>(1.33*Y5*(10^3)*10^6/(0.1*W4))^(1/3)*10^-3</f>
        <v>0.56177591496594881</v>
      </c>
      <c r="AW9" s="25" t="s">
        <v>273</v>
      </c>
      <c r="AX9">
        <f>AL13</f>
        <v>0.10100214206801718</v>
      </c>
    </row>
    <row r="10" spans="1:54" ht="15.75" thickBot="1" x14ac:dyDescent="0.3">
      <c r="A10" s="9"/>
      <c r="I10" s="14" t="s">
        <v>197</v>
      </c>
      <c r="J10" s="21" t="s">
        <v>176</v>
      </c>
      <c r="K10" s="21" t="s">
        <v>177</v>
      </c>
      <c r="L10" s="22"/>
      <c r="M10" s="21" t="s">
        <v>170</v>
      </c>
      <c r="N10" s="21" t="s">
        <v>171</v>
      </c>
      <c r="O10" s="21" t="s">
        <v>186</v>
      </c>
      <c r="P10" s="21" t="s">
        <v>172</v>
      </c>
      <c r="Q10" s="22"/>
      <c r="R10" s="21" t="s">
        <v>179</v>
      </c>
      <c r="S10" s="21" t="s">
        <v>178</v>
      </c>
      <c r="T10" s="21" t="s">
        <v>180</v>
      </c>
      <c r="U10" s="21" t="s">
        <v>181</v>
      </c>
      <c r="V10" s="21" t="s">
        <v>182</v>
      </c>
      <c r="W10" s="21" t="s">
        <v>183</v>
      </c>
      <c r="X10" s="22"/>
      <c r="Y10" s="21" t="s">
        <v>184</v>
      </c>
      <c r="Z10" s="21" t="s">
        <v>185</v>
      </c>
      <c r="AA10" s="21" t="s">
        <v>187</v>
      </c>
      <c r="AB10" s="21" t="s">
        <v>188</v>
      </c>
      <c r="AD10" s="21" t="s">
        <v>189</v>
      </c>
      <c r="AE10" s="21" t="s">
        <v>190</v>
      </c>
      <c r="AF10" s="21" t="s">
        <v>191</v>
      </c>
      <c r="AG10" s="21" t="s">
        <v>193</v>
      </c>
      <c r="AH10" s="21" t="s">
        <v>194</v>
      </c>
      <c r="AK10" s="21" t="s">
        <v>253</v>
      </c>
      <c r="AM10">
        <f>AF4</f>
        <v>3.0300642620405149</v>
      </c>
      <c r="AP10" s="25" t="s">
        <v>267</v>
      </c>
      <c r="AQ10">
        <f>Z13</f>
        <v>28.300820454573884</v>
      </c>
      <c r="AW10" s="25" t="s">
        <v>249</v>
      </c>
      <c r="AX10">
        <f>AM6</f>
        <v>0.91820129152742869</v>
      </c>
    </row>
    <row r="11" spans="1:54" x14ac:dyDescent="0.25">
      <c r="I11">
        <f>4.18*10^3</f>
        <v>4180</v>
      </c>
      <c r="J11">
        <f>2</f>
        <v>2</v>
      </c>
      <c r="K11">
        <f>985</f>
        <v>985</v>
      </c>
      <c r="M11">
        <f>((4*H3)/(PI()*P11))^(1/3)</f>
        <v>9.1820129152742869</v>
      </c>
      <c r="N11">
        <f>M11*P11</f>
        <v>9.1820129152742869</v>
      </c>
      <c r="O11">
        <f>4</f>
        <v>4</v>
      </c>
      <c r="P11">
        <f>1</f>
        <v>1</v>
      </c>
      <c r="R11">
        <v>0.33</v>
      </c>
      <c r="S11">
        <f>1.3*O11</f>
        <v>5.2</v>
      </c>
      <c r="T11">
        <f>R11*M11</f>
        <v>3.0300642620405149</v>
      </c>
      <c r="U11">
        <f>5*10^3</f>
        <v>5000</v>
      </c>
      <c r="V11">
        <f>J11*U11/(K11*T11^2)</f>
        <v>1.1057580026254201</v>
      </c>
      <c r="W11" s="20">
        <f>V11*60</f>
        <v>66.345480157525202</v>
      </c>
      <c r="Y11">
        <f>S11*K11*V11^3*T11^5</f>
        <v>1768801.2784108678</v>
      </c>
      <c r="Z11">
        <f>Y11/O11</f>
        <v>442200.31960271695</v>
      </c>
      <c r="AA11">
        <f>((S11*K11*T11^5)^(-1)*Z11)^(1/5)</f>
        <v>0.80497808365276902</v>
      </c>
      <c r="AB11">
        <f>AA11*60</f>
        <v>48.298685019166143</v>
      </c>
      <c r="AC11">
        <f>(AB11+W11)/2</f>
        <v>57.322082588345673</v>
      </c>
      <c r="AD11">
        <f>M11*0.1</f>
        <v>0.91820129152742869</v>
      </c>
      <c r="AF11">
        <f>0.33*M11</f>
        <v>3.0300642620405149</v>
      </c>
      <c r="AG11">
        <f>0.2*T11</f>
        <v>0.60601285240810299</v>
      </c>
      <c r="AH11">
        <f>0.25*T11</f>
        <v>0.75751606551012873</v>
      </c>
      <c r="AK11" s="25" t="s">
        <v>256</v>
      </c>
      <c r="AL11">
        <f>(5*10^5)*AL3/(2*380*10^6)*10</f>
        <v>6.0407979705751888E-2</v>
      </c>
      <c r="AW11" s="25" t="s">
        <v>256</v>
      </c>
      <c r="AX11">
        <f>AL11</f>
        <v>6.0407979705751888E-2</v>
      </c>
    </row>
    <row r="12" spans="1:54" x14ac:dyDescent="0.25">
      <c r="AK12" s="25" t="s">
        <v>257</v>
      </c>
      <c r="AL12">
        <f>(AL3/10.69)*B71</f>
        <v>6.3226801162777413</v>
      </c>
      <c r="AW12" s="25" t="s">
        <v>274</v>
      </c>
      <c r="AX12">
        <f>AM10</f>
        <v>3.0300642620405149</v>
      </c>
    </row>
    <row r="13" spans="1:54" x14ac:dyDescent="0.25">
      <c r="I13" s="14"/>
      <c r="J13" s="14"/>
      <c r="K13" s="14"/>
      <c r="L13" s="14"/>
      <c r="M13" s="14"/>
      <c r="O13" s="14"/>
      <c r="Y13">
        <f>Y11/10^6</f>
        <v>1.7688012784108678</v>
      </c>
      <c r="Z13">
        <f>Y13*16</f>
        <v>28.300820454573884</v>
      </c>
      <c r="AA13">
        <f>(Z13*10^3)*3600</f>
        <v>101882953.63646598</v>
      </c>
      <c r="AB13">
        <f>AA13*8000</f>
        <v>815063629091.72791</v>
      </c>
      <c r="AC13">
        <f>AB13/(365*24*3600)</f>
        <v>25845.498132030945</v>
      </c>
      <c r="AK13" s="25" t="s">
        <v>249</v>
      </c>
      <c r="AL13">
        <f>AL4/100</f>
        <v>0.10100214206801718</v>
      </c>
      <c r="AW13" s="25" t="s">
        <v>275</v>
      </c>
      <c r="AX13">
        <f>AM8</f>
        <v>0.18364025830548575</v>
      </c>
    </row>
    <row r="14" spans="1:54" x14ac:dyDescent="0.25">
      <c r="AK14" s="25" t="s">
        <v>258</v>
      </c>
      <c r="AL14">
        <f>3*10^-3</f>
        <v>3.0000000000000001E-3</v>
      </c>
      <c r="AW14" s="25" t="s">
        <v>276</v>
      </c>
      <c r="AX14">
        <f>4</f>
        <v>4</v>
      </c>
    </row>
    <row r="15" spans="1:54" x14ac:dyDescent="0.25">
      <c r="K15" s="14"/>
      <c r="U15" t="s">
        <v>206</v>
      </c>
      <c r="AK15" s="25" t="s">
        <v>259</v>
      </c>
      <c r="AL15">
        <f>300</f>
        <v>300</v>
      </c>
      <c r="AW15" s="25" t="s">
        <v>277</v>
      </c>
      <c r="AX15">
        <f>AL15</f>
        <v>300</v>
      </c>
    </row>
    <row r="16" spans="1:54" x14ac:dyDescent="0.25">
      <c r="AK16" s="25" t="s">
        <v>260</v>
      </c>
      <c r="AL16">
        <f>(5*AM9*10^5)/(2*380*10^6)*10</f>
        <v>3.6958941774075582E-3</v>
      </c>
      <c r="AW16" s="25" t="s">
        <v>383</v>
      </c>
      <c r="AX16">
        <f>AL3-1</f>
        <v>8.1820129152742869</v>
      </c>
    </row>
    <row r="17" spans="37:52" x14ac:dyDescent="0.25">
      <c r="AK17" s="25" t="s">
        <v>262</v>
      </c>
      <c r="AL17">
        <f>4</f>
        <v>4</v>
      </c>
    </row>
    <row r="18" spans="37:52" x14ac:dyDescent="0.25">
      <c r="AK18" s="25" t="s">
        <v>382</v>
      </c>
      <c r="AL18">
        <f>5.096*AL4/(6.732)</f>
        <v>7.6456761137643428</v>
      </c>
    </row>
    <row r="19" spans="37:52" x14ac:dyDescent="0.25">
      <c r="AK19" t="s">
        <v>254</v>
      </c>
      <c r="AL19">
        <f>Z5</f>
        <v>3.5376025568217355</v>
      </c>
    </row>
    <row r="20" spans="37:52" x14ac:dyDescent="0.25">
      <c r="AK20" s="25"/>
    </row>
    <row r="21" spans="37:52" x14ac:dyDescent="0.25">
      <c r="AK21" s="25" t="s">
        <v>245</v>
      </c>
      <c r="AY21" t="s">
        <v>255</v>
      </c>
    </row>
    <row r="22" spans="37:52" x14ac:dyDescent="0.25">
      <c r="AK22" s="25" t="s">
        <v>385</v>
      </c>
      <c r="AR22" t="s">
        <v>450</v>
      </c>
      <c r="AY22" t="s">
        <v>395</v>
      </c>
      <c r="AZ22">
        <f>AQ5</f>
        <v>0.42946739547587875</v>
      </c>
    </row>
    <row r="23" spans="37:52" x14ac:dyDescent="0.25">
      <c r="AK23" s="7" t="s">
        <v>386</v>
      </c>
      <c r="AM23" s="7" t="s">
        <v>390</v>
      </c>
      <c r="AO23" s="7" t="s">
        <v>392</v>
      </c>
      <c r="AQ23" s="7" t="s">
        <v>393</v>
      </c>
      <c r="AR23">
        <f>AR24+(N5-N4)</f>
        <v>9.1002142068017182</v>
      </c>
      <c r="AS23" s="7" t="s">
        <v>275</v>
      </c>
      <c r="AT23" s="7" t="s">
        <v>256</v>
      </c>
      <c r="AU23" s="7" t="s">
        <v>247</v>
      </c>
      <c r="AV23" s="7" t="s">
        <v>246</v>
      </c>
      <c r="AY23" s="19" t="s">
        <v>396</v>
      </c>
      <c r="AZ23">
        <f>AQ6</f>
        <v>2.0880704768037233</v>
      </c>
    </row>
    <row r="24" spans="37:52" x14ac:dyDescent="0.25">
      <c r="AK24" t="s">
        <v>387</v>
      </c>
      <c r="AL24">
        <f>AM6</f>
        <v>0.91820129152742869</v>
      </c>
      <c r="AM24" t="s">
        <v>391</v>
      </c>
      <c r="AN24">
        <f>300</f>
        <v>300</v>
      </c>
      <c r="AO24" t="s">
        <v>246</v>
      </c>
      <c r="AP24">
        <f>AM5</f>
        <v>3.0300642620405149</v>
      </c>
      <c r="AQ24" t="s">
        <v>388</v>
      </c>
      <c r="AR24">
        <f>AL3-1</f>
        <v>8.1820129152742869</v>
      </c>
      <c r="AS24">
        <f>AM8</f>
        <v>0.18364025830548575</v>
      </c>
      <c r="AT24">
        <f>AL11</f>
        <v>6.0407979705751888E-2</v>
      </c>
      <c r="AU24">
        <f>AL4</f>
        <v>10.100214206801718</v>
      </c>
      <c r="AV24">
        <f>AL3</f>
        <v>9.1820129152742869</v>
      </c>
      <c r="AY24" t="s">
        <v>397</v>
      </c>
      <c r="AZ24">
        <f>AQ7</f>
        <v>47.241413502346674</v>
      </c>
    </row>
    <row r="25" spans="37:52" x14ac:dyDescent="0.25">
      <c r="AK25" t="s">
        <v>388</v>
      </c>
      <c r="AL25">
        <f>AL12</f>
        <v>6.3226801162777413</v>
      </c>
      <c r="AO25" t="s">
        <v>387</v>
      </c>
      <c r="AP25">
        <f>AM7</f>
        <v>0.60601285240810299</v>
      </c>
      <c r="AQ25" t="s">
        <v>246</v>
      </c>
      <c r="AR25">
        <f>AX6</f>
        <v>0.56177591496594881</v>
      </c>
    </row>
    <row r="26" spans="37:52" x14ac:dyDescent="0.25">
      <c r="AK26" t="s">
        <v>389</v>
      </c>
      <c r="AL26">
        <f>AL13</f>
        <v>0.10100214206801718</v>
      </c>
      <c r="AO26" t="s">
        <v>389</v>
      </c>
      <c r="AP26">
        <f>AL14</f>
        <v>3.0000000000000001E-3</v>
      </c>
      <c r="AQ26" t="s">
        <v>389</v>
      </c>
      <c r="AR26">
        <f>AX7</f>
        <v>3.6958941774075582E-3</v>
      </c>
    </row>
    <row r="28" spans="37:52" x14ac:dyDescent="0.25">
      <c r="AL28" t="s">
        <v>394</v>
      </c>
    </row>
    <row r="34" spans="1:46" x14ac:dyDescent="0.25">
      <c r="AO34">
        <f>9.18*0.53/6.732</f>
        <v>0.72272727272727277</v>
      </c>
      <c r="AP34">
        <f>5.096*9.18/6.732</f>
        <v>6.9490909090909092</v>
      </c>
      <c r="AQ34">
        <f>0.53*9.18/6.732</f>
        <v>0.72272727272727277</v>
      </c>
      <c r="AR34">
        <f>0.143*9.18/6.732</f>
        <v>0.19499999999999995</v>
      </c>
      <c r="AS34">
        <f>0.096*9.18/6.732</f>
        <v>0.13090909090909089</v>
      </c>
      <c r="AT34">
        <f>0.24*9.18/6.732</f>
        <v>0.32727272727272722</v>
      </c>
    </row>
    <row r="37" spans="1:46" x14ac:dyDescent="0.25">
      <c r="AB37" t="s">
        <v>490</v>
      </c>
    </row>
    <row r="38" spans="1:46" x14ac:dyDescent="0.25">
      <c r="AB38">
        <f>PI()</f>
        <v>3.1415926535897931</v>
      </c>
    </row>
    <row r="39" spans="1:46" x14ac:dyDescent="0.25">
      <c r="AQ39">
        <f>0.144*9.18/6.732</f>
        <v>0.19636363636363632</v>
      </c>
      <c r="AR39">
        <f>0.06*9.18/6.732</f>
        <v>8.1818181818181804E-2</v>
      </c>
    </row>
    <row r="40" spans="1:46" x14ac:dyDescent="0.25">
      <c r="A40" s="7" t="s">
        <v>280</v>
      </c>
      <c r="B40" t="s">
        <v>281</v>
      </c>
      <c r="H40" t="s">
        <v>281</v>
      </c>
      <c r="M40" t="s">
        <v>282</v>
      </c>
      <c r="T40" t="s">
        <v>282</v>
      </c>
      <c r="X40" t="s">
        <v>282</v>
      </c>
    </row>
    <row r="41" spans="1:46" x14ac:dyDescent="0.25">
      <c r="A41" s="7" t="s">
        <v>283</v>
      </c>
      <c r="G41" s="7" t="s">
        <v>284</v>
      </c>
      <c r="M41" s="7" t="s">
        <v>285</v>
      </c>
      <c r="T41" s="7" t="s">
        <v>217</v>
      </c>
      <c r="X41" s="7" t="s">
        <v>286</v>
      </c>
    </row>
    <row r="42" spans="1:46" x14ac:dyDescent="0.25">
      <c r="M42" s="20" t="s">
        <v>287</v>
      </c>
      <c r="N42" s="20" t="s">
        <v>288</v>
      </c>
      <c r="O42" s="20" t="s">
        <v>289</v>
      </c>
      <c r="P42" s="20" t="s">
        <v>194</v>
      </c>
      <c r="Q42" s="20" t="s">
        <v>290</v>
      </c>
      <c r="R42" s="20" t="s">
        <v>291</v>
      </c>
      <c r="S42" s="20" t="s">
        <v>292</v>
      </c>
      <c r="T42" s="20" t="s">
        <v>293</v>
      </c>
      <c r="U42" s="20" t="s">
        <v>294</v>
      </c>
      <c r="X42" s="20" t="s">
        <v>287</v>
      </c>
      <c r="Y42" s="20" t="s">
        <v>288</v>
      </c>
      <c r="Z42" s="20" t="s">
        <v>289</v>
      </c>
      <c r="AA42" s="20" t="s">
        <v>194</v>
      </c>
      <c r="AB42" s="20" t="s">
        <v>290</v>
      </c>
      <c r="AC42" s="20" t="s">
        <v>291</v>
      </c>
      <c r="AD42" s="20" t="s">
        <v>292</v>
      </c>
      <c r="AT42">
        <f>0.27*9.18/10.69</f>
        <v>0.23186155285313378</v>
      </c>
    </row>
    <row r="43" spans="1:46" x14ac:dyDescent="0.25">
      <c r="A43" t="s">
        <v>295</v>
      </c>
      <c r="B43" t="s">
        <v>296</v>
      </c>
      <c r="C43" t="s">
        <v>297</v>
      </c>
      <c r="G43" t="s">
        <v>295</v>
      </c>
      <c r="I43" t="s">
        <v>298</v>
      </c>
      <c r="M43">
        <f>39.36*10^6</f>
        <v>39360000</v>
      </c>
      <c r="N43">
        <f>94*10^-3</f>
        <v>9.4E-2</v>
      </c>
      <c r="O43">
        <f>88*10^-3</f>
        <v>8.7999999999999995E-2</v>
      </c>
      <c r="P43">
        <v>8</v>
      </c>
      <c r="Q43">
        <f>500</f>
        <v>500</v>
      </c>
      <c r="R43">
        <f>4</f>
        <v>4</v>
      </c>
      <c r="S43">
        <f>7*10^5</f>
        <v>700000</v>
      </c>
      <c r="T43">
        <f>2284.03</f>
        <v>2284.0300000000002</v>
      </c>
      <c r="U43">
        <f>1.37</f>
        <v>1.37</v>
      </c>
      <c r="X43">
        <f>28.75*10^6</f>
        <v>28750000</v>
      </c>
      <c r="Y43">
        <f>120*10^-3</f>
        <v>0.12</v>
      </c>
      <c r="Z43">
        <f>115*10^-3</f>
        <v>0.115</v>
      </c>
      <c r="AA43">
        <f>10.9</f>
        <v>10.9</v>
      </c>
      <c r="AB43">
        <f>960</f>
        <v>960</v>
      </c>
      <c r="AC43">
        <f>5</f>
        <v>5</v>
      </c>
      <c r="AD43">
        <f>7*10^5</f>
        <v>700000</v>
      </c>
    </row>
    <row r="44" spans="1:46" x14ac:dyDescent="0.25">
      <c r="A44" s="7" t="s">
        <v>299</v>
      </c>
      <c r="B44">
        <f>D57</f>
        <v>72721.488747312469</v>
      </c>
      <c r="C44">
        <f>B44*$B$89/10^3</f>
        <v>146947.80231683815</v>
      </c>
      <c r="D44">
        <f>SUM(B44:B48)</f>
        <v>3102589.0243790438</v>
      </c>
      <c r="G44" s="7" t="s">
        <v>299</v>
      </c>
      <c r="H44">
        <f>D69</f>
        <v>290885.95498924988</v>
      </c>
      <c r="I44">
        <f>H44*$B$89/10^3</f>
        <v>587791.20926735259</v>
      </c>
      <c r="L44" s="25" t="s">
        <v>300</v>
      </c>
      <c r="M44" s="25" t="s">
        <v>301</v>
      </c>
      <c r="N44" s="25"/>
      <c r="O44" s="25" t="s">
        <v>302</v>
      </c>
      <c r="P44" s="25" t="s">
        <v>301</v>
      </c>
      <c r="T44" t="s">
        <v>303</v>
      </c>
      <c r="W44" s="25" t="s">
        <v>300</v>
      </c>
      <c r="X44" s="25" t="s">
        <v>301</v>
      </c>
      <c r="Y44" s="25"/>
      <c r="Z44" s="25" t="s">
        <v>302</v>
      </c>
      <c r="AA44" s="25" t="s">
        <v>301</v>
      </c>
      <c r="AQ44">
        <f>9.182-3.03</f>
        <v>6.152000000000001</v>
      </c>
      <c r="AR44">
        <f>AQ44/2</f>
        <v>3.0760000000000005</v>
      </c>
    </row>
    <row r="45" spans="1:46" x14ac:dyDescent="0.25">
      <c r="A45" s="7" t="s">
        <v>304</v>
      </c>
      <c r="B45">
        <f>H60</f>
        <v>1065.6171766466894</v>
      </c>
      <c r="C45">
        <f t="shared" ref="C45:C47" si="1">B45*$B$89/10^3</f>
        <v>2153.2851556905448</v>
      </c>
      <c r="G45" s="7" t="s">
        <v>305</v>
      </c>
      <c r="H45">
        <f>H72</f>
        <v>4262.4687065867574</v>
      </c>
      <c r="I45">
        <f t="shared" ref="I45:I49" si="2">H45*$B$89/10^3</f>
        <v>8613.1406227621792</v>
      </c>
      <c r="L45" s="25"/>
      <c r="M45" s="25">
        <f>Q43*(N43^2-O43^2)*PI()*E85/4</f>
        <v>3374.8716160821059</v>
      </c>
      <c r="N45" s="25"/>
      <c r="O45" s="25">
        <f>S43*R43*0.8*10/(2*E84)</f>
        <v>3.6601307189542485E-2</v>
      </c>
      <c r="P45" s="25">
        <f>PI()*R43*O45*P43*E85</f>
        <v>28958.174416524835</v>
      </c>
      <c r="Q45" t="s">
        <v>306</v>
      </c>
      <c r="T45" t="s">
        <v>307</v>
      </c>
      <c r="W45" s="25"/>
      <c r="X45" s="25">
        <v>94094</v>
      </c>
      <c r="Y45" s="25"/>
      <c r="Z45" s="25">
        <f>AD43*AC43*0.8*10/(2*E84)</f>
        <v>4.5751633986928102E-2</v>
      </c>
      <c r="AA45" s="25">
        <f>PI()*AC43*Z45*AA43*E85</f>
        <v>61649.238503929824</v>
      </c>
      <c r="AB45" t="s">
        <v>306</v>
      </c>
    </row>
    <row r="46" spans="1:46" x14ac:dyDescent="0.25">
      <c r="A46" s="7" t="s">
        <v>308</v>
      </c>
      <c r="B46">
        <f>70*0.6*B85*4</f>
        <v>1354080</v>
      </c>
      <c r="C46">
        <f t="shared" si="1"/>
        <v>2736179.9598545455</v>
      </c>
      <c r="G46" s="7" t="s">
        <v>309</v>
      </c>
      <c r="H46">
        <f>H71</f>
        <v>302471.67382033885</v>
      </c>
      <c r="I46">
        <f t="shared" si="2"/>
        <v>611202.39005883841</v>
      </c>
      <c r="L46" s="25" t="s">
        <v>310</v>
      </c>
      <c r="M46" s="25">
        <f>M45*E89/10^3</f>
        <v>1696.6850851306194</v>
      </c>
      <c r="N46" s="25"/>
      <c r="O46" s="25"/>
      <c r="P46" s="26">
        <f>(E89/10^3)*P45</f>
        <v>14558.450872915642</v>
      </c>
      <c r="Q46" t="s">
        <v>311</v>
      </c>
      <c r="T46" t="s">
        <v>312</v>
      </c>
      <c r="W46" s="25" t="s">
        <v>310</v>
      </c>
      <c r="X46" s="25">
        <f>X45*E89/10^3</f>
        <v>47304.876914285705</v>
      </c>
      <c r="Y46" s="25"/>
      <c r="Z46" s="25"/>
      <c r="AA46" s="26">
        <f>(E89/10^3)*AA45</f>
        <v>30993.577053668068</v>
      </c>
      <c r="AB46" t="s">
        <v>311</v>
      </c>
    </row>
    <row r="47" spans="1:46" x14ac:dyDescent="0.25">
      <c r="A47" s="7" t="s">
        <v>309</v>
      </c>
      <c r="B47">
        <f>H59</f>
        <v>75617.918455084713</v>
      </c>
      <c r="C47">
        <f t="shared" si="1"/>
        <v>152800.5975147096</v>
      </c>
      <c r="G47" s="7" t="s">
        <v>313</v>
      </c>
      <c r="H47">
        <f>((11.44*PI()*0.21^2)/4)*2*10*B85</f>
        <v>63873.32622229858</v>
      </c>
      <c r="I47">
        <f>H47*$B$89/10^3</f>
        <v>129068.38235459148</v>
      </c>
      <c r="L47" s="25" t="s">
        <v>314</v>
      </c>
      <c r="M47" s="25" t="s">
        <v>315</v>
      </c>
      <c r="N47" s="25">
        <f>P46+M46</f>
        <v>16255.135958046261</v>
      </c>
      <c r="O47" s="25"/>
      <c r="P47" s="25"/>
      <c r="Q47" t="s">
        <v>316</v>
      </c>
      <c r="T47" s="25" t="s">
        <v>317</v>
      </c>
      <c r="U47" s="25" t="s">
        <v>318</v>
      </c>
      <c r="V47" s="25" t="s">
        <v>76</v>
      </c>
      <c r="W47" s="25" t="s">
        <v>314</v>
      </c>
      <c r="X47" s="25" t="s">
        <v>315</v>
      </c>
      <c r="Y47" s="25">
        <f>AA46+X46</f>
        <v>78298.45396795377</v>
      </c>
      <c r="Z47" s="25"/>
      <c r="AA47" s="25"/>
      <c r="AB47" t="s">
        <v>316</v>
      </c>
    </row>
    <row r="48" spans="1:46" x14ac:dyDescent="0.25">
      <c r="A48" s="7" t="s">
        <v>319</v>
      </c>
      <c r="B48">
        <f>D52</f>
        <v>1599103.9999999998</v>
      </c>
      <c r="C48">
        <f>B48*$B$89/10^3</f>
        <v>3231298.2383044153</v>
      </c>
      <c r="G48" s="7" t="s">
        <v>320</v>
      </c>
      <c r="H48">
        <f>E70</f>
        <v>27042.938289559632</v>
      </c>
      <c r="I48">
        <f t="shared" si="2"/>
        <v>54645.47574993813</v>
      </c>
      <c r="N48" t="s">
        <v>321</v>
      </c>
      <c r="Q48" t="s">
        <v>322</v>
      </c>
      <c r="T48">
        <f>1920</f>
        <v>1920</v>
      </c>
      <c r="U48">
        <f>13.7667</f>
        <v>13.7667</v>
      </c>
      <c r="V48">
        <f>0.8</f>
        <v>0.8</v>
      </c>
      <c r="Y48" t="s">
        <v>321</v>
      </c>
      <c r="AB48" t="s">
        <v>322</v>
      </c>
    </row>
    <row r="49" spans="1:29" x14ac:dyDescent="0.25">
      <c r="A49" s="7" t="s">
        <v>323</v>
      </c>
      <c r="C49" s="26">
        <f>SUM(C44:C48)</f>
        <v>6269379.8831461985</v>
      </c>
      <c r="G49" s="7" t="s">
        <v>324</v>
      </c>
      <c r="H49">
        <f>D64</f>
        <v>6102628.1030190624</v>
      </c>
      <c r="I49">
        <f t="shared" si="2"/>
        <v>12331537.810118988</v>
      </c>
      <c r="L49" t="s">
        <v>325</v>
      </c>
      <c r="M49" t="s">
        <v>326</v>
      </c>
      <c r="N49" t="s">
        <v>327</v>
      </c>
      <c r="Q49" s="27" t="s">
        <v>328</v>
      </c>
      <c r="R49">
        <f>N47*1400/675</f>
        <v>33714.356061132989</v>
      </c>
      <c r="S49" t="s">
        <v>329</v>
      </c>
      <c r="T49" s="25" t="s">
        <v>330</v>
      </c>
      <c r="U49" s="25" t="s">
        <v>331</v>
      </c>
      <c r="W49" t="s">
        <v>325</v>
      </c>
      <c r="X49" t="s">
        <v>326</v>
      </c>
      <c r="Y49" t="s">
        <v>327</v>
      </c>
      <c r="AB49" s="27" t="s">
        <v>328</v>
      </c>
      <c r="AC49">
        <f>Y47*1400/675</f>
        <v>162396.79341501524</v>
      </c>
    </row>
    <row r="50" spans="1:29" x14ac:dyDescent="0.25">
      <c r="H50" t="s">
        <v>12</v>
      </c>
      <c r="I50" s="26">
        <f>SUM(I44:I49)</f>
        <v>13722858.408172471</v>
      </c>
      <c r="L50">
        <f>(131-55)</f>
        <v>76</v>
      </c>
      <c r="M50">
        <f>(L50-L51)/(LN(L50/L51))</f>
        <v>79.20555313909469</v>
      </c>
      <c r="S50">
        <f>1.988</f>
        <v>1.988</v>
      </c>
      <c r="T50">
        <f>T48*U48^V48</f>
        <v>15644.623194737826</v>
      </c>
      <c r="U50" s="26">
        <f>T50*(1+S50/100)*0.82</f>
        <v>13083.623409156353</v>
      </c>
      <c r="W50">
        <f>(131-55)</f>
        <v>76</v>
      </c>
      <c r="X50">
        <f>(W50-W51)/(LN(W50/W51))</f>
        <v>79.20555313909469</v>
      </c>
    </row>
    <row r="51" spans="1:29" x14ac:dyDescent="0.25">
      <c r="A51" s="7" t="s">
        <v>332</v>
      </c>
      <c r="C51" t="s">
        <v>296</v>
      </c>
      <c r="D51" t="s">
        <v>333</v>
      </c>
      <c r="L51">
        <f>102.5-20</f>
        <v>82.5</v>
      </c>
      <c r="M51">
        <f>M43/(440*M50)</f>
        <v>1129.3973958802139</v>
      </c>
      <c r="N51" s="28" t="s">
        <v>334</v>
      </c>
      <c r="T51" s="25" t="s">
        <v>335</v>
      </c>
      <c r="W51">
        <f>102.5-20</f>
        <v>82.5</v>
      </c>
      <c r="X51">
        <f>X43/(415*X50)</f>
        <v>874.64963866959965</v>
      </c>
      <c r="Y51" t="s">
        <v>334</v>
      </c>
    </row>
    <row r="52" spans="1:29" x14ac:dyDescent="0.25">
      <c r="A52" s="25" t="s">
        <v>336</v>
      </c>
      <c r="B52">
        <f>AL11</f>
        <v>6.0407979705751888E-2</v>
      </c>
      <c r="C52">
        <f>(PI()*(B54^2)*B52*2+PI()*B54*B53*B52)*8060</f>
        <v>399775.99999999994</v>
      </c>
      <c r="D52" s="20">
        <f>4*C52</f>
        <v>1599103.9999999998</v>
      </c>
      <c r="M52" s="28" t="s">
        <v>337</v>
      </c>
    </row>
    <row r="53" spans="1:29" x14ac:dyDescent="0.25">
      <c r="A53" s="25" t="s">
        <v>338</v>
      </c>
      <c r="B53">
        <f>AL4</f>
        <v>10.100214206801718</v>
      </c>
      <c r="L53" t="s">
        <v>339</v>
      </c>
      <c r="M53" s="29" t="s">
        <v>340</v>
      </c>
      <c r="T53" t="s">
        <v>341</v>
      </c>
      <c r="Y53" s="25" t="s">
        <v>342</v>
      </c>
      <c r="Z53" t="s">
        <v>343</v>
      </c>
    </row>
    <row r="54" spans="1:29" x14ac:dyDescent="0.25">
      <c r="A54" s="25" t="s">
        <v>344</v>
      </c>
      <c r="B54">
        <f>M4</f>
        <v>9.1820129152742869</v>
      </c>
      <c r="Y54">
        <f>14.91</f>
        <v>14.91</v>
      </c>
      <c r="Z54">
        <f>X43/(Y54*450)</f>
        <v>4284.969073701468</v>
      </c>
    </row>
    <row r="57" spans="1:29" x14ac:dyDescent="0.25">
      <c r="A57" s="25" t="s">
        <v>345</v>
      </c>
      <c r="B57">
        <f>(B53-1)*(PI()*AM9^2)/4</f>
        <v>2.2556293035766894</v>
      </c>
      <c r="C57">
        <f>B57*B85</f>
        <v>18180.372186828117</v>
      </c>
      <c r="D57" s="20">
        <f>C57*4</f>
        <v>72721.488747312469</v>
      </c>
    </row>
    <row r="58" spans="1:29" x14ac:dyDescent="0.25">
      <c r="A58" s="25" t="s">
        <v>346</v>
      </c>
      <c r="B58" s="26">
        <f>300</f>
        <v>300</v>
      </c>
    </row>
    <row r="59" spans="1:29" x14ac:dyDescent="0.25">
      <c r="A59" s="25" t="s">
        <v>347</v>
      </c>
      <c r="B59">
        <f>AL12</f>
        <v>6.3226801162777413</v>
      </c>
      <c r="C59">
        <f>AM6</f>
        <v>0.91820129152742869</v>
      </c>
      <c r="D59">
        <f>AL13</f>
        <v>0.10100214206801718</v>
      </c>
      <c r="E59">
        <f>D59*C59*B59</f>
        <v>0.58636723367776611</v>
      </c>
      <c r="F59">
        <f>E59*B85</f>
        <v>4726.1199034427946</v>
      </c>
      <c r="G59">
        <f>F59*4</f>
        <v>18904.479613771178</v>
      </c>
      <c r="H59" s="20">
        <f>G59*4</f>
        <v>75617.918455084713</v>
      </c>
    </row>
    <row r="60" spans="1:29" x14ac:dyDescent="0.25">
      <c r="A60" s="25" t="s">
        <v>348</v>
      </c>
      <c r="B60">
        <f>AX4</f>
        <v>3.0300642620405149</v>
      </c>
      <c r="C60">
        <f>AM7</f>
        <v>0.60601285240810299</v>
      </c>
      <c r="D60">
        <f>3*10^-3</f>
        <v>3.0000000000000001E-3</v>
      </c>
      <c r="E60">
        <f>3*D60*C60*B60</f>
        <v>1.6526320977771236E-2</v>
      </c>
      <c r="F60">
        <f>E60*B85</f>
        <v>133.20214708083617</v>
      </c>
      <c r="G60">
        <f>2*F60</f>
        <v>266.40429416167234</v>
      </c>
      <c r="H60" s="20">
        <f>4*G60</f>
        <v>1065.6171766466894</v>
      </c>
    </row>
    <row r="63" spans="1:29" x14ac:dyDescent="0.25">
      <c r="A63" s="7" t="s">
        <v>349</v>
      </c>
      <c r="C63" t="s">
        <v>296</v>
      </c>
      <c r="D63" t="s">
        <v>333</v>
      </c>
    </row>
    <row r="64" spans="1:29" x14ac:dyDescent="0.25">
      <c r="A64" s="25" t="s">
        <v>336</v>
      </c>
      <c r="B64">
        <f>70.3*10^-3</f>
        <v>7.0300000000000001E-2</v>
      </c>
      <c r="C64">
        <f>(PI()*(B66^2)*B64*2+PI()*B66*B65*B64)*8060</f>
        <v>610262.8103019062</v>
      </c>
      <c r="D64" s="20">
        <f>10*C64</f>
        <v>6102628.1030190624</v>
      </c>
    </row>
    <row r="65" spans="1:9" x14ac:dyDescent="0.25">
      <c r="A65" s="25" t="s">
        <v>338</v>
      </c>
      <c r="B65">
        <f>10.69</f>
        <v>10.69</v>
      </c>
    </row>
    <row r="66" spans="1:9" x14ac:dyDescent="0.25">
      <c r="A66" s="25" t="s">
        <v>344</v>
      </c>
      <c r="B66">
        <f>10.69</f>
        <v>10.69</v>
      </c>
    </row>
    <row r="69" spans="1:9" x14ac:dyDescent="0.25">
      <c r="A69" s="25" t="s">
        <v>345</v>
      </c>
      <c r="B69">
        <f>(B53-1)*(PI()*AM9^2)/4</f>
        <v>2.2556293035766894</v>
      </c>
      <c r="C69">
        <f>B69*B85</f>
        <v>18180.372186828117</v>
      </c>
      <c r="D69" s="20">
        <f>C69*16</f>
        <v>290885.95498924988</v>
      </c>
    </row>
    <row r="70" spans="1:9" x14ac:dyDescent="0.25">
      <c r="A70" s="25" t="s">
        <v>346</v>
      </c>
      <c r="B70" s="26">
        <v>76.95</v>
      </c>
      <c r="C70">
        <f>(PI()*AQ5*3.29*10^-3)*AQ7</f>
        <v>0.20970020385824775</v>
      </c>
      <c r="D70">
        <f>C70*B85</f>
        <v>1690.183643097477</v>
      </c>
      <c r="E70" s="20">
        <f>D70*16</f>
        <v>27042.938289559632</v>
      </c>
      <c r="F70" t="s">
        <v>350</v>
      </c>
      <c r="I70" t="s">
        <v>453</v>
      </c>
    </row>
    <row r="71" spans="1:9" x14ac:dyDescent="0.25">
      <c r="A71" s="25" t="s">
        <v>347</v>
      </c>
      <c r="B71">
        <f>7.361071158</f>
        <v>7.3610711579999997</v>
      </c>
      <c r="C71">
        <f t="shared" ref="C71:G71" si="3">C59</f>
        <v>0.91820129152742869</v>
      </c>
      <c r="D71">
        <f t="shared" si="3"/>
        <v>0.10100214206801718</v>
      </c>
      <c r="E71">
        <f t="shared" si="3"/>
        <v>0.58636723367776611</v>
      </c>
      <c r="F71">
        <f t="shared" si="3"/>
        <v>4726.1199034427946</v>
      </c>
      <c r="G71">
        <f t="shared" si="3"/>
        <v>18904.479613771178</v>
      </c>
      <c r="H71">
        <f>H59*16/4</f>
        <v>302471.67382033885</v>
      </c>
      <c r="I71">
        <f>PI()*(Sheet2!AQ5+3.29*10^-3)*AZ24</f>
        <v>64.226943470019165</v>
      </c>
    </row>
    <row r="72" spans="1:9" x14ac:dyDescent="0.25">
      <c r="A72" s="25" t="s">
        <v>348</v>
      </c>
      <c r="B72">
        <f>B60</f>
        <v>3.0300642620405149</v>
      </c>
      <c r="C72">
        <f t="shared" ref="C72:G72" si="4">C60</f>
        <v>0.60601285240810299</v>
      </c>
      <c r="D72">
        <f t="shared" si="4"/>
        <v>3.0000000000000001E-3</v>
      </c>
      <c r="E72">
        <f t="shared" si="4"/>
        <v>1.6526320977771236E-2</v>
      </c>
      <c r="F72">
        <f t="shared" si="4"/>
        <v>133.20214708083617</v>
      </c>
      <c r="G72">
        <f t="shared" si="4"/>
        <v>266.40429416167234</v>
      </c>
      <c r="H72">
        <f>H60*16/4</f>
        <v>4262.4687065867574</v>
      </c>
    </row>
    <row r="74" spans="1:9" x14ac:dyDescent="0.25">
      <c r="A74" s="25" t="s">
        <v>351</v>
      </c>
    </row>
    <row r="75" spans="1:9" x14ac:dyDescent="0.25">
      <c r="A75" s="25" t="s">
        <v>352</v>
      </c>
    </row>
    <row r="79" spans="1:9" x14ac:dyDescent="0.25">
      <c r="D79" t="s">
        <v>353</v>
      </c>
    </row>
    <row r="82" spans="1:8" x14ac:dyDescent="0.25">
      <c r="B82" s="7" t="s">
        <v>281</v>
      </c>
      <c r="E82" s="7" t="s">
        <v>282</v>
      </c>
    </row>
    <row r="83" spans="1:8" x14ac:dyDescent="0.25">
      <c r="A83" t="s">
        <v>354</v>
      </c>
      <c r="B83">
        <f>0.82</f>
        <v>0.82</v>
      </c>
    </row>
    <row r="84" spans="1:8" x14ac:dyDescent="0.25">
      <c r="A84" s="7" t="s">
        <v>355</v>
      </c>
      <c r="B84">
        <f>475*10^6</f>
        <v>475000000</v>
      </c>
      <c r="E84">
        <f>306*10^6</f>
        <v>306000000</v>
      </c>
    </row>
    <row r="85" spans="1:8" x14ac:dyDescent="0.25">
      <c r="A85" s="7" t="s">
        <v>218</v>
      </c>
      <c r="B85">
        <f>8060</f>
        <v>8060</v>
      </c>
      <c r="E85">
        <v>7870</v>
      </c>
    </row>
    <row r="86" spans="1:8" x14ac:dyDescent="0.25">
      <c r="A86" s="7" t="s">
        <v>356</v>
      </c>
      <c r="B86">
        <f>2492</f>
        <v>2492</v>
      </c>
      <c r="E86">
        <f>620</f>
        <v>620</v>
      </c>
    </row>
    <row r="87" spans="1:8" x14ac:dyDescent="0.25">
      <c r="A87" s="7" t="s">
        <v>357</v>
      </c>
      <c r="B87">
        <v>132.80000000000001</v>
      </c>
      <c r="E87">
        <v>155.4</v>
      </c>
    </row>
    <row r="88" spans="1:8" x14ac:dyDescent="0.25">
      <c r="A88" s="7" t="s">
        <v>358</v>
      </c>
      <c r="B88">
        <f>B87*533/539</f>
        <v>131.32170686456402</v>
      </c>
      <c r="E88">
        <f>E87*533/539</f>
        <v>153.67012987012987</v>
      </c>
    </row>
    <row r="89" spans="1:8" x14ac:dyDescent="0.25">
      <c r="A89" s="7" t="s">
        <v>359</v>
      </c>
      <c r="B89" s="25">
        <f>B86*B83*B88/B87</f>
        <v>2020.692987012987</v>
      </c>
      <c r="E89" s="25">
        <f>E86*E88*B83/E87</f>
        <v>502.74063079777358</v>
      </c>
    </row>
    <row r="92" spans="1:8" x14ac:dyDescent="0.25">
      <c r="A92" t="s">
        <v>360</v>
      </c>
      <c r="B92" s="29" t="s">
        <v>361</v>
      </c>
    </row>
    <row r="93" spans="1:8" x14ac:dyDescent="0.25">
      <c r="A93" t="s">
        <v>362</v>
      </c>
    </row>
    <row r="94" spans="1:8" x14ac:dyDescent="0.25">
      <c r="A94" t="s">
        <v>363</v>
      </c>
    </row>
    <row r="95" spans="1:8" x14ac:dyDescent="0.25">
      <c r="A95" t="s">
        <v>364</v>
      </c>
    </row>
    <row r="96" spans="1:8" x14ac:dyDescent="0.25">
      <c r="A96" t="s">
        <v>365</v>
      </c>
      <c r="H96" s="30"/>
    </row>
    <row r="97" spans="1:1" x14ac:dyDescent="0.25">
      <c r="A97" t="s">
        <v>366</v>
      </c>
    </row>
  </sheetData>
  <hyperlinks>
    <hyperlink ref="B92" r:id="rId1" xr:uid="{46496C9B-371B-4136-B688-84E8416935F1}"/>
    <hyperlink ref="M53" r:id="rId2" xr:uid="{9051B7DB-FD77-4C3E-9EE1-60A56753B05A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EEBE-DC77-43F3-B0EA-48EAA9A3F489}">
  <dimension ref="A1:Q4"/>
  <sheetViews>
    <sheetView workbookViewId="0">
      <selection activeCell="F4" sqref="F4"/>
    </sheetView>
  </sheetViews>
  <sheetFormatPr defaultRowHeight="15" x14ac:dyDescent="0.25"/>
  <cols>
    <col min="17" max="17" width="12" bestFit="1" customWidth="1"/>
  </cols>
  <sheetData>
    <row r="1" spans="1:17" x14ac:dyDescent="0.25">
      <c r="A1" t="s">
        <v>440</v>
      </c>
      <c r="J1" t="s">
        <v>443</v>
      </c>
    </row>
    <row r="2" spans="1:17" x14ac:dyDescent="0.25">
      <c r="A2" t="s">
        <v>441</v>
      </c>
      <c r="G2" t="s">
        <v>219</v>
      </c>
      <c r="H2" t="s">
        <v>218</v>
      </c>
      <c r="J2" t="s">
        <v>444</v>
      </c>
      <c r="K2" t="s">
        <v>445</v>
      </c>
      <c r="L2" t="s">
        <v>170</v>
      </c>
      <c r="M2" t="s">
        <v>446</v>
      </c>
      <c r="N2" t="s">
        <v>447</v>
      </c>
      <c r="O2" t="s">
        <v>448</v>
      </c>
      <c r="Q2" t="s">
        <v>449</v>
      </c>
    </row>
    <row r="3" spans="1:17" x14ac:dyDescent="0.25">
      <c r="A3" t="s">
        <v>442</v>
      </c>
      <c r="B3" t="s">
        <v>433</v>
      </c>
      <c r="C3" t="s">
        <v>246</v>
      </c>
      <c r="D3" t="s">
        <v>451</v>
      </c>
      <c r="E3" t="s">
        <v>388</v>
      </c>
      <c r="F3" t="s">
        <v>452</v>
      </c>
      <c r="G3">
        <f>0.311*10^-3</f>
        <v>3.1100000000000002E-4</v>
      </c>
      <c r="H3">
        <f>985</f>
        <v>985</v>
      </c>
      <c r="J3">
        <f>1216</f>
        <v>1216</v>
      </c>
      <c r="K3">
        <f>J3/3600</f>
        <v>0.33777777777777779</v>
      </c>
      <c r="L3">
        <f>0.723</f>
        <v>0.72299999999999998</v>
      </c>
      <c r="N3">
        <f>K3/(PI()*L3^2/4)</f>
        <v>0.82274376206300537</v>
      </c>
      <c r="O3">
        <f>H3*N3*L3/(G3)</f>
        <v>1883990.6233825709</v>
      </c>
      <c r="P3">
        <f>O3/10^6</f>
        <v>1.883990623382571</v>
      </c>
      <c r="Q3">
        <f>0.05*10^-3/L3</f>
        <v>6.9156293222683276E-5</v>
      </c>
    </row>
    <row r="4" spans="1:17" x14ac:dyDescent="0.25">
      <c r="A4">
        <f>0.0002</f>
        <v>2.0000000000000001E-4</v>
      </c>
      <c r="B4">
        <f>16.2</f>
        <v>16.2</v>
      </c>
      <c r="C4">
        <f>Sheet2!AQ5</f>
        <v>0.42946739547587875</v>
      </c>
      <c r="D4">
        <f>3.29*10^-3</f>
        <v>3.29E-3</v>
      </c>
      <c r="E4">
        <f>Sheet2!AQ7</f>
        <v>47.241413502346674</v>
      </c>
      <c r="F4">
        <f>PI()*C4*D4*E4</f>
        <v>0.20970020385824775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26AD-78F5-4EFF-864D-D672FECF8EEC}">
  <dimension ref="A1:O35"/>
  <sheetViews>
    <sheetView workbookViewId="0">
      <selection activeCell="E7" sqref="E7"/>
    </sheetView>
  </sheetViews>
  <sheetFormatPr defaultRowHeight="15" x14ac:dyDescent="0.25"/>
  <cols>
    <col min="2" max="2" width="12" bestFit="1" customWidth="1"/>
    <col min="3" max="3" width="11" bestFit="1" customWidth="1"/>
    <col min="5" max="6" width="12" bestFit="1" customWidth="1"/>
    <col min="11" max="11" width="12" bestFit="1" customWidth="1"/>
  </cols>
  <sheetData>
    <row r="1" spans="1:15" x14ac:dyDescent="0.25">
      <c r="A1" s="7" t="s">
        <v>207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I1" s="7" t="s">
        <v>169</v>
      </c>
    </row>
    <row r="2" spans="1:15" x14ac:dyDescent="0.25">
      <c r="A2" s="7" t="s">
        <v>208</v>
      </c>
      <c r="B2">
        <f>39.36*10^6</f>
        <v>39360000</v>
      </c>
      <c r="C2">
        <f>5.4*10^6</f>
        <v>5400000</v>
      </c>
      <c r="D2">
        <f>4.8*10^6</f>
        <v>4800000</v>
      </c>
      <c r="F2">
        <f>28.75*10^6</f>
        <v>28750000</v>
      </c>
      <c r="I2" t="s">
        <v>216</v>
      </c>
    </row>
    <row r="3" spans="1:15" x14ac:dyDescent="0.25">
      <c r="A3" s="7" t="s">
        <v>215</v>
      </c>
      <c r="C3">
        <f>C2*10</f>
        <v>54000000</v>
      </c>
      <c r="D3">
        <f>D2*10</f>
        <v>48000000</v>
      </c>
    </row>
    <row r="7" spans="1:15" x14ac:dyDescent="0.25">
      <c r="A7" t="s">
        <v>367</v>
      </c>
      <c r="B7">
        <f>(4.2*10^3)*608*985*35/(2*3600)</f>
        <v>12227133.333333334</v>
      </c>
      <c r="E7" t="s">
        <v>368</v>
      </c>
    </row>
    <row r="8" spans="1:15" x14ac:dyDescent="0.25">
      <c r="B8">
        <f>B7/10^6</f>
        <v>12.227133333333335</v>
      </c>
      <c r="E8">
        <f>608*4.2*10^3*985*35</f>
        <v>88035360000</v>
      </c>
    </row>
    <row r="9" spans="1:15" x14ac:dyDescent="0.25">
      <c r="B9" s="25" t="s">
        <v>215</v>
      </c>
      <c r="E9">
        <f>E8/(8*3600)</f>
        <v>3056783.3333333335</v>
      </c>
    </row>
    <row r="10" spans="1:15" x14ac:dyDescent="0.25">
      <c r="B10">
        <f>B8*4</f>
        <v>48.908533333333338</v>
      </c>
      <c r="E10">
        <f>E9/10^6</f>
        <v>3.0567833333333336</v>
      </c>
    </row>
    <row r="11" spans="1:15" x14ac:dyDescent="0.25">
      <c r="E11" s="25" t="s">
        <v>215</v>
      </c>
    </row>
    <row r="12" spans="1:15" x14ac:dyDescent="0.25">
      <c r="A12" s="30"/>
      <c r="B12" s="30"/>
      <c r="E12">
        <f>E10*16</f>
        <v>48.908533333333338</v>
      </c>
      <c r="O12" t="s">
        <v>404</v>
      </c>
    </row>
    <row r="13" spans="1:15" x14ac:dyDescent="0.25">
      <c r="A13" t="s">
        <v>369</v>
      </c>
      <c r="B13" t="s">
        <v>378</v>
      </c>
      <c r="C13" t="s">
        <v>379</v>
      </c>
      <c r="E13" t="s">
        <v>380</v>
      </c>
    </row>
    <row r="14" spans="1:15" x14ac:dyDescent="0.25">
      <c r="A14" t="s">
        <v>370</v>
      </c>
      <c r="B14">
        <f>Sheet2!AL4</f>
        <v>10.100214206801718</v>
      </c>
      <c r="C14">
        <f>B7*2*3600/(4.2*10*10^3)</f>
        <v>2096080</v>
      </c>
      <c r="E14" t="s">
        <v>381</v>
      </c>
      <c r="N14" s="30"/>
      <c r="O14" s="30"/>
    </row>
    <row r="15" spans="1:15" x14ac:dyDescent="0.25">
      <c r="A15" t="s">
        <v>371</v>
      </c>
      <c r="B15">
        <f>Sheet2!AX4</f>
        <v>3.0300642620405149</v>
      </c>
      <c r="N15" t="s">
        <v>171</v>
      </c>
    </row>
    <row r="16" spans="1:15" x14ac:dyDescent="0.25">
      <c r="A16" t="s">
        <v>372</v>
      </c>
      <c r="B16">
        <f>0.0005</f>
        <v>5.0000000000000001E-4</v>
      </c>
      <c r="N16" t="e" cm="1">
        <f t="array" ref="N16">N14SACC</f>
        <v>#NAME?</v>
      </c>
    </row>
    <row r="17" spans="1:11" x14ac:dyDescent="0.25">
      <c r="A17" t="s">
        <v>373</v>
      </c>
      <c r="B17">
        <f>4.2*10^3</f>
        <v>4200</v>
      </c>
      <c r="F17" t="s">
        <v>400</v>
      </c>
      <c r="K17" t="s">
        <v>401</v>
      </c>
    </row>
    <row r="18" spans="1:11" x14ac:dyDescent="0.25">
      <c r="A18" t="s">
        <v>374</v>
      </c>
      <c r="B18">
        <f>(0.643+0.676)/2</f>
        <v>0.65949999999999998</v>
      </c>
      <c r="F18">
        <f>(608*4.2*10^3)*35*985</f>
        <v>88035360000</v>
      </c>
      <c r="K18">
        <f>F18</f>
        <v>88035360000</v>
      </c>
    </row>
    <row r="19" spans="1:11" x14ac:dyDescent="0.25">
      <c r="A19" t="s">
        <v>384</v>
      </c>
      <c r="B19">
        <f>Sheet2!W4/60</f>
        <v>1.1057580026254201</v>
      </c>
      <c r="E19" t="s">
        <v>402</v>
      </c>
      <c r="F19">
        <f>F18*4</f>
        <v>352141440000</v>
      </c>
      <c r="K19">
        <f>K18*16</f>
        <v>1408565760000</v>
      </c>
    </row>
    <row r="20" spans="1:11" x14ac:dyDescent="0.25">
      <c r="A20" t="s">
        <v>171</v>
      </c>
      <c r="B20">
        <f>0.53*(B19*985*(B15^2)/(B16)^(2/3))</f>
        <v>841322.55754314573</v>
      </c>
      <c r="C20">
        <f>(0.0005*B17/B18)^(1/3)</f>
        <v>1.4711879698654471</v>
      </c>
      <c r="E20" t="s">
        <v>403</v>
      </c>
      <c r="F20">
        <f>B21</f>
        <v>80819.268211554503</v>
      </c>
    </row>
    <row r="21" spans="1:11" x14ac:dyDescent="0.25">
      <c r="A21" t="s">
        <v>171</v>
      </c>
      <c r="B21" s="30">
        <f>B20*C20*B18/B14</f>
        <v>80819.268211554503</v>
      </c>
    </row>
    <row r="22" spans="1:11" x14ac:dyDescent="0.25">
      <c r="A22" t="s">
        <v>375</v>
      </c>
      <c r="B22">
        <f>B21*300/(4.2*10^3)</f>
        <v>5772.8048722538924</v>
      </c>
    </row>
    <row r="23" spans="1:11" x14ac:dyDescent="0.25">
      <c r="A23" t="s">
        <v>376</v>
      </c>
      <c r="B23">
        <f>B22*2*3600</f>
        <v>41564195.080228023</v>
      </c>
    </row>
    <row r="24" spans="1:11" x14ac:dyDescent="0.25">
      <c r="A24" t="s">
        <v>377</v>
      </c>
      <c r="B24">
        <f>B23*(8000/2)</f>
        <v>166256780320.91208</v>
      </c>
    </row>
    <row r="25" spans="1:11" x14ac:dyDescent="0.25">
      <c r="B25" t="s">
        <v>399</v>
      </c>
    </row>
    <row r="27" spans="1:11" x14ac:dyDescent="0.25">
      <c r="A27" t="s">
        <v>430</v>
      </c>
    </row>
    <row r="28" spans="1:11" x14ac:dyDescent="0.25">
      <c r="A28" t="s">
        <v>431</v>
      </c>
      <c r="B28" t="s">
        <v>432</v>
      </c>
      <c r="C28" t="s">
        <v>391</v>
      </c>
      <c r="D28" t="s">
        <v>433</v>
      </c>
      <c r="E28" t="s">
        <v>434</v>
      </c>
    </row>
    <row r="29" spans="1:11" x14ac:dyDescent="0.25">
      <c r="A29">
        <f>55</f>
        <v>55</v>
      </c>
      <c r="B29">
        <f>90</f>
        <v>90</v>
      </c>
      <c r="C29">
        <f>608</f>
        <v>608</v>
      </c>
      <c r="D29">
        <f>16.2</f>
        <v>16.2</v>
      </c>
    </row>
    <row r="30" spans="1:11" x14ac:dyDescent="0.25">
      <c r="A30" t="s">
        <v>435</v>
      </c>
      <c r="B30" t="s">
        <v>436</v>
      </c>
      <c r="D30" t="s">
        <v>439</v>
      </c>
    </row>
    <row r="31" spans="1:11" x14ac:dyDescent="0.25">
      <c r="A31">
        <f>25</f>
        <v>25</v>
      </c>
    </row>
    <row r="32" spans="1:11" x14ac:dyDescent="0.25">
      <c r="A32" t="s">
        <v>437</v>
      </c>
    </row>
    <row r="33" spans="1:1" x14ac:dyDescent="0.25">
      <c r="A33">
        <f>131</f>
        <v>131</v>
      </c>
    </row>
    <row r="34" spans="1:1" x14ac:dyDescent="0.25">
      <c r="A34" t="s">
        <v>438</v>
      </c>
    </row>
    <row r="35" spans="1:1" x14ac:dyDescent="0.25">
      <c r="A35">
        <f>D29</f>
        <v>16.2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0B7F-9FBA-414A-AA4C-01A4FAA751A0}">
  <dimension ref="A1:AD58"/>
  <sheetViews>
    <sheetView topLeftCell="F1" workbookViewId="0">
      <selection activeCell="M21" sqref="M21"/>
    </sheetView>
  </sheetViews>
  <sheetFormatPr defaultRowHeight="15" x14ac:dyDescent="0.25"/>
  <cols>
    <col min="12" max="12" width="12" bestFit="1" customWidth="1"/>
    <col min="24" max="24" width="12" bestFit="1" customWidth="1"/>
  </cols>
  <sheetData>
    <row r="1" spans="1:30" x14ac:dyDescent="0.25">
      <c r="A1" s="7" t="s">
        <v>280</v>
      </c>
      <c r="B1" t="s">
        <v>281</v>
      </c>
      <c r="H1" t="s">
        <v>281</v>
      </c>
      <c r="M1" t="s">
        <v>282</v>
      </c>
      <c r="T1" t="s">
        <v>282</v>
      </c>
      <c r="X1" t="s">
        <v>282</v>
      </c>
    </row>
    <row r="2" spans="1:30" x14ac:dyDescent="0.25">
      <c r="A2" s="7" t="s">
        <v>283</v>
      </c>
      <c r="G2" s="7" t="s">
        <v>284</v>
      </c>
      <c r="L2" t="s">
        <v>407</v>
      </c>
      <c r="M2" s="7" t="s">
        <v>285</v>
      </c>
      <c r="T2" s="7" t="s">
        <v>217</v>
      </c>
      <c r="X2" s="7" t="s">
        <v>286</v>
      </c>
    </row>
    <row r="3" spans="1:30" x14ac:dyDescent="0.25">
      <c r="M3" s="20" t="s">
        <v>287</v>
      </c>
      <c r="N3" s="20" t="s">
        <v>288</v>
      </c>
      <c r="O3" s="20" t="s">
        <v>289</v>
      </c>
      <c r="P3" s="20" t="s">
        <v>194</v>
      </c>
      <c r="Q3" s="20" t="s">
        <v>290</v>
      </c>
      <c r="R3" s="20" t="s">
        <v>291</v>
      </c>
      <c r="S3" s="20" t="s">
        <v>292</v>
      </c>
      <c r="T3" s="20" t="s">
        <v>293</v>
      </c>
      <c r="U3" s="20" t="s">
        <v>294</v>
      </c>
      <c r="X3" s="20" t="s">
        <v>287</v>
      </c>
      <c r="Y3" s="20" t="s">
        <v>288</v>
      </c>
      <c r="Z3" s="20" t="s">
        <v>289</v>
      </c>
      <c r="AA3" s="20" t="s">
        <v>194</v>
      </c>
      <c r="AB3" s="20" t="s">
        <v>290</v>
      </c>
      <c r="AC3" s="20" t="s">
        <v>291</v>
      </c>
      <c r="AD3" s="20" t="s">
        <v>292</v>
      </c>
    </row>
    <row r="4" spans="1:30" x14ac:dyDescent="0.25">
      <c r="A4" t="s">
        <v>295</v>
      </c>
      <c r="B4" t="s">
        <v>296</v>
      </c>
      <c r="C4" t="s">
        <v>297</v>
      </c>
      <c r="G4" t="s">
        <v>295</v>
      </c>
      <c r="I4" t="s">
        <v>298</v>
      </c>
      <c r="L4" t="s">
        <v>406</v>
      </c>
      <c r="M4">
        <f>39.36*10^6</f>
        <v>39360000</v>
      </c>
      <c r="N4">
        <f>94*10^-3</f>
        <v>9.4E-2</v>
      </c>
      <c r="O4">
        <f>88*10^-3</f>
        <v>8.7999999999999995E-2</v>
      </c>
      <c r="P4">
        <v>8</v>
      </c>
      <c r="Q4">
        <f>500</f>
        <v>500</v>
      </c>
      <c r="R4">
        <f>4</f>
        <v>4</v>
      </c>
      <c r="S4">
        <f>7*10^5</f>
        <v>700000</v>
      </c>
      <c r="T4">
        <f>2284.03</f>
        <v>2284.0300000000002</v>
      </c>
      <c r="U4">
        <f>1.37</f>
        <v>1.37</v>
      </c>
      <c r="X4">
        <f>28.75*10^6</f>
        <v>28750000</v>
      </c>
      <c r="Y4">
        <f>120*10^-3</f>
        <v>0.12</v>
      </c>
      <c r="Z4">
        <f>115*10^-3</f>
        <v>0.115</v>
      </c>
      <c r="AA4">
        <f>10.9</f>
        <v>10.9</v>
      </c>
      <c r="AB4">
        <f>960</f>
        <v>960</v>
      </c>
      <c r="AC4">
        <f>5</f>
        <v>5</v>
      </c>
      <c r="AD4">
        <f>7*10^5</f>
        <v>700000</v>
      </c>
    </row>
    <row r="5" spans="1:30" x14ac:dyDescent="0.25">
      <c r="A5" s="7" t="s">
        <v>299</v>
      </c>
      <c r="B5">
        <f>D18</f>
        <v>72721.488747312469</v>
      </c>
      <c r="C5">
        <f>B5*$B$50/10^3</f>
        <v>146947.80231683815</v>
      </c>
      <c r="G5" s="7" t="s">
        <v>299</v>
      </c>
      <c r="H5">
        <f>D30</f>
        <v>285238.85142879846</v>
      </c>
      <c r="I5">
        <f>H5*$B$50/10^3</f>
        <v>576380.14670581231</v>
      </c>
      <c r="J5">
        <f>SUM(H5:H10)/10^3</f>
        <v>7123.2199846179874</v>
      </c>
      <c r="L5" s="25" t="s">
        <v>300</v>
      </c>
      <c r="M5" s="25" t="s">
        <v>301</v>
      </c>
      <c r="N5" s="25"/>
      <c r="O5" s="25" t="s">
        <v>302</v>
      </c>
      <c r="P5" s="25" t="s">
        <v>301</v>
      </c>
      <c r="T5" t="s">
        <v>303</v>
      </c>
      <c r="W5" s="25" t="s">
        <v>300</v>
      </c>
      <c r="X5" s="25" t="s">
        <v>301</v>
      </c>
      <c r="Y5" s="25"/>
      <c r="Z5" s="25" t="s">
        <v>302</v>
      </c>
      <c r="AA5" s="25" t="s">
        <v>301</v>
      </c>
    </row>
    <row r="6" spans="1:30" x14ac:dyDescent="0.25">
      <c r="A6" s="7" t="s">
        <v>304</v>
      </c>
      <c r="B6">
        <f>H21</f>
        <v>1065.6171766466894</v>
      </c>
      <c r="C6">
        <f>B6*$B$50/10^3</f>
        <v>2153.2851556905448</v>
      </c>
      <c r="G6" s="7" t="s">
        <v>305</v>
      </c>
      <c r="H6">
        <f>H33</f>
        <v>8524.9374131735149</v>
      </c>
      <c r="I6">
        <f>H6*$B$50/10^3</f>
        <v>17226.281245524358</v>
      </c>
      <c r="L6" s="25"/>
      <c r="M6" s="25">
        <f>Q4*(N4^2-O4^2)*PI()*E46/4</f>
        <v>3374.8716160821059</v>
      </c>
      <c r="N6" s="25"/>
      <c r="O6" s="25">
        <f>S4*R4*0.8*10/(2*E45)</f>
        <v>3.6601307189542485E-2</v>
      </c>
      <c r="P6" s="25">
        <f>PI()*R4*O6*P4*E46</f>
        <v>28958.174416524835</v>
      </c>
      <c r="Q6" t="s">
        <v>306</v>
      </c>
      <c r="T6" t="s">
        <v>307</v>
      </c>
      <c r="W6" s="25"/>
      <c r="X6" s="25">
        <f>AB4*(Y4^2-Z4^2)*PI()*E46/4</f>
        <v>6972.2622398179647</v>
      </c>
      <c r="Y6" s="25"/>
      <c r="Z6" s="25">
        <f>AD4*AC4*0.8*10/(2*E45)</f>
        <v>4.5751633986928102E-2</v>
      </c>
      <c r="AA6" s="25">
        <f>PI()*AC4*Z6*AA4*E46</f>
        <v>61649.238503929824</v>
      </c>
      <c r="AB6" t="s">
        <v>306</v>
      </c>
    </row>
    <row r="7" spans="1:30" x14ac:dyDescent="0.25">
      <c r="A7" s="7" t="s">
        <v>308</v>
      </c>
      <c r="B7">
        <f>B19*B46*4</f>
        <v>710247.20000000007</v>
      </c>
      <c r="C7">
        <f>B7*$B$50/10^3</f>
        <v>1435191.5360856107</v>
      </c>
      <c r="G7" s="7" t="s">
        <v>309</v>
      </c>
      <c r="H7">
        <f>H32</f>
        <v>302471.67382033885</v>
      </c>
      <c r="I7">
        <f t="shared" ref="I7:I10" si="0">H7*$B$50/10^3</f>
        <v>611202.39005883841</v>
      </c>
      <c r="L7" s="25" t="s">
        <v>310</v>
      </c>
      <c r="M7" s="25">
        <f>M6*E50/10^3</f>
        <v>1696.6850851306194</v>
      </c>
      <c r="N7" s="25"/>
      <c r="O7" s="25"/>
      <c r="P7" s="26">
        <f>(E50/10^3)*P6</f>
        <v>14558.450872915642</v>
      </c>
      <c r="Q7" t="s">
        <v>311</v>
      </c>
      <c r="T7" t="s">
        <v>312</v>
      </c>
      <c r="W7" s="25" t="s">
        <v>310</v>
      </c>
      <c r="X7" s="25">
        <f>X6*E50/10^3</f>
        <v>3505.2395165335811</v>
      </c>
      <c r="Y7" s="25"/>
      <c r="Z7" s="25"/>
      <c r="AA7" s="26">
        <f>(E50/10^3)*AA6</f>
        <v>30993.577053668068</v>
      </c>
      <c r="AB7" t="s">
        <v>311</v>
      </c>
    </row>
    <row r="8" spans="1:30" x14ac:dyDescent="0.25">
      <c r="A8" s="7" t="s">
        <v>309</v>
      </c>
      <c r="B8">
        <f>H20</f>
        <v>75617.918455084713</v>
      </c>
      <c r="C8">
        <f>B8*$B$50/10^3</f>
        <v>152800.5975147096</v>
      </c>
      <c r="G8" s="7" t="s">
        <v>313</v>
      </c>
      <c r="H8">
        <f>((11.44*PI()*0.21^2)/4)*2*16*B46</f>
        <v>102197.32195567773</v>
      </c>
      <c r="I8">
        <f>H8*$B$50/10^3</f>
        <v>206509.41176734635</v>
      </c>
      <c r="L8" s="25" t="s">
        <v>314</v>
      </c>
      <c r="M8" s="25" t="s">
        <v>315</v>
      </c>
      <c r="N8" s="25">
        <f>P7+M7</f>
        <v>16255.135958046261</v>
      </c>
      <c r="O8" s="25"/>
      <c r="P8" s="25"/>
      <c r="Q8" t="s">
        <v>316</v>
      </c>
      <c r="T8" s="25" t="s">
        <v>317</v>
      </c>
      <c r="U8" s="25" t="s">
        <v>318</v>
      </c>
      <c r="V8" s="25" t="s">
        <v>76</v>
      </c>
      <c r="W8" s="25" t="s">
        <v>314</v>
      </c>
      <c r="X8" s="25" t="s">
        <v>315</v>
      </c>
      <c r="Y8" s="25">
        <f>AA7+X7</f>
        <v>34498.816570201649</v>
      </c>
      <c r="Z8" s="25"/>
      <c r="AA8" s="25"/>
      <c r="AB8" t="s">
        <v>316</v>
      </c>
    </row>
    <row r="9" spans="1:30" x14ac:dyDescent="0.25">
      <c r="A9" s="7" t="s">
        <v>319</v>
      </c>
      <c r="B9">
        <f>D13</f>
        <v>1599103.9999999998</v>
      </c>
      <c r="C9">
        <f t="shared" ref="C9" si="1">B9*$B$50/10^3</f>
        <v>3231298.2383044153</v>
      </c>
      <c r="G9" s="7" t="s">
        <v>320</v>
      </c>
      <c r="H9">
        <f>E31</f>
        <v>28371.200000000001</v>
      </c>
      <c r="I9">
        <f t="shared" si="0"/>
        <v>57329.484873142857</v>
      </c>
      <c r="N9" t="s">
        <v>321</v>
      </c>
      <c r="Q9" t="s">
        <v>322</v>
      </c>
      <c r="T9">
        <f>1920</f>
        <v>1920</v>
      </c>
      <c r="U9">
        <f>13.7667</f>
        <v>13.7667</v>
      </c>
      <c r="V9">
        <f>0.8</f>
        <v>0.8</v>
      </c>
      <c r="Y9" t="s">
        <v>321</v>
      </c>
      <c r="AB9" t="s">
        <v>322</v>
      </c>
    </row>
    <row r="10" spans="1:30" x14ac:dyDescent="0.25">
      <c r="A10" s="7" t="s">
        <v>323</v>
      </c>
      <c r="C10" s="26">
        <f>SUM(C5:C9)</f>
        <v>4968391.4593772646</v>
      </c>
      <c r="G10" s="7" t="s">
        <v>324</v>
      </c>
      <c r="H10">
        <f>D25</f>
        <v>6396415.9999999991</v>
      </c>
      <c r="I10">
        <f t="shared" si="0"/>
        <v>12925192.953217661</v>
      </c>
      <c r="L10" t="s">
        <v>325</v>
      </c>
      <c r="M10" t="s">
        <v>326</v>
      </c>
      <c r="N10" t="s">
        <v>327</v>
      </c>
      <c r="Q10" s="27" t="s">
        <v>328</v>
      </c>
      <c r="R10">
        <f>N8*1400/675</f>
        <v>33714.356061132989</v>
      </c>
      <c r="S10" t="s">
        <v>329</v>
      </c>
      <c r="T10" s="25" t="s">
        <v>330</v>
      </c>
      <c r="U10" s="25" t="s">
        <v>331</v>
      </c>
      <c r="W10" t="s">
        <v>325</v>
      </c>
      <c r="X10" t="s">
        <v>326</v>
      </c>
      <c r="Y10" t="s">
        <v>327</v>
      </c>
      <c r="AB10" s="27" t="s">
        <v>328</v>
      </c>
      <c r="AC10">
        <f>Y8*1400/675</f>
        <v>71553.101034492312</v>
      </c>
    </row>
    <row r="11" spans="1:30" x14ac:dyDescent="0.25">
      <c r="A11" s="7" t="s">
        <v>398</v>
      </c>
      <c r="B11">
        <f>C10+I11</f>
        <v>19362232.12724559</v>
      </c>
      <c r="H11" t="s">
        <v>12</v>
      </c>
      <c r="I11" s="26">
        <f>SUM(I5:I10)</f>
        <v>14393840.667868325</v>
      </c>
      <c r="L11">
        <f>(131-55)</f>
        <v>76</v>
      </c>
      <c r="M11">
        <f>(L11-L12)/(LN(L11/L12))</f>
        <v>79.20555313909469</v>
      </c>
      <c r="S11">
        <f>1.988</f>
        <v>1.988</v>
      </c>
      <c r="T11">
        <f>T9*U9^V9</f>
        <v>15644.623194737826</v>
      </c>
      <c r="U11" s="26">
        <f>T11*(1+S11/100)*0.82</f>
        <v>13083.623409156353</v>
      </c>
      <c r="W11">
        <f>(131-55)</f>
        <v>76</v>
      </c>
      <c r="X11">
        <f>(W11-W12)/(LN(W11/W12))</f>
        <v>79.20555313909469</v>
      </c>
    </row>
    <row r="12" spans="1:30" x14ac:dyDescent="0.25">
      <c r="A12" s="7" t="s">
        <v>332</v>
      </c>
      <c r="C12" t="s">
        <v>296</v>
      </c>
      <c r="D12" t="s">
        <v>333</v>
      </c>
      <c r="L12">
        <f>102.5-20</f>
        <v>82.5</v>
      </c>
      <c r="M12">
        <f>M4/(450*M11)</f>
        <v>1104.2996759717648</v>
      </c>
      <c r="N12" s="34" t="s">
        <v>334</v>
      </c>
      <c r="T12" s="25" t="s">
        <v>335</v>
      </c>
      <c r="W12">
        <f>102.5-20</f>
        <v>82.5</v>
      </c>
      <c r="X12">
        <f>X4/(450*X11)</f>
        <v>806.62133343974187</v>
      </c>
      <c r="Y12" t="s">
        <v>334</v>
      </c>
    </row>
    <row r="13" spans="1:30" x14ac:dyDescent="0.25">
      <c r="A13" s="25" t="s">
        <v>336</v>
      </c>
      <c r="B13">
        <f>Sheet2!AT24</f>
        <v>6.0407979705751888E-2</v>
      </c>
      <c r="C13">
        <f>(PI()*(B15^2)*B13*2+PI()*B15*B14*B13)*8060</f>
        <v>399775.99999999994</v>
      </c>
      <c r="D13" s="20">
        <f>4*C13</f>
        <v>1599103.9999999998</v>
      </c>
      <c r="M13" s="28" t="s">
        <v>337</v>
      </c>
    </row>
    <row r="14" spans="1:30" x14ac:dyDescent="0.25">
      <c r="A14" s="25" t="s">
        <v>338</v>
      </c>
      <c r="B14">
        <f>Sheet2!AU24</f>
        <v>10.100214206801718</v>
      </c>
      <c r="L14" t="s">
        <v>339</v>
      </c>
      <c r="M14" s="29" t="s">
        <v>340</v>
      </c>
      <c r="T14" t="s">
        <v>341</v>
      </c>
      <c r="Y14" s="25" t="s">
        <v>342</v>
      </c>
      <c r="Z14" t="s">
        <v>343</v>
      </c>
    </row>
    <row r="15" spans="1:30" x14ac:dyDescent="0.25">
      <c r="A15" s="25" t="s">
        <v>344</v>
      </c>
      <c r="B15">
        <f>Sheet2!AV24</f>
        <v>9.1820129152742869</v>
      </c>
      <c r="Y15">
        <f>14.91</f>
        <v>14.91</v>
      </c>
      <c r="Z15">
        <f>X4/(Y15*450)</f>
        <v>4284.969073701468</v>
      </c>
    </row>
    <row r="16" spans="1:30" x14ac:dyDescent="0.25">
      <c r="L16" s="7" t="s">
        <v>408</v>
      </c>
      <c r="X16" s="7" t="s">
        <v>408</v>
      </c>
    </row>
    <row r="17" spans="1:28" x14ac:dyDescent="0.25">
      <c r="L17" s="25" t="s">
        <v>409</v>
      </c>
      <c r="M17" t="s">
        <v>410</v>
      </c>
      <c r="N17" s="25" t="s">
        <v>412</v>
      </c>
      <c r="O17" s="25" t="s">
        <v>413</v>
      </c>
      <c r="P17" s="25" t="s">
        <v>416</v>
      </c>
      <c r="X17" s="25" t="s">
        <v>409</v>
      </c>
      <c r="Y17" t="s">
        <v>410</v>
      </c>
      <c r="Z17" s="25" t="s">
        <v>412</v>
      </c>
      <c r="AA17" s="25" t="s">
        <v>413</v>
      </c>
      <c r="AB17" s="25" t="s">
        <v>416</v>
      </c>
    </row>
    <row r="18" spans="1:28" x14ac:dyDescent="0.25">
      <c r="A18" s="25" t="s">
        <v>345</v>
      </c>
      <c r="B18">
        <f>(B14-1)*(PI()*Sheet2!AR25^2)/4</f>
        <v>2.2556293035766894</v>
      </c>
      <c r="C18">
        <f>B18*B46</f>
        <v>18180.372186828117</v>
      </c>
      <c r="D18" s="20">
        <f>C18*4</f>
        <v>72721.488747312469</v>
      </c>
      <c r="L18">
        <f>N4*M18/(2*0.8*E45)</f>
        <v>6.201388888888889E-5</v>
      </c>
      <c r="M18">
        <f>(5-1.77)*10^5</f>
        <v>323000</v>
      </c>
      <c r="N18">
        <f>(5*10^5)*R4/(2*E45*0.8)</f>
        <v>4.0849673202614381E-3</v>
      </c>
      <c r="O18">
        <f>(5*10^5)*R4/(2*0.8*E45-0.2*5*10^5)</f>
        <v>4.0858018386108275E-3</v>
      </c>
      <c r="P18">
        <f>R4*(0.1*5*10^5/(0.8*E45))^0.5</f>
        <v>5.7166195047502949E-2</v>
      </c>
      <c r="X18">
        <f>Y4*Y18/(2*0.8*E45)</f>
        <v>8.3333333333333331E-5</v>
      </c>
      <c r="Y18">
        <f>(5-1.6)*10^5</f>
        <v>340000</v>
      </c>
      <c r="Z18">
        <f>(1.6*10^5)*AC4/(2*E45*0.8)</f>
        <v>1.6339869281045752E-3</v>
      </c>
      <c r="AA18">
        <f>(1.6*10^5)*AC4/(2*0.8*E45-0.2*1.6*10^5)</f>
        <v>1.6340937316164455E-3</v>
      </c>
      <c r="AB18">
        <f>AC4*(0.1*1.6*10^5/(0.8*E45))^0.5</f>
        <v>4.0422604172722164E-2</v>
      </c>
    </row>
    <row r="19" spans="1:28" x14ac:dyDescent="0.25">
      <c r="A19" s="25" t="s">
        <v>346</v>
      </c>
      <c r="B19" s="26">
        <f>22.03</f>
        <v>22.03</v>
      </c>
      <c r="L19" t="s">
        <v>411</v>
      </c>
      <c r="N19" t="s">
        <v>414</v>
      </c>
      <c r="X19" t="s">
        <v>411</v>
      </c>
      <c r="Z19" t="s">
        <v>414</v>
      </c>
    </row>
    <row r="20" spans="1:28" x14ac:dyDescent="0.25">
      <c r="A20" s="25" t="s">
        <v>347</v>
      </c>
      <c r="B20">
        <f>Sheet2!AL25</f>
        <v>6.3226801162777413</v>
      </c>
      <c r="C20">
        <f>Sheet2!AL24</f>
        <v>0.91820129152742869</v>
      </c>
      <c r="D20">
        <f>Sheet2!AL26</f>
        <v>0.10100214206801718</v>
      </c>
      <c r="E20">
        <f>D20*C20*B20</f>
        <v>0.58636723367776611</v>
      </c>
      <c r="F20">
        <f>E20*B46</f>
        <v>4726.1199034427946</v>
      </c>
      <c r="G20">
        <f>F20*4</f>
        <v>18904.479613771178</v>
      </c>
      <c r="H20" s="20">
        <f>G20*4</f>
        <v>75617.918455084713</v>
      </c>
      <c r="N20">
        <f>N18*10</f>
        <v>4.084967320261438E-2</v>
      </c>
      <c r="Z20">
        <f>Z18*10</f>
        <v>1.6339869281045753E-2</v>
      </c>
    </row>
    <row r="21" spans="1:28" x14ac:dyDescent="0.25">
      <c r="A21" s="25" t="s">
        <v>348</v>
      </c>
      <c r="B21">
        <f>Sheet2!AP24</f>
        <v>3.0300642620405149</v>
      </c>
      <c r="C21">
        <f>Sheet2!AP25</f>
        <v>0.60601285240810299</v>
      </c>
      <c r="D21">
        <f>3*10^-3</f>
        <v>3.0000000000000001E-3</v>
      </c>
      <c r="E21">
        <f>3*D21*C21*B21</f>
        <v>1.6526320977771236E-2</v>
      </c>
      <c r="F21">
        <f>E21*B46</f>
        <v>133.20214708083617</v>
      </c>
      <c r="G21">
        <f>2*F21</f>
        <v>266.40429416167234</v>
      </c>
      <c r="H21" s="20">
        <f>4*G21</f>
        <v>1065.6171766466894</v>
      </c>
      <c r="O21" t="s">
        <v>415</v>
      </c>
      <c r="P21" t="s">
        <v>417</v>
      </c>
      <c r="AA21" t="s">
        <v>415</v>
      </c>
      <c r="AB21" t="s">
        <v>417</v>
      </c>
    </row>
    <row r="24" spans="1:28" x14ac:dyDescent="0.25">
      <c r="A24" s="7" t="s">
        <v>349</v>
      </c>
      <c r="C24" t="s">
        <v>296</v>
      </c>
      <c r="D24" t="s">
        <v>333</v>
      </c>
    </row>
    <row r="25" spans="1:28" x14ac:dyDescent="0.25">
      <c r="A25" s="25" t="s">
        <v>336</v>
      </c>
      <c r="B25">
        <f>B13</f>
        <v>6.0407979705751888E-2</v>
      </c>
      <c r="C25">
        <f>(PI()*(B27^2)*B25*2+PI()*B27*B26*B25)*8060</f>
        <v>399775.99999999994</v>
      </c>
      <c r="D25" s="20">
        <f>16*C25</f>
        <v>6396415.9999999991</v>
      </c>
    </row>
    <row r="26" spans="1:28" x14ac:dyDescent="0.25">
      <c r="A26" s="25" t="s">
        <v>338</v>
      </c>
      <c r="B26">
        <f t="shared" ref="B26:B27" si="2">B14</f>
        <v>10.100214206801718</v>
      </c>
    </row>
    <row r="27" spans="1:28" x14ac:dyDescent="0.25">
      <c r="A27" s="25" t="s">
        <v>344</v>
      </c>
      <c r="B27">
        <f t="shared" si="2"/>
        <v>9.1820129152742869</v>
      </c>
    </row>
    <row r="30" spans="1:28" x14ac:dyDescent="0.25">
      <c r="A30" s="25" t="s">
        <v>345</v>
      </c>
      <c r="B30">
        <f>(B26-1*3.53/3)*(PI()*Sheet2!AR25^2)/4</f>
        <v>2.2118397288213281</v>
      </c>
      <c r="C30">
        <f>B30*B46</f>
        <v>17827.428214299904</v>
      </c>
      <c r="D30" s="20">
        <f>C30*16</f>
        <v>285238.85142879846</v>
      </c>
    </row>
    <row r="31" spans="1:28" x14ac:dyDescent="0.25">
      <c r="A31" s="25" t="s">
        <v>346</v>
      </c>
      <c r="B31" s="26">
        <v>76.95</v>
      </c>
      <c r="C31">
        <f>0.22</f>
        <v>0.22</v>
      </c>
      <c r="D31">
        <f>C31*B46</f>
        <v>1773.2</v>
      </c>
      <c r="E31" s="20">
        <f>D31*16</f>
        <v>28371.200000000001</v>
      </c>
      <c r="F31" t="s">
        <v>350</v>
      </c>
    </row>
    <row r="32" spans="1:28" x14ac:dyDescent="0.25">
      <c r="A32" s="25" t="s">
        <v>347</v>
      </c>
      <c r="B32">
        <f>B20</f>
        <v>6.3226801162777413</v>
      </c>
      <c r="C32">
        <f t="shared" ref="C32:G32" si="3">C20</f>
        <v>0.91820129152742869</v>
      </c>
      <c r="D32">
        <f t="shared" si="3"/>
        <v>0.10100214206801718</v>
      </c>
      <c r="E32">
        <f t="shared" si="3"/>
        <v>0.58636723367776611</v>
      </c>
      <c r="F32">
        <f>F20</f>
        <v>4726.1199034427946</v>
      </c>
      <c r="G32">
        <f t="shared" si="3"/>
        <v>18904.479613771178</v>
      </c>
      <c r="H32">
        <f>H20*16/4</f>
        <v>302471.67382033885</v>
      </c>
    </row>
    <row r="33" spans="1:8" x14ac:dyDescent="0.25">
      <c r="A33" s="25" t="s">
        <v>348</v>
      </c>
      <c r="B33">
        <f>B21</f>
        <v>3.0300642620405149</v>
      </c>
      <c r="C33">
        <f t="shared" ref="C33:F33" si="4">C21</f>
        <v>0.60601285240810299</v>
      </c>
      <c r="D33">
        <f t="shared" si="4"/>
        <v>3.0000000000000001E-3</v>
      </c>
      <c r="E33">
        <f t="shared" si="4"/>
        <v>1.6526320977771236E-2</v>
      </c>
      <c r="F33">
        <f t="shared" si="4"/>
        <v>133.20214708083617</v>
      </c>
      <c r="G33">
        <f>G21*4/2</f>
        <v>532.80858832334468</v>
      </c>
      <c r="H33">
        <f>G33*16</f>
        <v>8524.9374131735149</v>
      </c>
    </row>
    <row r="35" spans="1:8" x14ac:dyDescent="0.25">
      <c r="A35" s="25" t="s">
        <v>351</v>
      </c>
    </row>
    <row r="36" spans="1:8" x14ac:dyDescent="0.25">
      <c r="A36" s="25" t="s">
        <v>352</v>
      </c>
    </row>
    <row r="40" spans="1:8" x14ac:dyDescent="0.25">
      <c r="D40" t="s">
        <v>353</v>
      </c>
    </row>
    <row r="43" spans="1:8" x14ac:dyDescent="0.25">
      <c r="B43" s="7" t="s">
        <v>281</v>
      </c>
      <c r="E43" s="7" t="s">
        <v>282</v>
      </c>
    </row>
    <row r="44" spans="1:8" x14ac:dyDescent="0.25">
      <c r="A44" t="s">
        <v>354</v>
      </c>
      <c r="B44">
        <f>0.82</f>
        <v>0.82</v>
      </c>
    </row>
    <row r="45" spans="1:8" x14ac:dyDescent="0.25">
      <c r="A45" s="7" t="s">
        <v>355</v>
      </c>
      <c r="B45">
        <f>475*10^6</f>
        <v>475000000</v>
      </c>
      <c r="E45">
        <f>306*10^6</f>
        <v>306000000</v>
      </c>
    </row>
    <row r="46" spans="1:8" x14ac:dyDescent="0.25">
      <c r="A46" s="7" t="s">
        <v>218</v>
      </c>
      <c r="B46">
        <f>8060</f>
        <v>8060</v>
      </c>
      <c r="E46">
        <v>7870</v>
      </c>
    </row>
    <row r="47" spans="1:8" x14ac:dyDescent="0.25">
      <c r="A47" s="7" t="s">
        <v>356</v>
      </c>
      <c r="B47">
        <f>2492</f>
        <v>2492</v>
      </c>
      <c r="E47">
        <f>620</f>
        <v>620</v>
      </c>
    </row>
    <row r="48" spans="1:8" x14ac:dyDescent="0.25">
      <c r="A48" s="7" t="s">
        <v>357</v>
      </c>
      <c r="B48">
        <v>132.80000000000001</v>
      </c>
      <c r="E48">
        <v>155.4</v>
      </c>
    </row>
    <row r="49" spans="1:5" x14ac:dyDescent="0.25">
      <c r="A49" s="7" t="s">
        <v>358</v>
      </c>
      <c r="B49">
        <f>B48*533/539</f>
        <v>131.32170686456402</v>
      </c>
      <c r="E49">
        <f>E48*533/539</f>
        <v>153.67012987012987</v>
      </c>
    </row>
    <row r="50" spans="1:5" x14ac:dyDescent="0.25">
      <c r="A50" s="7" t="s">
        <v>359</v>
      </c>
      <c r="B50" s="25">
        <f>B47*B44*B49/B48</f>
        <v>2020.692987012987</v>
      </c>
      <c r="E50" s="25">
        <f>E47*E49*B44/E48</f>
        <v>502.74063079777358</v>
      </c>
    </row>
    <row r="53" spans="1:5" x14ac:dyDescent="0.25">
      <c r="A53" t="s">
        <v>360</v>
      </c>
      <c r="B53" s="29" t="s">
        <v>361</v>
      </c>
    </row>
    <row r="54" spans="1:5" x14ac:dyDescent="0.25">
      <c r="A54" t="s">
        <v>362</v>
      </c>
    </row>
    <row r="55" spans="1:5" x14ac:dyDescent="0.25">
      <c r="A55" t="s">
        <v>363</v>
      </c>
    </row>
    <row r="56" spans="1:5" x14ac:dyDescent="0.25">
      <c r="A56" t="s">
        <v>364</v>
      </c>
    </row>
    <row r="57" spans="1:5" x14ac:dyDescent="0.25">
      <c r="A57" t="s">
        <v>365</v>
      </c>
    </row>
    <row r="58" spans="1:5" x14ac:dyDescent="0.25">
      <c r="A58" t="s">
        <v>366</v>
      </c>
    </row>
  </sheetData>
  <hyperlinks>
    <hyperlink ref="B53" r:id="rId1" xr:uid="{492C86B5-7601-4D4F-BF75-4EF276BA6457}"/>
    <hyperlink ref="M14" r:id="rId2" xr:uid="{8B642C26-A491-452E-96FE-67B12C702D6D}"/>
  </hyperlinks>
  <pageMargins left="0.7" right="0.7" top="0.75" bottom="0.75" header="0.3" footer="0.3"/>
  <pageSetup paperSize="9" orientation="portrait" verticalDpi="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4EB42-EFB5-40B9-9F72-08EF4492C406}">
  <dimension ref="A1:K10"/>
  <sheetViews>
    <sheetView workbookViewId="0">
      <selection activeCell="E4" sqref="E4"/>
    </sheetView>
  </sheetViews>
  <sheetFormatPr defaultRowHeight="15" x14ac:dyDescent="0.25"/>
  <cols>
    <col min="5" max="6" width="12" bestFit="1" customWidth="1"/>
    <col min="8" max="8" width="12" bestFit="1" customWidth="1"/>
  </cols>
  <sheetData>
    <row r="1" spans="1:11" x14ac:dyDescent="0.25">
      <c r="A1" t="s">
        <v>470</v>
      </c>
      <c r="J1" t="s">
        <v>479</v>
      </c>
    </row>
    <row r="2" spans="1:11" x14ac:dyDescent="0.25">
      <c r="A2" t="s">
        <v>471</v>
      </c>
      <c r="B2" t="s">
        <v>472</v>
      </c>
      <c r="C2" t="s">
        <v>184</v>
      </c>
      <c r="E2" t="s">
        <v>476</v>
      </c>
      <c r="F2" t="s">
        <v>477</v>
      </c>
      <c r="H2" t="s">
        <v>478</v>
      </c>
      <c r="J2">
        <f>E5</f>
        <v>3097600</v>
      </c>
    </row>
    <row r="3" spans="1:11" x14ac:dyDescent="0.25">
      <c r="A3">
        <f>10.1*16</f>
        <v>161.6</v>
      </c>
      <c r="B3">
        <f>50.1*4</f>
        <v>200.4</v>
      </c>
      <c r="C3">
        <f>3.52*10^6</f>
        <v>3520000</v>
      </c>
      <c r="D3">
        <f>28.32*10^6</f>
        <v>28320000</v>
      </c>
      <c r="E3">
        <f>C3*8000</f>
        <v>28160000000</v>
      </c>
      <c r="F3">
        <f>D3*8000</f>
        <v>226560000000</v>
      </c>
      <c r="H3">
        <f>A6*A3*8000*3600/10^3</f>
        <v>325785.60000000003</v>
      </c>
      <c r="J3">
        <f>F5</f>
        <v>24921600</v>
      </c>
      <c r="K3">
        <f>J3+J2</f>
        <v>28019200</v>
      </c>
    </row>
    <row r="4" spans="1:11" x14ac:dyDescent="0.25">
      <c r="A4" t="s">
        <v>473</v>
      </c>
      <c r="C4">
        <f>C3/(33*10^3*(3)^0.5)</f>
        <v>61.584028713560087</v>
      </c>
      <c r="E4">
        <f>E3*0.11</f>
        <v>3097600000</v>
      </c>
      <c r="F4">
        <f>F3*0.11</f>
        <v>24921600000</v>
      </c>
      <c r="H4">
        <f>B6*B3*8000*3600/10^4</f>
        <v>5771520</v>
      </c>
      <c r="J4">
        <f>H3</f>
        <v>325785.60000000003</v>
      </c>
    </row>
    <row r="5" spans="1:11" x14ac:dyDescent="0.25">
      <c r="A5" t="s">
        <v>471</v>
      </c>
      <c r="B5" t="s">
        <v>474</v>
      </c>
      <c r="C5" t="s">
        <v>475</v>
      </c>
      <c r="E5" s="25">
        <f>E4/10^3</f>
        <v>3097600</v>
      </c>
      <c r="F5" s="25">
        <f>F4/10^3</f>
        <v>24921600</v>
      </c>
      <c r="H5">
        <f>A3*8000*3600</f>
        <v>4654080000</v>
      </c>
      <c r="J5">
        <f>H4</f>
        <v>5771520</v>
      </c>
    </row>
    <row r="6" spans="1:11" x14ac:dyDescent="0.25">
      <c r="A6">
        <f>0.07</f>
        <v>7.0000000000000007E-2</v>
      </c>
      <c r="B6">
        <f>10</f>
        <v>10</v>
      </c>
      <c r="C6">
        <v>0.11</v>
      </c>
      <c r="H6">
        <f>H5/10^9</f>
        <v>4.6540800000000004</v>
      </c>
    </row>
    <row r="7" spans="1:11" x14ac:dyDescent="0.25">
      <c r="E7">
        <f>E3/10^3</f>
        <v>28160000</v>
      </c>
      <c r="F7">
        <f>E7*0.11</f>
        <v>3097600</v>
      </c>
      <c r="H7">
        <f>B3*8000*3600</f>
        <v>5771520000</v>
      </c>
    </row>
    <row r="8" spans="1:11" x14ac:dyDescent="0.25">
      <c r="E8">
        <f>F3/10^3</f>
        <v>226560000</v>
      </c>
      <c r="H8">
        <f>H7/10</f>
        <v>577152000</v>
      </c>
    </row>
    <row r="9" spans="1:11" x14ac:dyDescent="0.25">
      <c r="E9">
        <f>E8+E7</f>
        <v>254720000</v>
      </c>
      <c r="H9">
        <f>H8/10^9</f>
        <v>0.577152</v>
      </c>
    </row>
    <row r="10" spans="1:11" x14ac:dyDescent="0.25">
      <c r="E10">
        <f>E9*0.11</f>
        <v>28019200</v>
      </c>
      <c r="F10">
        <f>F7+F5</f>
        <v>28019200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AC47-5553-4B03-BD77-71571F0319C9}">
  <dimension ref="A1:Y25"/>
  <sheetViews>
    <sheetView topLeftCell="M13" workbookViewId="0">
      <selection activeCell="X18" sqref="X18"/>
    </sheetView>
  </sheetViews>
  <sheetFormatPr defaultRowHeight="15" x14ac:dyDescent="0.25"/>
  <sheetData>
    <row r="1" spans="1:24" x14ac:dyDescent="0.25">
      <c r="A1" t="s">
        <v>217</v>
      </c>
      <c r="B1" t="s">
        <v>226</v>
      </c>
      <c r="P1" t="s">
        <v>235</v>
      </c>
      <c r="R1" t="s">
        <v>237</v>
      </c>
      <c r="S1" t="s">
        <v>238</v>
      </c>
    </row>
    <row r="2" spans="1:24" x14ac:dyDescent="0.25">
      <c r="B2">
        <f>1.6*10^5</f>
        <v>160000</v>
      </c>
      <c r="Q2" t="s">
        <v>236</v>
      </c>
      <c r="R2">
        <f>9000</f>
        <v>9000</v>
      </c>
      <c r="S2">
        <f>15000</f>
        <v>15000</v>
      </c>
    </row>
    <row r="3" spans="1:24" x14ac:dyDescent="0.25">
      <c r="A3" t="s">
        <v>218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  <c r="G3" s="25" t="s">
        <v>224</v>
      </c>
      <c r="H3" t="s">
        <v>225</v>
      </c>
      <c r="I3" t="s">
        <v>227</v>
      </c>
      <c r="J3" t="s">
        <v>228</v>
      </c>
      <c r="K3" t="s">
        <v>229</v>
      </c>
      <c r="L3" t="s">
        <v>230</v>
      </c>
      <c r="M3" s="25" t="s">
        <v>231</v>
      </c>
      <c r="N3" t="s">
        <v>233</v>
      </c>
      <c r="P3" t="s">
        <v>234</v>
      </c>
    </row>
    <row r="4" spans="1:24" x14ac:dyDescent="0.25">
      <c r="A4">
        <f>984.4</f>
        <v>984.4</v>
      </c>
      <c r="B4">
        <f>0.34*10^-3</f>
        <v>3.4000000000000002E-4</v>
      </c>
      <c r="C4">
        <f>Sheet1!CH18/Sheet4!A4</f>
        <v>1216.8373967222001</v>
      </c>
      <c r="D4">
        <f>0.75</f>
        <v>0.75</v>
      </c>
      <c r="E4">
        <f>27.02</f>
        <v>27.02</v>
      </c>
      <c r="F4">
        <f>E4/0.75</f>
        <v>36.026666666666664</v>
      </c>
      <c r="G4">
        <f>18.43</f>
        <v>18.43</v>
      </c>
      <c r="H4">
        <f>(B2-1*10^5)/(A4*9.81)</f>
        <v>6.2131328231108656</v>
      </c>
      <c r="I4">
        <f>9.18</f>
        <v>9.18</v>
      </c>
      <c r="J4">
        <f>H4+I4</f>
        <v>15.393132823110864</v>
      </c>
      <c r="K4">
        <f>0.12*10^5</f>
        <v>12000</v>
      </c>
      <c r="L4">
        <f>4.958</f>
        <v>4.9580000000000002</v>
      </c>
      <c r="M4">
        <f>L4/0.3048</f>
        <v>16.266404199475065</v>
      </c>
      <c r="N4">
        <f>C4/(0.2271)</f>
        <v>5358.156744703655</v>
      </c>
      <c r="P4">
        <f>S2</f>
        <v>15000</v>
      </c>
      <c r="Q4">
        <f>((M4)^0.75)*P4/(N4^0.5)</f>
        <v>1659.7864768401132</v>
      </c>
    </row>
    <row r="5" spans="1:24" x14ac:dyDescent="0.25">
      <c r="A5" t="s">
        <v>405</v>
      </c>
      <c r="C5">
        <f>C4/3600</f>
        <v>0.33801038797838889</v>
      </c>
    </row>
    <row r="6" spans="1:24" x14ac:dyDescent="0.25">
      <c r="A6" s="25" t="s">
        <v>232</v>
      </c>
      <c r="D6">
        <f>C4/3600</f>
        <v>0.33801038797838889</v>
      </c>
    </row>
    <row r="8" spans="1:24" x14ac:dyDescent="0.25">
      <c r="B8" t="s">
        <v>239</v>
      </c>
    </row>
    <row r="9" spans="1:24" x14ac:dyDescent="0.25">
      <c r="B9" t="s">
        <v>220</v>
      </c>
      <c r="C9" t="s">
        <v>240</v>
      </c>
      <c r="D9" t="s">
        <v>170</v>
      </c>
      <c r="H9" t="s">
        <v>241</v>
      </c>
      <c r="J9" t="s">
        <v>242</v>
      </c>
    </row>
    <row r="10" spans="1:24" x14ac:dyDescent="0.25">
      <c r="B10">
        <f>300</f>
        <v>300</v>
      </c>
      <c r="C10">
        <f>200</f>
        <v>200</v>
      </c>
      <c r="D10">
        <f>5</f>
        <v>5</v>
      </c>
      <c r="H10">
        <f>(N4/B10)*D10</f>
        <v>89.30261241172758</v>
      </c>
      <c r="J10">
        <f>((28.97/C10)*D10^2)^0.5</f>
        <v>1.9029582233985065</v>
      </c>
    </row>
    <row r="11" spans="1:24" x14ac:dyDescent="0.25">
      <c r="H11">
        <f>H10*1.54</f>
        <v>137.52602311406048</v>
      </c>
      <c r="J11">
        <f>J10*2.54</f>
        <v>4.8335138874322068</v>
      </c>
    </row>
    <row r="12" spans="1:24" x14ac:dyDescent="0.25">
      <c r="H12" t="s">
        <v>243</v>
      </c>
    </row>
    <row r="16" spans="1:24" x14ac:dyDescent="0.25">
      <c r="A16" t="s">
        <v>454</v>
      </c>
      <c r="R16" t="s">
        <v>481</v>
      </c>
      <c r="S16" t="s">
        <v>482</v>
      </c>
      <c r="T16" t="s">
        <v>483</v>
      </c>
      <c r="U16" t="s">
        <v>484</v>
      </c>
      <c r="V16" t="s">
        <v>485</v>
      </c>
      <c r="W16" t="s">
        <v>230</v>
      </c>
      <c r="X16" t="s">
        <v>489</v>
      </c>
    </row>
    <row r="17" spans="1:25" x14ac:dyDescent="0.25">
      <c r="A17" t="s">
        <v>455</v>
      </c>
      <c r="B17" t="s">
        <v>456</v>
      </c>
      <c r="C17" t="s">
        <v>181</v>
      </c>
      <c r="D17" t="s">
        <v>181</v>
      </c>
      <c r="E17" t="s">
        <v>449</v>
      </c>
      <c r="F17" t="s">
        <v>457</v>
      </c>
      <c r="G17" t="s">
        <v>458</v>
      </c>
      <c r="H17" t="s">
        <v>459</v>
      </c>
      <c r="I17" t="s">
        <v>460</v>
      </c>
      <c r="J17" t="s">
        <v>461</v>
      </c>
      <c r="K17" t="s">
        <v>462</v>
      </c>
      <c r="L17" t="s">
        <v>463</v>
      </c>
      <c r="M17" t="s">
        <v>220</v>
      </c>
      <c r="N17" s="30" t="s">
        <v>230</v>
      </c>
      <c r="O17" s="31" t="s">
        <v>464</v>
      </c>
      <c r="P17" s="31" t="s">
        <v>465</v>
      </c>
      <c r="R17" t="s">
        <v>480</v>
      </c>
      <c r="S17">
        <f>9.18+1 *10^5/(9.18*985)</f>
        <v>20.23913318514095</v>
      </c>
      <c r="T17">
        <f>I18</f>
        <v>6.4720652480751832</v>
      </c>
      <c r="U17">
        <f>T17</f>
        <v>6.4720652480751832</v>
      </c>
      <c r="V17">
        <f>(0.3*10^5)/(985*9.81)</f>
        <v>3.104674086837734</v>
      </c>
      <c r="W17">
        <f>U17+V17-J18/(985*9.18)</f>
        <v>1.8151078915854439</v>
      </c>
      <c r="X17">
        <f>U17+V17</f>
        <v>9.5767393349129168</v>
      </c>
      <c r="Y17">
        <f>X17/0.3048</f>
        <v>31.41974847412374</v>
      </c>
    </row>
    <row r="18" spans="1:25" x14ac:dyDescent="0.25">
      <c r="A18">
        <f>C4*4/(3600*PI()*B18^2)</f>
        <v>9.7589159298267507</v>
      </c>
      <c r="B18">
        <f>0.21</f>
        <v>0.21</v>
      </c>
      <c r="C18">
        <f>A4*A18*B18/B4</f>
        <v>5933535.6961103091</v>
      </c>
      <c r="D18">
        <f>C18/10^5</f>
        <v>59.335356961103088</v>
      </c>
      <c r="E18">
        <f>0.05*10^-3/B18</f>
        <v>2.3809523809523812E-4</v>
      </c>
      <c r="F18">
        <f>5</f>
        <v>5</v>
      </c>
      <c r="G18">
        <f>15</f>
        <v>15</v>
      </c>
      <c r="H18">
        <f>0.014</f>
        <v>1.4E-2</v>
      </c>
      <c r="I18">
        <f>H18*K18*A18^2/(B18*2*9.81)</f>
        <v>6.4720652480751832</v>
      </c>
      <c r="J18">
        <f>0.70183*10^5</f>
        <v>70183</v>
      </c>
      <c r="K18">
        <f>F18+G18</f>
        <v>20</v>
      </c>
      <c r="L18">
        <f>0.5*A18^2/(2*9.81)</f>
        <v>2.4270244680281934</v>
      </c>
      <c r="M18">
        <f>D6</f>
        <v>0.33801038797838889</v>
      </c>
      <c r="N18">
        <f>L18-J18/(A4*9.81)</f>
        <v>-4.8405805473783055</v>
      </c>
      <c r="O18">
        <f>L18/0.3048</f>
        <v>7.9626787008798994</v>
      </c>
      <c r="P18">
        <f>C4/0.2271</f>
        <v>5358.156744703655</v>
      </c>
      <c r="R18">
        <f>0</f>
        <v>0</v>
      </c>
    </row>
    <row r="19" spans="1:25" x14ac:dyDescent="0.25">
      <c r="N19">
        <f>N18/0.3048</f>
        <v>-15.881169774863206</v>
      </c>
    </row>
    <row r="21" spans="1:25" x14ac:dyDescent="0.25">
      <c r="A21" t="s">
        <v>466</v>
      </c>
      <c r="L21" t="s">
        <v>467</v>
      </c>
      <c r="R21" t="s">
        <v>486</v>
      </c>
      <c r="S21" t="s">
        <v>487</v>
      </c>
      <c r="T21" t="s">
        <v>488</v>
      </c>
      <c r="U21" t="s">
        <v>484</v>
      </c>
      <c r="V21" t="s">
        <v>230</v>
      </c>
      <c r="X21" t="s">
        <v>489</v>
      </c>
    </row>
    <row r="22" spans="1:25" x14ac:dyDescent="0.25">
      <c r="A22">
        <f>A18</f>
        <v>9.7589159298267507</v>
      </c>
      <c r="B22">
        <f>B18</f>
        <v>0.21</v>
      </c>
      <c r="C22">
        <f t="shared" ref="C22:E22" si="0">C18</f>
        <v>5933535.6961103091</v>
      </c>
      <c r="D22">
        <f t="shared" si="0"/>
        <v>59.335356961103088</v>
      </c>
      <c r="E22">
        <f t="shared" si="0"/>
        <v>2.3809523809523812E-4</v>
      </c>
      <c r="F22">
        <f>10</f>
        <v>10</v>
      </c>
      <c r="G22">
        <f>30</f>
        <v>30</v>
      </c>
      <c r="H22">
        <f>H18</f>
        <v>1.4E-2</v>
      </c>
      <c r="I22">
        <f>I18*K22/(K18)</f>
        <v>12.944130496150368</v>
      </c>
      <c r="J22">
        <f>12000</f>
        <v>12000</v>
      </c>
      <c r="K22">
        <f>F22+G22</f>
        <v>40</v>
      </c>
      <c r="L22">
        <f>4*H18*K22*A22^2/(B22*2*9.81)</f>
        <v>51.776521984601466</v>
      </c>
      <c r="R22">
        <f>B25+10^5/(9.81*985)</f>
        <v>19.528913622792444</v>
      </c>
      <c r="S22">
        <f>A25-B25 + (0.39*10^5)/(985*9.18)</f>
        <v>6.1330619422049706</v>
      </c>
      <c r="T22">
        <f>I22</f>
        <v>12.944130496150368</v>
      </c>
      <c r="U22">
        <f>T22+S22</f>
        <v>19.07719243835534</v>
      </c>
      <c r="V22">
        <f>U22-J22/(985*99.81)</f>
        <v>18.955133114472449</v>
      </c>
      <c r="X22">
        <f>U22</f>
        <v>19.07719243835534</v>
      </c>
      <c r="Y22">
        <f>X22/0.3048</f>
        <v>62.589214036598882</v>
      </c>
    </row>
    <row r="24" spans="1:25" x14ac:dyDescent="0.25">
      <c r="A24" t="s">
        <v>468</v>
      </c>
      <c r="B24" t="s">
        <v>469</v>
      </c>
    </row>
    <row r="25" spans="1:25" x14ac:dyDescent="0.25">
      <c r="A25">
        <f>11</f>
        <v>11</v>
      </c>
      <c r="B25">
        <f>9.18</f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Sheet2</vt:lpstr>
      <vt:lpstr>Sheet7</vt:lpstr>
      <vt:lpstr>Sheet3</vt:lpstr>
      <vt:lpstr>Sheet5</vt:lpstr>
      <vt:lpstr>Sheet8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Ploussiou</dc:creator>
  <cp:lastModifiedBy>Nataly Ploussiou</cp:lastModifiedBy>
  <dcterms:created xsi:type="dcterms:W3CDTF">2020-05-07T07:53:59Z</dcterms:created>
  <dcterms:modified xsi:type="dcterms:W3CDTF">2020-05-28T08:43:38Z</dcterms:modified>
</cp:coreProperties>
</file>