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13_ncr:1_{ABE55CF1-DF82-4320-9A4D-FA47C94C3785}" xr6:coauthVersionLast="46" xr6:coauthVersionMax="46" xr10:uidLastSave="{00000000-0000-0000-0000-000000000000}"/>
  <bookViews>
    <workbookView xWindow="-120" yWindow="-120" windowWidth="29040" windowHeight="15840" activeTab="5" xr2:uid="{CA253134-21FC-406A-8311-117D04202720}"/>
  </bookViews>
  <sheets>
    <sheet name="estimates new" sheetId="2" r:id="rId1"/>
    <sheet name="Sheet2" sheetId="6" r:id="rId2"/>
    <sheet name="Sheet1" sheetId="5" r:id="rId3"/>
    <sheet name="Sheet3" sheetId="8" r:id="rId4"/>
    <sheet name="Plots for injection pts" sheetId="9" r:id="rId5"/>
    <sheet name="shear rates" sheetId="10" r:id="rId6"/>
  </sheets>
  <definedNames>
    <definedName name="solver_adj" localSheetId="5" hidden="1">'shear rates'!$A$193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'shear rates'!$AE$194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1" i="10" l="1"/>
  <c r="N254" i="10"/>
  <c r="AB262" i="10"/>
  <c r="AB259" i="10"/>
  <c r="AA259" i="10"/>
  <c r="AB253" i="10"/>
  <c r="AA253" i="10"/>
  <c r="X254" i="10"/>
  <c r="W253" i="10"/>
  <c r="P254" i="10"/>
  <c r="K254" i="10"/>
  <c r="J254" i="10"/>
  <c r="AE194" i="10"/>
  <c r="G255" i="10"/>
  <c r="D254" i="10"/>
  <c r="C254" i="10"/>
  <c r="B263" i="10"/>
  <c r="H183" i="10"/>
  <c r="AC262" i="10"/>
  <c r="AA262" i="10"/>
  <c r="AC259" i="10"/>
  <c r="N263" i="10"/>
  <c r="N264" i="10"/>
  <c r="N262" i="10"/>
  <c r="R255" i="10"/>
  <c r="R256" i="10"/>
  <c r="R257" i="10"/>
  <c r="R254" i="10"/>
  <c r="AC255" i="10"/>
  <c r="AA255" i="10"/>
  <c r="AC253" i="10"/>
  <c r="Y256" i="10"/>
  <c r="Y255" i="10"/>
  <c r="Y254" i="10"/>
  <c r="Y253" i="10"/>
  <c r="X256" i="10"/>
  <c r="X255" i="10"/>
  <c r="AB255" i="10"/>
  <c r="X253" i="10"/>
  <c r="W256" i="10"/>
  <c r="W255" i="10"/>
  <c r="W254" i="10"/>
  <c r="P257" i="10"/>
  <c r="P256" i="10"/>
  <c r="P255" i="10"/>
  <c r="N256" i="10"/>
  <c r="N255" i="10"/>
  <c r="N257" i="10"/>
  <c r="L255" i="10"/>
  <c r="L256" i="10"/>
  <c r="L257" i="10"/>
  <c r="L254" i="10"/>
  <c r="K256" i="10"/>
  <c r="J255" i="10"/>
  <c r="J256" i="10"/>
  <c r="J257" i="10"/>
  <c r="B267" i="10"/>
  <c r="B266" i="10"/>
  <c r="B260" i="10"/>
  <c r="B261" i="10"/>
  <c r="B262" i="10"/>
  <c r="B259" i="10"/>
  <c r="B258" i="10"/>
  <c r="B255" i="10"/>
  <c r="B256" i="10"/>
  <c r="B257" i="10"/>
  <c r="B254" i="10"/>
  <c r="E240" i="10"/>
  <c r="D240" i="10"/>
  <c r="C240" i="10"/>
  <c r="E230" i="10"/>
  <c r="D230" i="10"/>
  <c r="C230" i="10"/>
  <c r="X187" i="10"/>
  <c r="T245" i="10" s="1"/>
  <c r="W187" i="10"/>
  <c r="S245" i="10" s="1"/>
  <c r="V187" i="10"/>
  <c r="R245" i="10" s="1"/>
  <c r="X186" i="10"/>
  <c r="T244" i="10" s="1"/>
  <c r="W186" i="10"/>
  <c r="S244" i="10" s="1"/>
  <c r="V186" i="10"/>
  <c r="R244" i="10" s="1"/>
  <c r="X185" i="10"/>
  <c r="T243" i="10" s="1"/>
  <c r="W185" i="10"/>
  <c r="S243" i="10" s="1"/>
  <c r="V185" i="10"/>
  <c r="R243" i="10" s="1"/>
  <c r="X184" i="10"/>
  <c r="T242" i="10" s="1"/>
  <c r="W184" i="10"/>
  <c r="S242" i="10" s="1"/>
  <c r="V184" i="10"/>
  <c r="R242" i="10" s="1"/>
  <c r="T203" i="10"/>
  <c r="T168" i="10" s="1"/>
  <c r="T178" i="10" s="1"/>
  <c r="S203" i="10"/>
  <c r="S168" i="10" s="1"/>
  <c r="S178" i="10" s="1"/>
  <c r="R203" i="10"/>
  <c r="R168" i="10" s="1"/>
  <c r="R178" i="10" s="1"/>
  <c r="T202" i="10"/>
  <c r="T167" i="10" s="1"/>
  <c r="T177" i="10" s="1"/>
  <c r="S202" i="10"/>
  <c r="S167" i="10" s="1"/>
  <c r="S177" i="10" s="1"/>
  <c r="R202" i="10"/>
  <c r="R167" i="10" s="1"/>
  <c r="R177" i="10" s="1"/>
  <c r="T201" i="10"/>
  <c r="T166" i="10" s="1"/>
  <c r="T176" i="10" s="1"/>
  <c r="S201" i="10"/>
  <c r="S166" i="10" s="1"/>
  <c r="S176" i="10" s="1"/>
  <c r="R201" i="10"/>
  <c r="R166" i="10" s="1"/>
  <c r="R176" i="10" s="1"/>
  <c r="T200" i="10"/>
  <c r="T165" i="10" s="1"/>
  <c r="T175" i="10" s="1"/>
  <c r="S200" i="10"/>
  <c r="S165" i="10" s="1"/>
  <c r="S175" i="10" s="1"/>
  <c r="R200" i="10"/>
  <c r="R165" i="10" s="1"/>
  <c r="R175" i="10" s="1"/>
  <c r="R196" i="10"/>
  <c r="T235" i="10" s="1"/>
  <c r="Q196" i="10"/>
  <c r="S235" i="10" s="1"/>
  <c r="P196" i="10"/>
  <c r="R235" i="10" s="1"/>
  <c r="R195" i="10"/>
  <c r="T234" i="10" s="1"/>
  <c r="Q195" i="10"/>
  <c r="S234" i="10" s="1"/>
  <c r="P195" i="10"/>
  <c r="R234" i="10" s="1"/>
  <c r="R194" i="10"/>
  <c r="T233" i="10" s="1"/>
  <c r="Q194" i="10"/>
  <c r="S233" i="10" s="1"/>
  <c r="P194" i="10"/>
  <c r="R233" i="10" s="1"/>
  <c r="R193" i="10"/>
  <c r="T232" i="10" s="1"/>
  <c r="Q193" i="10"/>
  <c r="S232" i="10" s="1"/>
  <c r="P193" i="10"/>
  <c r="R232" i="10" s="1"/>
  <c r="E173" i="10"/>
  <c r="D173" i="10"/>
  <c r="C173" i="10"/>
  <c r="E163" i="10"/>
  <c r="D163" i="10"/>
  <c r="C163" i="10"/>
  <c r="BB15" i="2"/>
  <c r="BB14" i="2"/>
  <c r="B8" i="10"/>
  <c r="B211" i="10" s="1"/>
  <c r="LQ149" i="10"/>
  <c r="LR149" i="10" s="1"/>
  <c r="LS149" i="10" s="1"/>
  <c r="LQ147" i="10"/>
  <c r="LR147" i="10" s="1"/>
  <c r="LS147" i="10" s="1"/>
  <c r="LR148" i="10"/>
  <c r="LS148" i="10" s="1"/>
  <c r="HC137" i="10"/>
  <c r="HD137" i="10" s="1"/>
  <c r="HE137" i="10" s="1"/>
  <c r="HC135" i="10"/>
  <c r="HD135" i="10" s="1"/>
  <c r="HE135" i="10" s="1"/>
  <c r="HD136" i="10"/>
  <c r="HE136" i="10" s="1"/>
  <c r="DG124" i="10"/>
  <c r="DH124" i="10" s="1"/>
  <c r="DI124" i="10" s="1"/>
  <c r="DG122" i="10"/>
  <c r="DH123" i="10"/>
  <c r="DI123" i="10" s="1"/>
  <c r="DH122" i="10"/>
  <c r="DI122" i="10" s="1"/>
  <c r="BS109" i="10"/>
  <c r="BT109" i="10" s="1"/>
  <c r="BU109" i="10" s="1"/>
  <c r="BT111" i="10"/>
  <c r="BU111" i="10" s="1"/>
  <c r="BT110" i="10"/>
  <c r="BU110" i="10" s="1"/>
  <c r="B103" i="10"/>
  <c r="C5" i="10"/>
  <c r="A5" i="10"/>
  <c r="B5" i="10" s="1"/>
  <c r="B221" i="10" l="1"/>
  <c r="D2" i="10"/>
  <c r="B206" i="10"/>
  <c r="B216" i="10"/>
  <c r="B217" i="10"/>
  <c r="B222" i="10"/>
  <c r="B207" i="10"/>
  <c r="B212" i="10"/>
  <c r="C103" i="10"/>
  <c r="CR14" i="10"/>
  <c r="CR15" i="10"/>
  <c r="CR13" i="10"/>
  <c r="CQ14" i="10"/>
  <c r="CQ15" i="10"/>
  <c r="CQ13" i="10"/>
  <c r="CP14" i="10"/>
  <c r="CO14" i="10" s="1"/>
  <c r="CP15" i="10"/>
  <c r="CO15" i="10" s="1"/>
  <c r="CP13" i="10"/>
  <c r="CO13" i="10" s="1"/>
  <c r="CP8" i="10"/>
  <c r="CO8" i="10" s="1"/>
  <c r="CR9" i="10"/>
  <c r="CR10" i="10"/>
  <c r="CR8" i="10"/>
  <c r="CQ9" i="10"/>
  <c r="CQ10" i="10"/>
  <c r="CQ8" i="10"/>
  <c r="CP9" i="10"/>
  <c r="CO9" i="10" s="1"/>
  <c r="CP10" i="10"/>
  <c r="CO10" i="10" s="1"/>
  <c r="CJ2" i="10"/>
  <c r="CQ3" i="10" s="1"/>
  <c r="FR53" i="10"/>
  <c r="LT148" i="10" s="1"/>
  <c r="LU148" i="10" s="1"/>
  <c r="FR54" i="10"/>
  <c r="LT149" i="10" s="1"/>
  <c r="LU149" i="10" s="1"/>
  <c r="FR52" i="10"/>
  <c r="LT147" i="10" s="1"/>
  <c r="LU147" i="10" s="1"/>
  <c r="FP53" i="10"/>
  <c r="FQ53" i="10" s="1"/>
  <c r="FP54" i="10"/>
  <c r="FQ54" i="10" s="1"/>
  <c r="FO52" i="10"/>
  <c r="FP52" i="10" s="1"/>
  <c r="FQ52" i="10" s="1"/>
  <c r="DJ41" i="10"/>
  <c r="HF136" i="10" s="1"/>
  <c r="HG136" i="10" s="1"/>
  <c r="DJ42" i="10"/>
  <c r="HF137" i="10" s="1"/>
  <c r="HG137" i="10" s="1"/>
  <c r="DJ40" i="10"/>
  <c r="HF135" i="10" s="1"/>
  <c r="HG135" i="10" s="1"/>
  <c r="DH41" i="10"/>
  <c r="DI41" i="10" s="1"/>
  <c r="DG42" i="10"/>
  <c r="DH42" i="10" s="1"/>
  <c r="DI42" i="10" s="1"/>
  <c r="DG40" i="10"/>
  <c r="DH40" i="10" s="1"/>
  <c r="DI40" i="10" s="1"/>
  <c r="AR15" i="10"/>
  <c r="BV110" i="10" s="1"/>
  <c r="BW110" i="10" s="1"/>
  <c r="AR16" i="10"/>
  <c r="BV111" i="10" s="1"/>
  <c r="BW111" i="10" s="1"/>
  <c r="AR14" i="10"/>
  <c r="BV109" i="10" s="1"/>
  <c r="BW109" i="10" s="1"/>
  <c r="BL28" i="10"/>
  <c r="DJ123" i="10" s="1"/>
  <c r="DK123" i="10" s="1"/>
  <c r="BL29" i="10"/>
  <c r="DJ124" i="10" s="1"/>
  <c r="DK124" i="10" s="1"/>
  <c r="BL27" i="10"/>
  <c r="DJ122" i="10" s="1"/>
  <c r="DK122" i="10" s="1"/>
  <c r="BJ28" i="10"/>
  <c r="BK28" i="10" s="1"/>
  <c r="BI29" i="10"/>
  <c r="BJ29" i="10" s="1"/>
  <c r="BK29" i="10" s="1"/>
  <c r="BI27" i="10"/>
  <c r="BJ27" i="10" s="1"/>
  <c r="BK27" i="10" s="1"/>
  <c r="AO16" i="10"/>
  <c r="AP16" i="10" s="1"/>
  <c r="AQ16" i="10" s="1"/>
  <c r="AO15" i="10"/>
  <c r="AP15" i="10" s="1"/>
  <c r="AQ15" i="10" s="1"/>
  <c r="AO14" i="10"/>
  <c r="AP14" i="10" s="1"/>
  <c r="AQ14" i="10" s="1"/>
  <c r="F88" i="2"/>
  <c r="AU85" i="2"/>
  <c r="BB8" i="2"/>
  <c r="BB7" i="2"/>
  <c r="BB6" i="2"/>
  <c r="BB5" i="2"/>
  <c r="BJ8" i="2"/>
  <c r="BJ7" i="2"/>
  <c r="BJ6" i="2"/>
  <c r="BJ5" i="2"/>
  <c r="BF8" i="2"/>
  <c r="BF7" i="2"/>
  <c r="BF6" i="2"/>
  <c r="BF5" i="2"/>
  <c r="F98" i="10"/>
  <c r="C98" i="10"/>
  <c r="E98" i="10" s="1"/>
  <c r="B98" i="10"/>
  <c r="AU48" i="2"/>
  <c r="C8" i="10"/>
  <c r="G4" i="10"/>
  <c r="G3" i="10"/>
  <c r="F5" i="10"/>
  <c r="D168" i="10" s="1"/>
  <c r="I196" i="10" s="1"/>
  <c r="F4" i="10"/>
  <c r="D167" i="10" s="1"/>
  <c r="H195" i="10" s="1"/>
  <c r="F3" i="10"/>
  <c r="D166" i="10" s="1"/>
  <c r="F2" i="10"/>
  <c r="D165" i="10" s="1"/>
  <c r="Q184" i="10" s="1"/>
  <c r="G2" i="10"/>
  <c r="C2" i="10"/>
  <c r="B2" i="10"/>
  <c r="A2" i="10"/>
  <c r="BC5" i="2"/>
  <c r="BC6" i="2"/>
  <c r="BJ15" i="2"/>
  <c r="BK15" i="2"/>
  <c r="BJ16" i="2"/>
  <c r="BK16" i="2"/>
  <c r="BJ17" i="2"/>
  <c r="BK17" i="2"/>
  <c r="BK14" i="2"/>
  <c r="BJ14" i="2"/>
  <c r="BK8" i="2"/>
  <c r="BK7" i="2"/>
  <c r="BK6" i="2"/>
  <c r="BK5" i="2"/>
  <c r="BF15" i="2"/>
  <c r="BG15" i="2"/>
  <c r="BF16" i="2"/>
  <c r="BG16" i="2"/>
  <c r="BF17" i="2"/>
  <c r="BG17" i="2"/>
  <c r="BG14" i="2"/>
  <c r="BF14" i="2"/>
  <c r="BG8" i="2"/>
  <c r="BG7" i="2"/>
  <c r="BG6" i="2"/>
  <c r="BG5" i="2"/>
  <c r="BC15" i="2"/>
  <c r="BB16" i="2"/>
  <c r="BC16" i="2"/>
  <c r="BB17" i="2"/>
  <c r="BC17" i="2"/>
  <c r="BC14" i="2"/>
  <c r="BC8" i="2"/>
  <c r="BC7" i="2"/>
  <c r="AB14" i="9"/>
  <c r="AB13" i="9"/>
  <c r="AB12" i="9"/>
  <c r="AB11" i="9"/>
  <c r="AA14" i="9"/>
  <c r="AA13" i="9"/>
  <c r="AA12" i="9"/>
  <c r="AA11" i="9"/>
  <c r="X13" i="9"/>
  <c r="Y14" i="9"/>
  <c r="Y13" i="9"/>
  <c r="Y12" i="9"/>
  <c r="Y11" i="9"/>
  <c r="X14" i="9"/>
  <c r="X12" i="9"/>
  <c r="X11" i="9"/>
  <c r="U13" i="9"/>
  <c r="V14" i="9"/>
  <c r="V13" i="9"/>
  <c r="V12" i="9"/>
  <c r="V11" i="9"/>
  <c r="U14" i="9"/>
  <c r="U12" i="9"/>
  <c r="U11" i="9"/>
  <c r="AB6" i="9"/>
  <c r="AB5" i="9"/>
  <c r="AB4" i="9"/>
  <c r="AB3" i="9"/>
  <c r="AA6" i="9"/>
  <c r="AA5" i="9"/>
  <c r="AA4" i="9"/>
  <c r="AA3" i="9"/>
  <c r="X6" i="9"/>
  <c r="X5" i="9"/>
  <c r="X4" i="9"/>
  <c r="X3" i="9"/>
  <c r="Y6" i="9"/>
  <c r="Y5" i="9"/>
  <c r="Y4" i="9"/>
  <c r="Y3" i="9"/>
  <c r="V6" i="9"/>
  <c r="U6" i="9"/>
  <c r="V5" i="9"/>
  <c r="U5" i="9"/>
  <c r="V3" i="9"/>
  <c r="V4" i="9"/>
  <c r="U4" i="9"/>
  <c r="U3" i="9"/>
  <c r="R11" i="9"/>
  <c r="R10" i="9"/>
  <c r="R9" i="9"/>
  <c r="R8" i="9"/>
  <c r="O11" i="9"/>
  <c r="O10" i="9"/>
  <c r="O9" i="9"/>
  <c r="O8" i="9"/>
  <c r="Q11" i="9"/>
  <c r="Q10" i="9"/>
  <c r="Q9" i="9"/>
  <c r="Q8" i="9"/>
  <c r="N11" i="9"/>
  <c r="N10" i="9"/>
  <c r="N9" i="9"/>
  <c r="N8" i="9"/>
  <c r="L11" i="9"/>
  <c r="L10" i="9"/>
  <c r="L9" i="9"/>
  <c r="L8" i="9"/>
  <c r="K11" i="9"/>
  <c r="K10" i="9"/>
  <c r="K9" i="9"/>
  <c r="K8" i="9"/>
  <c r="R6" i="9"/>
  <c r="Q6" i="9"/>
  <c r="Q5" i="9"/>
  <c r="R5" i="9"/>
  <c r="R4" i="9"/>
  <c r="Q4" i="9"/>
  <c r="R3" i="9"/>
  <c r="Q3" i="9"/>
  <c r="O6" i="9"/>
  <c r="N6" i="9"/>
  <c r="N5" i="9"/>
  <c r="O5" i="9"/>
  <c r="O4" i="9"/>
  <c r="N4" i="9"/>
  <c r="O3" i="9"/>
  <c r="N3" i="9"/>
  <c r="L6" i="9"/>
  <c r="K6" i="9"/>
  <c r="L3" i="9"/>
  <c r="L5" i="9"/>
  <c r="K5" i="9"/>
  <c r="K3" i="9"/>
  <c r="L4" i="9"/>
  <c r="K4" i="9"/>
  <c r="F37" i="9"/>
  <c r="E37" i="9"/>
  <c r="D37" i="9"/>
  <c r="C37" i="9"/>
  <c r="B37" i="9"/>
  <c r="A37" i="9"/>
  <c r="E36" i="9"/>
  <c r="D36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F33" i="9"/>
  <c r="E33" i="9"/>
  <c r="D33" i="9"/>
  <c r="C33" i="9"/>
  <c r="B33" i="9"/>
  <c r="A33" i="9"/>
  <c r="F32" i="9"/>
  <c r="E32" i="9"/>
  <c r="D32" i="9"/>
  <c r="C32" i="9"/>
  <c r="B32" i="9"/>
  <c r="A32" i="9"/>
  <c r="F31" i="9"/>
  <c r="E31" i="9"/>
  <c r="D31" i="9"/>
  <c r="C31" i="9"/>
  <c r="B31" i="9"/>
  <c r="A31" i="9"/>
  <c r="G30" i="9"/>
  <c r="F30" i="9"/>
  <c r="E30" i="9"/>
  <c r="D30" i="9"/>
  <c r="C30" i="9"/>
  <c r="B30" i="9"/>
  <c r="A30" i="9"/>
  <c r="G29" i="9"/>
  <c r="F29" i="9"/>
  <c r="E29" i="9"/>
  <c r="D29" i="9"/>
  <c r="C29" i="9"/>
  <c r="B29" i="9"/>
  <c r="A29" i="9"/>
  <c r="F28" i="9"/>
  <c r="E28" i="9"/>
  <c r="D28" i="9"/>
  <c r="C28" i="9"/>
  <c r="B28" i="9"/>
  <c r="A28" i="9"/>
  <c r="F27" i="9"/>
  <c r="E27" i="9"/>
  <c r="D27" i="9"/>
  <c r="C27" i="9"/>
  <c r="B27" i="9"/>
  <c r="A27" i="9"/>
  <c r="G26" i="9"/>
  <c r="F26" i="9"/>
  <c r="E26" i="9"/>
  <c r="D26" i="9"/>
  <c r="C26" i="9"/>
  <c r="B26" i="9"/>
  <c r="A26" i="9"/>
  <c r="F25" i="9"/>
  <c r="E25" i="9"/>
  <c r="D25" i="9"/>
  <c r="C25" i="9"/>
  <c r="B25" i="9"/>
  <c r="A25" i="9"/>
  <c r="F24" i="9"/>
  <c r="E24" i="9"/>
  <c r="D24" i="9"/>
  <c r="C24" i="9"/>
  <c r="B24" i="9"/>
  <c r="A24" i="9"/>
  <c r="F23" i="9"/>
  <c r="E23" i="9"/>
  <c r="D23" i="9"/>
  <c r="C23" i="9"/>
  <c r="B23" i="9"/>
  <c r="A23" i="9"/>
  <c r="G22" i="9"/>
  <c r="F22" i="9"/>
  <c r="E22" i="9"/>
  <c r="D22" i="9"/>
  <c r="C22" i="9"/>
  <c r="B22" i="9"/>
  <c r="A22" i="9"/>
  <c r="F21" i="9"/>
  <c r="E21" i="9"/>
  <c r="D21" i="9"/>
  <c r="C21" i="9"/>
  <c r="B21" i="9"/>
  <c r="A21" i="9"/>
  <c r="F20" i="9"/>
  <c r="E20" i="9"/>
  <c r="D20" i="9"/>
  <c r="C20" i="9"/>
  <c r="B20" i="9"/>
  <c r="A20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E11" i="9"/>
  <c r="D11" i="9"/>
  <c r="G10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G6" i="9"/>
  <c r="F6" i="9"/>
  <c r="E6" i="9"/>
  <c r="D6" i="9"/>
  <c r="C6" i="9"/>
  <c r="B6" i="9"/>
  <c r="A6" i="9"/>
  <c r="G5" i="9"/>
  <c r="F5" i="9"/>
  <c r="E5" i="9"/>
  <c r="D5" i="9"/>
  <c r="C5" i="9"/>
  <c r="B5" i="9"/>
  <c r="A5" i="9"/>
  <c r="F4" i="9"/>
  <c r="E4" i="9"/>
  <c r="D4" i="9"/>
  <c r="C4" i="9"/>
  <c r="B4" i="9"/>
  <c r="A4" i="9"/>
  <c r="F3" i="9"/>
  <c r="E3" i="9"/>
  <c r="D3" i="9"/>
  <c r="C3" i="9"/>
  <c r="B3" i="9"/>
  <c r="A3" i="9"/>
  <c r="G2" i="9"/>
  <c r="F2" i="9"/>
  <c r="E2" i="9"/>
  <c r="D2" i="9"/>
  <c r="C2" i="9"/>
  <c r="B2" i="9"/>
  <c r="A2" i="9"/>
  <c r="F1" i="9"/>
  <c r="E1" i="9"/>
  <c r="D1" i="9"/>
  <c r="C1" i="9"/>
  <c r="B1" i="9"/>
  <c r="A1" i="9"/>
  <c r="J43" i="2"/>
  <c r="I43" i="2"/>
  <c r="G43" i="2"/>
  <c r="AV54" i="2"/>
  <c r="F37" i="8"/>
  <c r="E37" i="8"/>
  <c r="D37" i="8"/>
  <c r="C37" i="8"/>
  <c r="B37" i="8"/>
  <c r="A37" i="8"/>
  <c r="F25" i="8"/>
  <c r="E25" i="8"/>
  <c r="D25" i="8"/>
  <c r="C25" i="8"/>
  <c r="B25" i="8"/>
  <c r="A25" i="8"/>
  <c r="F13" i="8"/>
  <c r="E13" i="8"/>
  <c r="D13" i="8"/>
  <c r="C13" i="8"/>
  <c r="B13" i="8"/>
  <c r="A13" i="8"/>
  <c r="E36" i="8"/>
  <c r="D36" i="8"/>
  <c r="F24" i="8"/>
  <c r="C24" i="8"/>
  <c r="B24" i="8"/>
  <c r="A24" i="8"/>
  <c r="F12" i="8"/>
  <c r="E12" i="8"/>
  <c r="D12" i="8"/>
  <c r="C12" i="8"/>
  <c r="B12" i="8"/>
  <c r="A12" i="8"/>
  <c r="F35" i="8"/>
  <c r="E35" i="8"/>
  <c r="D35" i="8"/>
  <c r="C35" i="8"/>
  <c r="B35" i="8"/>
  <c r="A35" i="8"/>
  <c r="F23" i="8"/>
  <c r="E23" i="8"/>
  <c r="D23" i="8"/>
  <c r="C23" i="8"/>
  <c r="B23" i="8"/>
  <c r="A23" i="8"/>
  <c r="E11" i="8"/>
  <c r="D11" i="8"/>
  <c r="G34" i="8"/>
  <c r="F34" i="8"/>
  <c r="E34" i="8"/>
  <c r="D34" i="8"/>
  <c r="C34" i="8"/>
  <c r="B34" i="8"/>
  <c r="A34" i="8"/>
  <c r="G22" i="8"/>
  <c r="F22" i="8"/>
  <c r="E22" i="8"/>
  <c r="D22" i="8"/>
  <c r="C22" i="8"/>
  <c r="B22" i="8"/>
  <c r="A22" i="8"/>
  <c r="G10" i="8"/>
  <c r="F10" i="8"/>
  <c r="E10" i="8"/>
  <c r="D10" i="8"/>
  <c r="C10" i="8"/>
  <c r="B10" i="8"/>
  <c r="A10" i="8"/>
  <c r="F33" i="8"/>
  <c r="E33" i="8"/>
  <c r="D33" i="8"/>
  <c r="C33" i="8"/>
  <c r="B33" i="8"/>
  <c r="A33" i="8"/>
  <c r="F21" i="8"/>
  <c r="E21" i="8"/>
  <c r="D21" i="8"/>
  <c r="C21" i="8"/>
  <c r="B21" i="8"/>
  <c r="A21" i="8"/>
  <c r="F9" i="8"/>
  <c r="E9" i="8"/>
  <c r="D9" i="8"/>
  <c r="C9" i="8"/>
  <c r="B9" i="8"/>
  <c r="A9" i="8"/>
  <c r="F32" i="8"/>
  <c r="E32" i="8"/>
  <c r="D32" i="8"/>
  <c r="C32" i="8"/>
  <c r="B32" i="8"/>
  <c r="A32" i="8"/>
  <c r="F20" i="8"/>
  <c r="E20" i="8"/>
  <c r="D20" i="8"/>
  <c r="C20" i="8"/>
  <c r="B20" i="8"/>
  <c r="A20" i="8"/>
  <c r="F8" i="8"/>
  <c r="E8" i="8"/>
  <c r="D8" i="8"/>
  <c r="C8" i="8"/>
  <c r="B8" i="8"/>
  <c r="A8" i="8"/>
  <c r="F31" i="8"/>
  <c r="E31" i="8"/>
  <c r="D31" i="8"/>
  <c r="C31" i="8"/>
  <c r="B31" i="8"/>
  <c r="A31" i="8"/>
  <c r="F19" i="8"/>
  <c r="E19" i="8"/>
  <c r="D19" i="8"/>
  <c r="C19" i="8"/>
  <c r="B19" i="8"/>
  <c r="A19" i="8"/>
  <c r="F7" i="8"/>
  <c r="E7" i="8"/>
  <c r="D7" i="8"/>
  <c r="C7" i="8"/>
  <c r="B7" i="8"/>
  <c r="A7" i="8"/>
  <c r="G30" i="8"/>
  <c r="F30" i="8"/>
  <c r="E30" i="8"/>
  <c r="D30" i="8"/>
  <c r="C30" i="8"/>
  <c r="B30" i="8"/>
  <c r="A30" i="8"/>
  <c r="G18" i="8"/>
  <c r="F18" i="8"/>
  <c r="E18" i="8"/>
  <c r="D18" i="8"/>
  <c r="C18" i="8"/>
  <c r="B18" i="8"/>
  <c r="A18" i="8"/>
  <c r="G6" i="8"/>
  <c r="F6" i="8"/>
  <c r="E6" i="8"/>
  <c r="D6" i="8"/>
  <c r="C6" i="8"/>
  <c r="B6" i="8"/>
  <c r="A6" i="8"/>
  <c r="G29" i="8"/>
  <c r="F29" i="8"/>
  <c r="E29" i="8"/>
  <c r="D29" i="8"/>
  <c r="C29" i="8"/>
  <c r="B29" i="8"/>
  <c r="A29" i="8"/>
  <c r="G17" i="8"/>
  <c r="F17" i="8"/>
  <c r="E17" i="8"/>
  <c r="D17" i="8"/>
  <c r="C17" i="8"/>
  <c r="B17" i="8"/>
  <c r="A17" i="8"/>
  <c r="G5" i="8"/>
  <c r="F5" i="8"/>
  <c r="E5" i="8"/>
  <c r="D5" i="8"/>
  <c r="C5" i="8"/>
  <c r="B5" i="8"/>
  <c r="A5" i="8"/>
  <c r="F28" i="8"/>
  <c r="E28" i="8"/>
  <c r="D28" i="8"/>
  <c r="C28" i="8"/>
  <c r="B28" i="8"/>
  <c r="A28" i="8"/>
  <c r="F16" i="8"/>
  <c r="E16" i="8"/>
  <c r="D16" i="8"/>
  <c r="C16" i="8"/>
  <c r="B16" i="8"/>
  <c r="A16" i="8"/>
  <c r="F4" i="8"/>
  <c r="E4" i="8"/>
  <c r="D4" i="8"/>
  <c r="C4" i="8"/>
  <c r="B4" i="8"/>
  <c r="A4" i="8"/>
  <c r="F27" i="8"/>
  <c r="E27" i="8"/>
  <c r="D27" i="8"/>
  <c r="C27" i="8"/>
  <c r="B27" i="8"/>
  <c r="A27" i="8"/>
  <c r="F15" i="8"/>
  <c r="E15" i="8"/>
  <c r="D15" i="8"/>
  <c r="C15" i="8"/>
  <c r="B15" i="8"/>
  <c r="A15" i="8"/>
  <c r="F3" i="8"/>
  <c r="E3" i="8"/>
  <c r="D3" i="8"/>
  <c r="C3" i="8"/>
  <c r="B3" i="8"/>
  <c r="A3" i="8"/>
  <c r="G26" i="8"/>
  <c r="F26" i="8"/>
  <c r="E26" i="8"/>
  <c r="D26" i="8"/>
  <c r="C26" i="8"/>
  <c r="B26" i="8"/>
  <c r="A26" i="8"/>
  <c r="G14" i="8"/>
  <c r="F14" i="8"/>
  <c r="E14" i="8"/>
  <c r="D14" i="8"/>
  <c r="C14" i="8"/>
  <c r="B14" i="8"/>
  <c r="A14" i="8"/>
  <c r="G2" i="8"/>
  <c r="F2" i="8"/>
  <c r="E2" i="8"/>
  <c r="D2" i="8"/>
  <c r="C2" i="8"/>
  <c r="B2" i="8"/>
  <c r="A2" i="8"/>
  <c r="F1" i="8"/>
  <c r="E1" i="8"/>
  <c r="D1" i="8"/>
  <c r="C1" i="8"/>
  <c r="B1" i="8"/>
  <c r="A1" i="8"/>
  <c r="G49" i="2"/>
  <c r="AW14" i="2" s="1"/>
  <c r="M49" i="2"/>
  <c r="I47" i="2"/>
  <c r="I49" i="2"/>
  <c r="L49" i="2" s="1"/>
  <c r="AY14" i="2"/>
  <c r="I48" i="2"/>
  <c r="G48" i="2"/>
  <c r="G45" i="2"/>
  <c r="I45" i="2"/>
  <c r="AY8" i="2" s="1"/>
  <c r="I41" i="2"/>
  <c r="AY7" i="2"/>
  <c r="G41" i="2"/>
  <c r="AW7" i="2" s="1"/>
  <c r="I40" i="2"/>
  <c r="G36" i="2"/>
  <c r="I35" i="2"/>
  <c r="I33" i="2"/>
  <c r="G33" i="2"/>
  <c r="AW12" i="2" s="1"/>
  <c r="I30" i="2"/>
  <c r="I29" i="2"/>
  <c r="I27" i="2"/>
  <c r="M27" i="2"/>
  <c r="G25" i="2"/>
  <c r="I25" i="2"/>
  <c r="AW10" i="2"/>
  <c r="I23" i="2"/>
  <c r="I22" i="2"/>
  <c r="G10" i="2"/>
  <c r="I10" i="2"/>
  <c r="K3" i="2"/>
  <c r="L3" i="2"/>
  <c r="M3" i="2"/>
  <c r="M2" i="2"/>
  <c r="L2" i="2"/>
  <c r="K2" i="2"/>
  <c r="C3" i="6"/>
  <c r="D3" i="6"/>
  <c r="E3" i="6"/>
  <c r="C4" i="6"/>
  <c r="D4" i="6"/>
  <c r="E4" i="6"/>
  <c r="C5" i="6"/>
  <c r="D5" i="6"/>
  <c r="E5" i="6"/>
  <c r="E6" i="6"/>
  <c r="E7" i="6"/>
  <c r="C8" i="6"/>
  <c r="D8" i="6"/>
  <c r="E8" i="6"/>
  <c r="E9" i="6"/>
  <c r="E10" i="6"/>
  <c r="E11" i="6"/>
  <c r="C12" i="6"/>
  <c r="D12" i="6"/>
  <c r="E12" i="6"/>
  <c r="E13" i="6"/>
  <c r="D2" i="6"/>
  <c r="E2" i="6"/>
  <c r="C2" i="6"/>
  <c r="A13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E34" i="5"/>
  <c r="D34" i="5"/>
  <c r="E29" i="5"/>
  <c r="D29" i="5"/>
  <c r="D4" i="5"/>
  <c r="AY13" i="2"/>
  <c r="AY12" i="2"/>
  <c r="AX13" i="2"/>
  <c r="AW13" i="2"/>
  <c r="AY11" i="2"/>
  <c r="AY10" i="2"/>
  <c r="AY9" i="2"/>
  <c r="AX9" i="2"/>
  <c r="AW11" i="2"/>
  <c r="AW9" i="2"/>
  <c r="AW8" i="2"/>
  <c r="AY4" i="2"/>
  <c r="AY5" i="2"/>
  <c r="AY6" i="2"/>
  <c r="AX6" i="2"/>
  <c r="AX5" i="2"/>
  <c r="AX4" i="2"/>
  <c r="AW6" i="2"/>
  <c r="AW5" i="2"/>
  <c r="AW4" i="2"/>
  <c r="AY3" i="2"/>
  <c r="AX3" i="2"/>
  <c r="AW3" i="2"/>
  <c r="AU19" i="2"/>
  <c r="C49" i="2"/>
  <c r="AD49" i="2"/>
  <c r="AG49" i="2" s="1"/>
  <c r="AB49" i="2"/>
  <c r="AF49" i="2" s="1"/>
  <c r="AD45" i="2"/>
  <c r="AB45" i="2"/>
  <c r="Z44" i="2"/>
  <c r="AE44" i="2"/>
  <c r="AB43" i="2"/>
  <c r="G40" i="2"/>
  <c r="AD40" i="2"/>
  <c r="AB40" i="2"/>
  <c r="AD41" i="2"/>
  <c r="AB41" i="2"/>
  <c r="AD37" i="2"/>
  <c r="AB37" i="2"/>
  <c r="AD36" i="2"/>
  <c r="AB36" i="2"/>
  <c r="AD35" i="2"/>
  <c r="AB35" i="2"/>
  <c r="I34" i="2"/>
  <c r="G34" i="2"/>
  <c r="AD34" i="2"/>
  <c r="AB34" i="2"/>
  <c r="AB33" i="2"/>
  <c r="AD33" i="2"/>
  <c r="AD32" i="2"/>
  <c r="AB32" i="2"/>
  <c r="AD31" i="2"/>
  <c r="AB31" i="2"/>
  <c r="AD30" i="2"/>
  <c r="AB30" i="2"/>
  <c r="AB29" i="2"/>
  <c r="AD28" i="2"/>
  <c r="AB28" i="2"/>
  <c r="AD27" i="2"/>
  <c r="AB27" i="2"/>
  <c r="AD25" i="2"/>
  <c r="AB25" i="2"/>
  <c r="AD24" i="2"/>
  <c r="AB24" i="2"/>
  <c r="G23" i="2"/>
  <c r="AD23" i="2"/>
  <c r="AB23" i="2"/>
  <c r="AD22" i="2"/>
  <c r="AB22" i="2"/>
  <c r="AD21" i="2"/>
  <c r="I20" i="2"/>
  <c r="G20" i="2"/>
  <c r="AD20" i="2"/>
  <c r="AB20" i="2"/>
  <c r="AD19" i="2"/>
  <c r="AB19" i="2"/>
  <c r="AD18" i="2"/>
  <c r="AB18" i="2"/>
  <c r="AD17" i="2"/>
  <c r="AB17" i="2"/>
  <c r="AD13" i="2"/>
  <c r="AB13" i="2"/>
  <c r="AD12" i="2"/>
  <c r="AB12" i="2"/>
  <c r="AD11" i="2"/>
  <c r="AB11" i="2"/>
  <c r="AD10" i="2"/>
  <c r="AB10" i="2"/>
  <c r="AD9" i="2"/>
  <c r="AB9" i="2"/>
  <c r="AD8" i="2"/>
  <c r="AB8" i="2"/>
  <c r="AD7" i="2"/>
  <c r="AB7" i="2"/>
  <c r="AD6" i="2"/>
  <c r="AB6" i="2"/>
  <c r="C56" i="2"/>
  <c r="AC5" i="2"/>
  <c r="AD5" i="2"/>
  <c r="AB5" i="2"/>
  <c r="AD4" i="2"/>
  <c r="AB4" i="2"/>
  <c r="AB3" i="2"/>
  <c r="AD3" i="2"/>
  <c r="AD2" i="2"/>
  <c r="AB2" i="2"/>
  <c r="G21" i="10" l="1"/>
  <c r="BM29" i="10"/>
  <c r="DK40" i="10"/>
  <c r="G40" i="10"/>
  <c r="D98" i="10"/>
  <c r="J195" i="10"/>
  <c r="I195" i="10"/>
  <c r="H167" i="10"/>
  <c r="M167" i="10" s="1"/>
  <c r="W167" i="10" s="1"/>
  <c r="I202" i="10"/>
  <c r="N202" i="10" s="1"/>
  <c r="X202" i="10" s="1"/>
  <c r="J202" i="10"/>
  <c r="O202" i="10" s="1"/>
  <c r="Y202" i="10" s="1"/>
  <c r="C206" i="10"/>
  <c r="C221" i="10"/>
  <c r="C211" i="10"/>
  <c r="C216" i="10"/>
  <c r="CR4" i="10"/>
  <c r="BM28" i="10"/>
  <c r="H202" i="10"/>
  <c r="M202" i="10" s="1"/>
  <c r="W202" i="10" s="1"/>
  <c r="P184" i="10"/>
  <c r="H201" i="10"/>
  <c r="M201" i="10" s="1"/>
  <c r="W201" i="10" s="1"/>
  <c r="J194" i="10"/>
  <c r="I166" i="10"/>
  <c r="N166" i="10" s="1"/>
  <c r="H166" i="10"/>
  <c r="M166" i="10" s="1"/>
  <c r="H194" i="10"/>
  <c r="I194" i="10"/>
  <c r="V194" i="10" s="1"/>
  <c r="AA194" i="10" s="1"/>
  <c r="D176" i="10"/>
  <c r="G20" i="10"/>
  <c r="CP3" i="10"/>
  <c r="CO3" i="10" s="1"/>
  <c r="DK42" i="10"/>
  <c r="H196" i="10"/>
  <c r="I165" i="10"/>
  <c r="N165" i="10" s="1"/>
  <c r="J165" i="10"/>
  <c r="O165" i="10" s="1"/>
  <c r="D175" i="10"/>
  <c r="AD184" i="10" s="1"/>
  <c r="AI184" i="10" s="1"/>
  <c r="H193" i="10"/>
  <c r="J193" i="10"/>
  <c r="O184" i="10"/>
  <c r="H165" i="10"/>
  <c r="M165" i="10" s="1"/>
  <c r="Q186" i="10"/>
  <c r="D177" i="10"/>
  <c r="J167" i="10"/>
  <c r="O167" i="10" s="1"/>
  <c r="O186" i="10"/>
  <c r="P186" i="10"/>
  <c r="CQ5" i="10"/>
  <c r="AS14" i="10"/>
  <c r="DK41" i="10"/>
  <c r="I193" i="10"/>
  <c r="C207" i="10"/>
  <c r="C212" i="10"/>
  <c r="C217" i="10"/>
  <c r="C222" i="10"/>
  <c r="D103" i="10"/>
  <c r="J203" i="10"/>
  <c r="O203" i="10" s="1"/>
  <c r="Y203" i="10" s="1"/>
  <c r="D178" i="10"/>
  <c r="J196" i="10"/>
  <c r="I203" i="10"/>
  <c r="N203" i="10" s="1"/>
  <c r="X203" i="10" s="1"/>
  <c r="I168" i="10"/>
  <c r="N168" i="10" s="1"/>
  <c r="J168" i="10"/>
  <c r="O168" i="10" s="1"/>
  <c r="H203" i="10"/>
  <c r="M203" i="10" s="1"/>
  <c r="W203" i="10" s="1"/>
  <c r="CQ4" i="10"/>
  <c r="AS16" i="10"/>
  <c r="FS52" i="10"/>
  <c r="O187" i="10"/>
  <c r="P187" i="10"/>
  <c r="AC187" i="10" s="1"/>
  <c r="AH187" i="10" s="1"/>
  <c r="CR3" i="10"/>
  <c r="AS15" i="10"/>
  <c r="FS54" i="10"/>
  <c r="I201" i="10"/>
  <c r="N201" i="10" s="1"/>
  <c r="X201" i="10" s="1"/>
  <c r="J201" i="10"/>
  <c r="O201" i="10" s="1"/>
  <c r="Y201" i="10" s="1"/>
  <c r="I167" i="10"/>
  <c r="N167" i="10" s="1"/>
  <c r="H200" i="10"/>
  <c r="M200" i="10" s="1"/>
  <c r="W200" i="10" s="1"/>
  <c r="CR5" i="10"/>
  <c r="BM27" i="10"/>
  <c r="FS53" i="10"/>
  <c r="I200" i="10"/>
  <c r="N200" i="10" s="1"/>
  <c r="X200" i="10" s="1"/>
  <c r="J200" i="10"/>
  <c r="O200" i="10" s="1"/>
  <c r="Y200" i="10" s="1"/>
  <c r="O185" i="10"/>
  <c r="H168" i="10"/>
  <c r="M168" i="10" s="1"/>
  <c r="W168" i="10" s="1"/>
  <c r="W195" i="10"/>
  <c r="AB195" i="10" s="1"/>
  <c r="Q187" i="10"/>
  <c r="AD187" i="10" s="1"/>
  <c r="AI187" i="10" s="1"/>
  <c r="P185" i="10"/>
  <c r="Q185" i="10"/>
  <c r="AD185" i="10" s="1"/>
  <c r="AI185" i="10" s="1"/>
  <c r="J166" i="10"/>
  <c r="O166" i="10" s="1"/>
  <c r="J183" i="10"/>
  <c r="W166" i="10"/>
  <c r="X166" i="10"/>
  <c r="H184" i="10"/>
  <c r="G27" i="10"/>
  <c r="H33" i="10"/>
  <c r="G34" i="10"/>
  <c r="H21" i="10"/>
  <c r="H16" i="10"/>
  <c r="D8" i="10"/>
  <c r="I28" i="10" s="1"/>
  <c r="I32" i="10"/>
  <c r="G32" i="10"/>
  <c r="H45" i="10"/>
  <c r="H32" i="10"/>
  <c r="G52" i="10"/>
  <c r="H19" i="10"/>
  <c r="G45" i="10"/>
  <c r="BG40" i="10" s="1"/>
  <c r="G19" i="10"/>
  <c r="H15" i="10"/>
  <c r="H29" i="10"/>
  <c r="I16" i="10"/>
  <c r="I27" i="10"/>
  <c r="G29" i="10"/>
  <c r="G15" i="10"/>
  <c r="X15" i="10" s="1"/>
  <c r="H14" i="10"/>
  <c r="G14" i="10"/>
  <c r="G57" i="10"/>
  <c r="CK52" i="10" s="1"/>
  <c r="I20" i="10"/>
  <c r="I15" i="10"/>
  <c r="H58" i="10"/>
  <c r="G59" i="10"/>
  <c r="H57" i="10"/>
  <c r="I57" i="10"/>
  <c r="H47" i="10"/>
  <c r="A99" i="10"/>
  <c r="G54" i="10"/>
  <c r="H52" i="10"/>
  <c r="I58" i="10"/>
  <c r="H59" i="10"/>
  <c r="H53" i="10"/>
  <c r="I54" i="10"/>
  <c r="H46" i="10"/>
  <c r="I53" i="10"/>
  <c r="I52" i="10"/>
  <c r="G47" i="10"/>
  <c r="G41" i="10"/>
  <c r="G42" i="10"/>
  <c r="I47" i="10"/>
  <c r="H41" i="10"/>
  <c r="H42" i="10"/>
  <c r="H28" i="10"/>
  <c r="G58" i="10"/>
  <c r="I59" i="10"/>
  <c r="H40" i="10"/>
  <c r="G33" i="10"/>
  <c r="G46" i="10"/>
  <c r="BG41" i="10" s="1"/>
  <c r="H34" i="10"/>
  <c r="G16" i="10"/>
  <c r="X16" i="10" s="1"/>
  <c r="H20" i="10"/>
  <c r="Y15" i="10" s="1"/>
  <c r="H27" i="10"/>
  <c r="I33" i="10"/>
  <c r="I45" i="10"/>
  <c r="H54" i="10"/>
  <c r="I21" i="10"/>
  <c r="G28" i="10"/>
  <c r="I42" i="10"/>
  <c r="I41" i="10"/>
  <c r="G53" i="10"/>
  <c r="I46" i="10"/>
  <c r="CP5" i="10"/>
  <c r="CO5" i="10" s="1"/>
  <c r="CP4" i="10"/>
  <c r="CO4" i="10" s="1"/>
  <c r="K49" i="2"/>
  <c r="H49" i="2"/>
  <c r="AX14" i="2" s="1"/>
  <c r="AC49" i="2"/>
  <c r="AH49" i="2" s="1"/>
  <c r="AV88" i="2"/>
  <c r="AV93" i="2"/>
  <c r="AU93" i="2"/>
  <c r="AU88" i="2"/>
  <c r="AU89" i="2"/>
  <c r="L100" i="2"/>
  <c r="L98" i="2"/>
  <c r="L96" i="2"/>
  <c r="L93" i="2"/>
  <c r="L92" i="2"/>
  <c r="L91" i="2"/>
  <c r="L86" i="2"/>
  <c r="L85" i="2"/>
  <c r="L82" i="2"/>
  <c r="L80" i="2"/>
  <c r="L78" i="2"/>
  <c r="L75" i="2"/>
  <c r="L73" i="2"/>
  <c r="L72" i="2"/>
  <c r="L70" i="2"/>
  <c r="L69" i="2"/>
  <c r="L68" i="2"/>
  <c r="L67" i="2"/>
  <c r="L66" i="2"/>
  <c r="L65" i="2"/>
  <c r="L63" i="2"/>
  <c r="L62" i="2"/>
  <c r="L61" i="2"/>
  <c r="L60" i="2"/>
  <c r="L59" i="2"/>
  <c r="L58" i="2"/>
  <c r="L57" i="2"/>
  <c r="F49" i="2"/>
  <c r="I46" i="2"/>
  <c r="AD43" i="2"/>
  <c r="I42" i="2"/>
  <c r="G42" i="2"/>
  <c r="B42" i="2"/>
  <c r="E42" i="2" s="1"/>
  <c r="J42" i="2" s="1"/>
  <c r="M44" i="2"/>
  <c r="R44" i="2" s="1"/>
  <c r="F98" i="2" s="1"/>
  <c r="E44" i="2"/>
  <c r="J44" i="2" s="1"/>
  <c r="K44" i="2" s="1"/>
  <c r="AD39" i="2"/>
  <c r="AB39" i="2"/>
  <c r="Y39" i="2"/>
  <c r="Z39" i="2" s="1"/>
  <c r="AE39" i="2" s="1"/>
  <c r="E38" i="2"/>
  <c r="J38" i="2" s="1"/>
  <c r="D15" i="2"/>
  <c r="C15" i="2"/>
  <c r="G15" i="2" s="1"/>
  <c r="B15" i="2"/>
  <c r="C14" i="2"/>
  <c r="I14" i="2" s="1"/>
  <c r="AT4" i="2"/>
  <c r="G27" i="5"/>
  <c r="G28" i="5"/>
  <c r="G26" i="5"/>
  <c r="G11" i="5"/>
  <c r="G12" i="5"/>
  <c r="G13" i="5"/>
  <c r="G14" i="5"/>
  <c r="G15" i="5"/>
  <c r="G16" i="5"/>
  <c r="G3" i="5"/>
  <c r="G4" i="5"/>
  <c r="G2" i="5"/>
  <c r="A1" i="5"/>
  <c r="F37" i="5"/>
  <c r="C37" i="5"/>
  <c r="A37" i="5"/>
  <c r="F36" i="5"/>
  <c r="C36" i="5"/>
  <c r="A36" i="5"/>
  <c r="F35" i="5"/>
  <c r="C35" i="5"/>
  <c r="A35" i="5"/>
  <c r="F33" i="5"/>
  <c r="C33" i="5"/>
  <c r="A33" i="5"/>
  <c r="F32" i="5"/>
  <c r="C32" i="5"/>
  <c r="A32" i="5"/>
  <c r="F31" i="5"/>
  <c r="C31" i="5"/>
  <c r="B31" i="5"/>
  <c r="A31" i="5"/>
  <c r="F30" i="5"/>
  <c r="C30" i="5"/>
  <c r="A30" i="5"/>
  <c r="F28" i="5"/>
  <c r="C28" i="5"/>
  <c r="B28" i="5"/>
  <c r="A28" i="5"/>
  <c r="F27" i="5"/>
  <c r="C27" i="5"/>
  <c r="A27" i="5"/>
  <c r="F26" i="5"/>
  <c r="C26" i="5"/>
  <c r="A26" i="5"/>
  <c r="F25" i="5"/>
  <c r="C25" i="5"/>
  <c r="A25" i="5"/>
  <c r="F24" i="5"/>
  <c r="C24" i="5"/>
  <c r="A24" i="5"/>
  <c r="F23" i="5"/>
  <c r="C23" i="5"/>
  <c r="A23" i="5"/>
  <c r="F22" i="5"/>
  <c r="C22" i="5"/>
  <c r="B22" i="5"/>
  <c r="A22" i="5"/>
  <c r="F21" i="5"/>
  <c r="C21" i="5"/>
  <c r="A21" i="5"/>
  <c r="F20" i="5"/>
  <c r="C20" i="5"/>
  <c r="B20" i="5"/>
  <c r="A20" i="5"/>
  <c r="F19" i="5"/>
  <c r="C19" i="5"/>
  <c r="A19" i="5"/>
  <c r="F18" i="5"/>
  <c r="C18" i="5"/>
  <c r="A18" i="5"/>
  <c r="F17" i="5"/>
  <c r="C17" i="5"/>
  <c r="A17" i="5"/>
  <c r="F16" i="5"/>
  <c r="C16" i="5"/>
  <c r="A16" i="5"/>
  <c r="F15" i="5"/>
  <c r="C15" i="5"/>
  <c r="A15" i="5"/>
  <c r="F14" i="5"/>
  <c r="C14" i="5"/>
  <c r="A14" i="5"/>
  <c r="F13" i="5"/>
  <c r="C13" i="5"/>
  <c r="A13" i="5"/>
  <c r="F12" i="5"/>
  <c r="C12" i="5"/>
  <c r="A12" i="5"/>
  <c r="F11" i="5"/>
  <c r="C11" i="5"/>
  <c r="A11" i="5"/>
  <c r="F10" i="5"/>
  <c r="C10" i="5"/>
  <c r="A10" i="5"/>
  <c r="F9" i="5"/>
  <c r="C9" i="5"/>
  <c r="A9" i="5"/>
  <c r="F8" i="5"/>
  <c r="C8" i="5"/>
  <c r="B8" i="5"/>
  <c r="A8" i="5"/>
  <c r="F7" i="5"/>
  <c r="C7" i="5"/>
  <c r="A7" i="5"/>
  <c r="F6" i="5"/>
  <c r="C6" i="5"/>
  <c r="A6" i="5"/>
  <c r="F5" i="5"/>
  <c r="C5" i="5"/>
  <c r="A5" i="5"/>
  <c r="F4" i="5"/>
  <c r="C4" i="5"/>
  <c r="A4" i="5"/>
  <c r="F3" i="5"/>
  <c r="C3" i="5"/>
  <c r="A3" i="5"/>
  <c r="F2" i="5"/>
  <c r="A2" i="5"/>
  <c r="F1" i="5"/>
  <c r="E1" i="5"/>
  <c r="D1" i="5"/>
  <c r="C1" i="5"/>
  <c r="B1" i="5"/>
  <c r="AS96" i="2"/>
  <c r="B37" i="5" s="1"/>
  <c r="AS95" i="2"/>
  <c r="B36" i="5" s="1"/>
  <c r="AS94" i="2"/>
  <c r="B35" i="5" s="1"/>
  <c r="AS92" i="2"/>
  <c r="B33" i="5" s="1"/>
  <c r="AS91" i="2"/>
  <c r="B32" i="5" s="1"/>
  <c r="AS89" i="2"/>
  <c r="B30" i="5" s="1"/>
  <c r="AS86" i="2"/>
  <c r="B27" i="5" s="1"/>
  <c r="AS87" i="2"/>
  <c r="AS85" i="2"/>
  <c r="B26" i="5" s="1"/>
  <c r="AS83" i="2"/>
  <c r="B24" i="5" s="1"/>
  <c r="AS84" i="2"/>
  <c r="B25" i="5" s="1"/>
  <c r="AS82" i="2"/>
  <c r="B23" i="5" s="1"/>
  <c r="AS80" i="2"/>
  <c r="B21" i="5" s="1"/>
  <c r="AS81" i="2"/>
  <c r="AS79" i="2"/>
  <c r="AS77" i="2"/>
  <c r="B18" i="5" s="1"/>
  <c r="AS78" i="2"/>
  <c r="B19" i="5" s="1"/>
  <c r="AS76" i="2"/>
  <c r="B17" i="5" s="1"/>
  <c r="AS74" i="2"/>
  <c r="B15" i="5" s="1"/>
  <c r="AS75" i="2"/>
  <c r="B16" i="5" s="1"/>
  <c r="AS73" i="2"/>
  <c r="AS71" i="2"/>
  <c r="B12" i="5" s="1"/>
  <c r="AS72" i="2"/>
  <c r="B13" i="5" s="1"/>
  <c r="AS70" i="2"/>
  <c r="B11" i="5" s="1"/>
  <c r="AS68" i="2"/>
  <c r="B9" i="5" s="1"/>
  <c r="AS69" i="2"/>
  <c r="B10" i="5" s="1"/>
  <c r="AS67" i="2"/>
  <c r="AS65" i="2"/>
  <c r="B6" i="5" s="1"/>
  <c r="AS66" i="2"/>
  <c r="B7" i="5" s="1"/>
  <c r="AS64" i="2"/>
  <c r="B5" i="5" s="1"/>
  <c r="AS62" i="2"/>
  <c r="B3" i="5" s="1"/>
  <c r="AS63" i="2"/>
  <c r="AS61" i="2"/>
  <c r="B2" i="5" s="1"/>
  <c r="AT61" i="2"/>
  <c r="C2" i="5" s="1"/>
  <c r="I179" i="2"/>
  <c r="G179" i="2"/>
  <c r="E179" i="2"/>
  <c r="J179" i="2" s="1"/>
  <c r="I178" i="2"/>
  <c r="G178" i="2"/>
  <c r="E178" i="2"/>
  <c r="J178" i="2" s="1"/>
  <c r="I177" i="2"/>
  <c r="G177" i="2"/>
  <c r="F177" i="2"/>
  <c r="E177" i="2"/>
  <c r="J177" i="2" s="1"/>
  <c r="I176" i="2"/>
  <c r="G176" i="2"/>
  <c r="E176" i="2"/>
  <c r="J176" i="2" s="1"/>
  <c r="I175" i="2"/>
  <c r="G175" i="2"/>
  <c r="E175" i="2"/>
  <c r="J175" i="2" s="1"/>
  <c r="I174" i="2"/>
  <c r="G174" i="2"/>
  <c r="D174" i="2"/>
  <c r="E174" i="2" s="1"/>
  <c r="J174" i="2" s="1"/>
  <c r="I173" i="2"/>
  <c r="G173" i="2"/>
  <c r="E173" i="2"/>
  <c r="J173" i="2" s="1"/>
  <c r="I172" i="2"/>
  <c r="G172" i="2"/>
  <c r="E172" i="2"/>
  <c r="J172" i="2" s="1"/>
  <c r="I171" i="2"/>
  <c r="G171" i="2"/>
  <c r="E171" i="2"/>
  <c r="J171" i="2" s="1"/>
  <c r="F170" i="2"/>
  <c r="C170" i="2"/>
  <c r="I170" i="2" s="1"/>
  <c r="I169" i="2"/>
  <c r="G169" i="2"/>
  <c r="F169" i="2"/>
  <c r="E169" i="2"/>
  <c r="J169" i="2" s="1"/>
  <c r="I168" i="2"/>
  <c r="G168" i="2"/>
  <c r="F168" i="2"/>
  <c r="E168" i="2"/>
  <c r="J168" i="2" s="1"/>
  <c r="I167" i="2"/>
  <c r="G167" i="2"/>
  <c r="E167" i="2"/>
  <c r="J167" i="2" s="1"/>
  <c r="I166" i="2"/>
  <c r="G166" i="2"/>
  <c r="E166" i="2"/>
  <c r="J166" i="2" s="1"/>
  <c r="I165" i="2"/>
  <c r="G165" i="2"/>
  <c r="E165" i="2"/>
  <c r="J165" i="2" s="1"/>
  <c r="I164" i="2"/>
  <c r="G164" i="2"/>
  <c r="E164" i="2"/>
  <c r="J164" i="2" s="1"/>
  <c r="I163" i="2"/>
  <c r="G163" i="2"/>
  <c r="E163" i="2"/>
  <c r="J163" i="2" s="1"/>
  <c r="I162" i="2"/>
  <c r="G162" i="2"/>
  <c r="E162" i="2"/>
  <c r="J162" i="2" s="1"/>
  <c r="I161" i="2"/>
  <c r="G161" i="2"/>
  <c r="E161" i="2"/>
  <c r="J161" i="2" s="1"/>
  <c r="I160" i="2"/>
  <c r="G160" i="2"/>
  <c r="E160" i="2"/>
  <c r="J160" i="2" s="1"/>
  <c r="I159" i="2"/>
  <c r="G159" i="2"/>
  <c r="E159" i="2"/>
  <c r="J159" i="2" s="1"/>
  <c r="I158" i="2"/>
  <c r="G158" i="2"/>
  <c r="E158" i="2"/>
  <c r="J158" i="2" s="1"/>
  <c r="I157" i="2"/>
  <c r="G157" i="2"/>
  <c r="E157" i="2"/>
  <c r="J157" i="2" s="1"/>
  <c r="I156" i="2"/>
  <c r="G156" i="2"/>
  <c r="F156" i="2"/>
  <c r="E156" i="2"/>
  <c r="J156" i="2" s="1"/>
  <c r="I155" i="2"/>
  <c r="G155" i="2"/>
  <c r="E155" i="2"/>
  <c r="J155" i="2" s="1"/>
  <c r="F154" i="2"/>
  <c r="C154" i="2"/>
  <c r="I154" i="2" s="1"/>
  <c r="I153" i="2"/>
  <c r="G153" i="2"/>
  <c r="F153" i="2"/>
  <c r="D153" i="2"/>
  <c r="E153" i="2" s="1"/>
  <c r="J153" i="2" s="1"/>
  <c r="I152" i="2"/>
  <c r="G152" i="2"/>
  <c r="F152" i="2"/>
  <c r="E152" i="2"/>
  <c r="J152" i="2" s="1"/>
  <c r="I151" i="2"/>
  <c r="G151" i="2"/>
  <c r="F151" i="2"/>
  <c r="E151" i="2"/>
  <c r="J151" i="2" s="1"/>
  <c r="I150" i="2"/>
  <c r="G150" i="2"/>
  <c r="F150" i="2"/>
  <c r="E150" i="2"/>
  <c r="J150" i="2" s="1"/>
  <c r="I149" i="2"/>
  <c r="G149" i="2"/>
  <c r="E149" i="2"/>
  <c r="J149" i="2" s="1"/>
  <c r="I148" i="2"/>
  <c r="G148" i="2"/>
  <c r="F148" i="2"/>
  <c r="E148" i="2"/>
  <c r="J148" i="2" s="1"/>
  <c r="I147" i="2"/>
  <c r="G147" i="2"/>
  <c r="F147" i="2"/>
  <c r="E147" i="2"/>
  <c r="J147" i="2" s="1"/>
  <c r="J146" i="2"/>
  <c r="I146" i="2"/>
  <c r="G146" i="2"/>
  <c r="F146" i="2"/>
  <c r="E146" i="2"/>
  <c r="AS19" i="2"/>
  <c r="AT5" i="2"/>
  <c r="AT6" i="2"/>
  <c r="AT7" i="2"/>
  <c r="AT8" i="2"/>
  <c r="AT9" i="2"/>
  <c r="AT10" i="2"/>
  <c r="AT11" i="2"/>
  <c r="AT12" i="2"/>
  <c r="AT13" i="2"/>
  <c r="AT14" i="2"/>
  <c r="AT3" i="2"/>
  <c r="AQ14" i="2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D108" i="2"/>
  <c r="AM38" i="2"/>
  <c r="C92" i="2" s="1"/>
  <c r="AM44" i="2"/>
  <c r="C98" i="2" s="1"/>
  <c r="AL38" i="2"/>
  <c r="I92" i="2" s="1"/>
  <c r="AL44" i="2"/>
  <c r="I98" i="2" s="1"/>
  <c r="AK38" i="2"/>
  <c r="AK44" i="2"/>
  <c r="Z49" i="2"/>
  <c r="AE49" i="2" s="1"/>
  <c r="AD48" i="2"/>
  <c r="AB48" i="2"/>
  <c r="Z48" i="2"/>
  <c r="AE48" i="2" s="1"/>
  <c r="AD47" i="2"/>
  <c r="AB47" i="2"/>
  <c r="Z47" i="2"/>
  <c r="AE47" i="2" s="1"/>
  <c r="AD46" i="2"/>
  <c r="AB46" i="2"/>
  <c r="Z46" i="2"/>
  <c r="AE46" i="2" s="1"/>
  <c r="Z45" i="2"/>
  <c r="AE45" i="2" s="1"/>
  <c r="Z43" i="2"/>
  <c r="AE43" i="2" s="1"/>
  <c r="AD42" i="2"/>
  <c r="AB42" i="2"/>
  <c r="Z42" i="2"/>
  <c r="AE42" i="2" s="1"/>
  <c r="Z41" i="2"/>
  <c r="AE41" i="2" s="1"/>
  <c r="Z40" i="2"/>
  <c r="AE40" i="2" s="1"/>
  <c r="E49" i="2"/>
  <c r="J49" i="2" s="1"/>
  <c r="E48" i="2"/>
  <c r="J48" i="2" s="1"/>
  <c r="G47" i="2"/>
  <c r="E47" i="2"/>
  <c r="J47" i="2" s="1"/>
  <c r="F46" i="2"/>
  <c r="E46" i="2"/>
  <c r="J46" i="2" s="1"/>
  <c r="L46" i="2" s="1"/>
  <c r="E45" i="2"/>
  <c r="J45" i="2" s="1"/>
  <c r="E43" i="2"/>
  <c r="F41" i="2"/>
  <c r="E41" i="2"/>
  <c r="J41" i="2" s="1"/>
  <c r="E40" i="2"/>
  <c r="J40" i="2" s="1"/>
  <c r="I39" i="2"/>
  <c r="G39" i="2"/>
  <c r="E39" i="2"/>
  <c r="J39" i="2" s="1"/>
  <c r="AD16" i="2"/>
  <c r="AB16" i="2"/>
  <c r="Z37" i="2"/>
  <c r="AE37" i="2" s="1"/>
  <c r="Z36" i="2"/>
  <c r="AE36" i="2" s="1"/>
  <c r="AA34" i="2"/>
  <c r="Z34" i="2"/>
  <c r="AE34" i="2" s="1"/>
  <c r="Z35" i="2"/>
  <c r="AE35" i="2" s="1"/>
  <c r="Z33" i="2"/>
  <c r="AE33" i="2" s="1"/>
  <c r="Z32" i="2"/>
  <c r="AE32" i="2" s="1"/>
  <c r="Z30" i="2"/>
  <c r="AE30" i="2" s="1"/>
  <c r="AD29" i="2"/>
  <c r="Z28" i="2"/>
  <c r="AE28" i="2" s="1"/>
  <c r="AA27" i="2"/>
  <c r="Z27" i="2"/>
  <c r="AE27" i="2" s="1"/>
  <c r="AD26" i="2"/>
  <c r="AB26" i="2"/>
  <c r="Z26" i="2"/>
  <c r="AE26" i="2" s="1"/>
  <c r="Z29" i="2"/>
  <c r="AE29" i="2" s="1"/>
  <c r="Z25" i="2"/>
  <c r="AE25" i="2" s="1"/>
  <c r="Z24" i="2"/>
  <c r="AE24" i="2" s="1"/>
  <c r="Z23" i="2"/>
  <c r="AE23" i="2" s="1"/>
  <c r="Z22" i="2"/>
  <c r="AE22" i="2" s="1"/>
  <c r="AB21" i="2"/>
  <c r="Z21" i="2"/>
  <c r="AE21" i="2" s="1"/>
  <c r="Z20" i="2"/>
  <c r="AE20" i="2" s="1"/>
  <c r="Z19" i="2"/>
  <c r="AE19" i="2" s="1"/>
  <c r="Z18" i="2"/>
  <c r="AE18" i="2" s="1"/>
  <c r="Z17" i="2"/>
  <c r="AE17" i="2" s="1"/>
  <c r="AA16" i="2"/>
  <c r="Y16" i="2"/>
  <c r="Z16" i="2" s="1"/>
  <c r="AE16" i="2" s="1"/>
  <c r="AD15" i="2"/>
  <c r="AB15" i="2"/>
  <c r="Z15" i="2"/>
  <c r="AE15" i="2" s="1"/>
  <c r="AD14" i="2"/>
  <c r="AB14" i="2"/>
  <c r="Z14" i="2"/>
  <c r="AE14" i="2" s="1"/>
  <c r="V195" i="10" l="1"/>
  <c r="AA195" i="10" s="1"/>
  <c r="AB187" i="10"/>
  <c r="AG187" i="10" s="1"/>
  <c r="W196" i="10"/>
  <c r="AB196" i="10" s="1"/>
  <c r="U193" i="10"/>
  <c r="Z193" i="10" s="1"/>
  <c r="AC184" i="10"/>
  <c r="AH184" i="10" s="1"/>
  <c r="U194" i="10"/>
  <c r="Z194" i="10" s="1"/>
  <c r="V193" i="10"/>
  <c r="AA193" i="10" s="1"/>
  <c r="U196" i="10"/>
  <c r="Z196" i="10" s="1"/>
  <c r="AC185" i="10"/>
  <c r="AH185" i="10" s="1"/>
  <c r="I183" i="10"/>
  <c r="AH27" i="10"/>
  <c r="AB185" i="10"/>
  <c r="AG185" i="10" s="1"/>
  <c r="AB184" i="10"/>
  <c r="AG184" i="10" s="1"/>
  <c r="W193" i="10"/>
  <c r="AB193" i="10" s="1"/>
  <c r="X165" i="10"/>
  <c r="G184" i="10"/>
  <c r="AD186" i="10"/>
  <c r="AI186" i="10" s="1"/>
  <c r="D234" i="10"/>
  <c r="H177" i="10"/>
  <c r="M177" i="10" s="1"/>
  <c r="W177" i="10" s="1"/>
  <c r="I177" i="10"/>
  <c r="N177" i="10" s="1"/>
  <c r="X177" i="10" s="1"/>
  <c r="J177" i="10"/>
  <c r="O177" i="10" s="1"/>
  <c r="Y177" i="10" s="1"/>
  <c r="X167" i="10"/>
  <c r="I184" i="10"/>
  <c r="H178" i="10"/>
  <c r="M178" i="10" s="1"/>
  <c r="W178" i="10" s="1"/>
  <c r="J178" i="10"/>
  <c r="O178" i="10" s="1"/>
  <c r="Y178" i="10" s="1"/>
  <c r="D235" i="10"/>
  <c r="I178" i="10"/>
  <c r="N178" i="10" s="1"/>
  <c r="X178" i="10" s="1"/>
  <c r="G183" i="10"/>
  <c r="W165" i="10"/>
  <c r="BG42" i="10"/>
  <c r="W194" i="10"/>
  <c r="AB194" i="10" s="1"/>
  <c r="Y166" i="10"/>
  <c r="H185" i="10"/>
  <c r="D222" i="10"/>
  <c r="D207" i="10"/>
  <c r="D212" i="10"/>
  <c r="D217" i="10"/>
  <c r="E103" i="10"/>
  <c r="J110" i="10" s="1"/>
  <c r="H110" i="10"/>
  <c r="J111" i="10"/>
  <c r="I110" i="10"/>
  <c r="H109" i="10"/>
  <c r="G111" i="10"/>
  <c r="I109" i="10"/>
  <c r="H111" i="10"/>
  <c r="J109" i="10"/>
  <c r="G109" i="10"/>
  <c r="G110" i="10"/>
  <c r="I111" i="10"/>
  <c r="I153" i="10"/>
  <c r="I154" i="10"/>
  <c r="J152" i="10"/>
  <c r="J153" i="10"/>
  <c r="J154" i="10"/>
  <c r="H153" i="10"/>
  <c r="H154" i="10"/>
  <c r="I152" i="10"/>
  <c r="J148" i="10"/>
  <c r="J149" i="10"/>
  <c r="J141" i="10"/>
  <c r="G153" i="10"/>
  <c r="G154" i="10"/>
  <c r="G152" i="10"/>
  <c r="G148" i="10"/>
  <c r="G149" i="10"/>
  <c r="H147" i="10"/>
  <c r="I148" i="10"/>
  <c r="I147" i="10"/>
  <c r="G140" i="10"/>
  <c r="I137" i="10"/>
  <c r="J147" i="10"/>
  <c r="G142" i="10"/>
  <c r="J137" i="10"/>
  <c r="H149" i="10"/>
  <c r="G147" i="10"/>
  <c r="H142" i="10"/>
  <c r="G136" i="10"/>
  <c r="I149" i="10"/>
  <c r="G141" i="10"/>
  <c r="I142" i="10"/>
  <c r="DG137" i="10" s="1"/>
  <c r="H141" i="10"/>
  <c r="J142" i="10"/>
  <c r="H140" i="10"/>
  <c r="I136" i="10"/>
  <c r="H152" i="10"/>
  <c r="FM147" i="10" s="1"/>
  <c r="I141" i="10"/>
  <c r="I140" i="10"/>
  <c r="J136" i="10"/>
  <c r="J135" i="10"/>
  <c r="J129" i="10"/>
  <c r="H127" i="10"/>
  <c r="I124" i="10"/>
  <c r="H122" i="10"/>
  <c r="G122" i="10"/>
  <c r="G116" i="10"/>
  <c r="AM111" i="10" s="1"/>
  <c r="I114" i="10"/>
  <c r="AO109" i="10" s="1"/>
  <c r="H116" i="10"/>
  <c r="AN111" i="10" s="1"/>
  <c r="H136" i="10"/>
  <c r="G135" i="10"/>
  <c r="I127" i="10"/>
  <c r="J124" i="10"/>
  <c r="I122" i="10"/>
  <c r="G115" i="10"/>
  <c r="AM110" i="10" s="1"/>
  <c r="J114" i="10"/>
  <c r="AP109" i="10" s="1"/>
  <c r="G128" i="10"/>
  <c r="J127" i="10"/>
  <c r="G127" i="10"/>
  <c r="BG122" i="10" s="1"/>
  <c r="J122" i="10"/>
  <c r="H115" i="10"/>
  <c r="AN110" i="10" s="1"/>
  <c r="I116" i="10"/>
  <c r="J140" i="10"/>
  <c r="H128" i="10"/>
  <c r="G123" i="10"/>
  <c r="I115" i="10"/>
  <c r="AO110" i="10" s="1"/>
  <c r="J116" i="10"/>
  <c r="I128" i="10"/>
  <c r="H123" i="10"/>
  <c r="J115" i="10"/>
  <c r="H137" i="10"/>
  <c r="I135" i="10"/>
  <c r="I129" i="10"/>
  <c r="BI124" i="10" s="1"/>
  <c r="H124" i="10"/>
  <c r="H114" i="10"/>
  <c r="AN109" i="10" s="1"/>
  <c r="G124" i="10"/>
  <c r="G129" i="10"/>
  <c r="G114" i="10"/>
  <c r="H129" i="10"/>
  <c r="J128" i="10"/>
  <c r="H148" i="10"/>
  <c r="I123" i="10"/>
  <c r="G137" i="10"/>
  <c r="H135" i="10"/>
  <c r="J123" i="10"/>
  <c r="AC186" i="10"/>
  <c r="AH186" i="10" s="1"/>
  <c r="V196" i="10"/>
  <c r="AA196" i="10" s="1"/>
  <c r="D211" i="10"/>
  <c r="D206" i="10"/>
  <c r="D221" i="10"/>
  <c r="D216" i="10"/>
  <c r="J185" i="10"/>
  <c r="Y168" i="10"/>
  <c r="AB186" i="10"/>
  <c r="AG186" i="10" s="1"/>
  <c r="D232" i="10"/>
  <c r="J175" i="10"/>
  <c r="O175" i="10" s="1"/>
  <c r="Y175" i="10" s="1"/>
  <c r="I175" i="10"/>
  <c r="N175" i="10" s="1"/>
  <c r="X175" i="10" s="1"/>
  <c r="H175" i="10"/>
  <c r="M175" i="10" s="1"/>
  <c r="W175" i="10" s="1"/>
  <c r="D233" i="10"/>
  <c r="H176" i="10"/>
  <c r="M176" i="10" s="1"/>
  <c r="W176" i="10" s="1"/>
  <c r="AA175" i="10" s="1"/>
  <c r="J176" i="10"/>
  <c r="O176" i="10" s="1"/>
  <c r="Y176" i="10" s="1"/>
  <c r="I176" i="10"/>
  <c r="N176" i="10" s="1"/>
  <c r="X176" i="10" s="1"/>
  <c r="U195" i="10"/>
  <c r="Z195" i="10" s="1"/>
  <c r="Y16" i="10"/>
  <c r="X168" i="10"/>
  <c r="J184" i="10"/>
  <c r="I185" i="10"/>
  <c r="Y167" i="10"/>
  <c r="Y165" i="10"/>
  <c r="G185" i="10"/>
  <c r="Z16" i="10"/>
  <c r="AJ27" i="10"/>
  <c r="BH42" i="10"/>
  <c r="BI42" i="10"/>
  <c r="CM54" i="10"/>
  <c r="BI41" i="10"/>
  <c r="AJ28" i="10"/>
  <c r="CM52" i="10"/>
  <c r="Y14" i="10"/>
  <c r="CK53" i="10"/>
  <c r="BH41" i="10"/>
  <c r="CL52" i="10"/>
  <c r="CK54" i="10"/>
  <c r="AI27" i="10"/>
  <c r="E8" i="10"/>
  <c r="I19" i="10"/>
  <c r="I29" i="10"/>
  <c r="AI29" i="10"/>
  <c r="CM53" i="10"/>
  <c r="AH29" i="10"/>
  <c r="AH28" i="10"/>
  <c r="CL53" i="10"/>
  <c r="Z15" i="10"/>
  <c r="AI28" i="10"/>
  <c r="CL54" i="10"/>
  <c r="BH40" i="10"/>
  <c r="I34" i="10"/>
  <c r="X14" i="10"/>
  <c r="I14" i="10"/>
  <c r="I40" i="10"/>
  <c r="BI40" i="10" s="1"/>
  <c r="B4" i="5"/>
  <c r="Q49" i="2"/>
  <c r="L103" i="2" s="1"/>
  <c r="B14" i="5"/>
  <c r="R49" i="2"/>
  <c r="F103" i="2" s="1"/>
  <c r="L47" i="2"/>
  <c r="B98" i="2"/>
  <c r="AW46" i="2"/>
  <c r="M38" i="2"/>
  <c r="R38" i="2" s="1"/>
  <c r="AV46" i="2"/>
  <c r="L38" i="2"/>
  <c r="AU46" i="2"/>
  <c r="K38" i="2"/>
  <c r="Q44" i="2"/>
  <c r="P44" i="2"/>
  <c r="M47" i="2"/>
  <c r="R47" i="2" s="1"/>
  <c r="L44" i="2"/>
  <c r="L48" i="2"/>
  <c r="G14" i="2"/>
  <c r="K47" i="2"/>
  <c r="K48" i="2"/>
  <c r="M48" i="2"/>
  <c r="AW51" i="2"/>
  <c r="AV51" i="2"/>
  <c r="AU51" i="2"/>
  <c r="L177" i="2"/>
  <c r="L166" i="2"/>
  <c r="L178" i="2"/>
  <c r="L146" i="2"/>
  <c r="L150" i="2"/>
  <c r="L152" i="2"/>
  <c r="K159" i="2"/>
  <c r="AW53" i="2"/>
  <c r="L151" i="2"/>
  <c r="L153" i="2"/>
  <c r="M162" i="2"/>
  <c r="L149" i="2"/>
  <c r="K179" i="2"/>
  <c r="L160" i="2"/>
  <c r="K167" i="2"/>
  <c r="K171" i="2"/>
  <c r="L157" i="2"/>
  <c r="L155" i="2"/>
  <c r="L147" i="2"/>
  <c r="M161" i="2"/>
  <c r="L176" i="2"/>
  <c r="L148" i="2"/>
  <c r="L159" i="2"/>
  <c r="K148" i="2"/>
  <c r="L156" i="2"/>
  <c r="M148" i="2"/>
  <c r="K157" i="2"/>
  <c r="M179" i="2"/>
  <c r="M150" i="2"/>
  <c r="L179" i="2"/>
  <c r="K150" i="2"/>
  <c r="E154" i="2"/>
  <c r="J154" i="2" s="1"/>
  <c r="L154" i="2" s="1"/>
  <c r="K147" i="2"/>
  <c r="G154" i="2"/>
  <c r="M155" i="2"/>
  <c r="K169" i="2"/>
  <c r="M176" i="2"/>
  <c r="M147" i="2"/>
  <c r="K149" i="2"/>
  <c r="M159" i="2"/>
  <c r="K152" i="2"/>
  <c r="M149" i="2"/>
  <c r="K156" i="2"/>
  <c r="L161" i="2"/>
  <c r="K146" i="2"/>
  <c r="K151" i="2"/>
  <c r="K160" i="2"/>
  <c r="M152" i="2"/>
  <c r="K165" i="2"/>
  <c r="M146" i="2"/>
  <c r="M151" i="2"/>
  <c r="M153" i="2"/>
  <c r="M156" i="2"/>
  <c r="L158" i="2"/>
  <c r="M160" i="2"/>
  <c r="M163" i="2"/>
  <c r="K168" i="2"/>
  <c r="K158" i="2"/>
  <c r="L165" i="2"/>
  <c r="M165" i="2"/>
  <c r="M158" i="2"/>
  <c r="L169" i="2"/>
  <c r="M169" i="2"/>
  <c r="K155" i="2"/>
  <c r="M157" i="2"/>
  <c r="L167" i="2"/>
  <c r="M167" i="2"/>
  <c r="L171" i="2"/>
  <c r="M171" i="2"/>
  <c r="M177" i="2"/>
  <c r="K166" i="2"/>
  <c r="M173" i="2"/>
  <c r="L173" i="2"/>
  <c r="K173" i="2"/>
  <c r="M164" i="2"/>
  <c r="L164" i="2"/>
  <c r="M166" i="2"/>
  <c r="L168" i="2"/>
  <c r="M168" i="2"/>
  <c r="M172" i="2"/>
  <c r="L172" i="2"/>
  <c r="K172" i="2"/>
  <c r="K178" i="2"/>
  <c r="K153" i="2"/>
  <c r="L163" i="2"/>
  <c r="K163" i="2"/>
  <c r="K164" i="2"/>
  <c r="M178" i="2"/>
  <c r="M174" i="2"/>
  <c r="L174" i="2"/>
  <c r="K174" i="2"/>
  <c r="M175" i="2"/>
  <c r="L175" i="2"/>
  <c r="K175" i="2"/>
  <c r="K161" i="2"/>
  <c r="L162" i="2"/>
  <c r="E170" i="2"/>
  <c r="J170" i="2" s="1"/>
  <c r="L170" i="2" s="1"/>
  <c r="K162" i="2"/>
  <c r="G170" i="2"/>
  <c r="K176" i="2"/>
  <c r="K177" i="2"/>
  <c r="AW50" i="2"/>
  <c r="AG26" i="2"/>
  <c r="AW49" i="2"/>
  <c r="AV52" i="2"/>
  <c r="AG43" i="2"/>
  <c r="AG14" i="2"/>
  <c r="AI17" i="2"/>
  <c r="AW48" i="2"/>
  <c r="AW52" i="2"/>
  <c r="AU54" i="2"/>
  <c r="AH45" i="2"/>
  <c r="AF22" i="2"/>
  <c r="AU49" i="2"/>
  <c r="AV49" i="2"/>
  <c r="AU52" i="2"/>
  <c r="AV48" i="2"/>
  <c r="AU50" i="2"/>
  <c r="AV50" i="2"/>
  <c r="AG34" i="2"/>
  <c r="AW47" i="2"/>
  <c r="AH23" i="2"/>
  <c r="AM23" i="2" s="1"/>
  <c r="C77" i="2" s="1"/>
  <c r="AG19" i="2"/>
  <c r="AW54" i="2"/>
  <c r="AU47" i="2"/>
  <c r="AV47" i="2"/>
  <c r="AV53" i="2"/>
  <c r="AU53" i="2"/>
  <c r="AG22" i="2"/>
  <c r="AG47" i="2"/>
  <c r="K40" i="2"/>
  <c r="AG48" i="2"/>
  <c r="AG18" i="2"/>
  <c r="AF26" i="2"/>
  <c r="AH36" i="2"/>
  <c r="AM36" i="2" s="1"/>
  <c r="C90" i="2" s="1"/>
  <c r="H41" i="2"/>
  <c r="AH34" i="2"/>
  <c r="AM34" i="2" s="1"/>
  <c r="C88" i="2" s="1"/>
  <c r="L42" i="2"/>
  <c r="AC29" i="2"/>
  <c r="AF29" i="2" s="1"/>
  <c r="AF20" i="2"/>
  <c r="K42" i="2"/>
  <c r="AH22" i="2"/>
  <c r="AM22" i="2" s="1"/>
  <c r="C76" i="2" s="1"/>
  <c r="AG23" i="2"/>
  <c r="AH47" i="2"/>
  <c r="AM47" i="2" s="1"/>
  <c r="C101" i="2" s="1"/>
  <c r="AH18" i="2"/>
  <c r="AM18" i="2" s="1"/>
  <c r="C72" i="2" s="1"/>
  <c r="AI21" i="2"/>
  <c r="Z31" i="2"/>
  <c r="AE31" i="2" s="1"/>
  <c r="AF31" i="2" s="1"/>
  <c r="AI33" i="2"/>
  <c r="L43" i="2"/>
  <c r="M41" i="2"/>
  <c r="AC17" i="2"/>
  <c r="AF17" i="2" s="1"/>
  <c r="AL17" i="2" s="1"/>
  <c r="I71" i="2" s="1"/>
  <c r="AC21" i="2"/>
  <c r="AF21" i="2" s="1"/>
  <c r="AL21" i="2" s="1"/>
  <c r="I75" i="2" s="1"/>
  <c r="AH37" i="2"/>
  <c r="M43" i="2"/>
  <c r="R43" i="2" s="1"/>
  <c r="F97" i="2" s="1"/>
  <c r="AU92" i="2" s="1"/>
  <c r="D24" i="8" s="1"/>
  <c r="AC45" i="2"/>
  <c r="AF45" i="2" s="1"/>
  <c r="AL45" i="2" s="1"/>
  <c r="I99" i="2" s="1"/>
  <c r="AH19" i="2"/>
  <c r="AM19" i="2" s="1"/>
  <c r="C73" i="2" s="1"/>
  <c r="K43" i="2"/>
  <c r="AC41" i="2"/>
  <c r="AF41" i="2" s="1"/>
  <c r="AF19" i="2"/>
  <c r="AF28" i="2"/>
  <c r="AH33" i="2"/>
  <c r="AF34" i="2"/>
  <c r="AH21" i="2"/>
  <c r="AF46" i="2"/>
  <c r="AF14" i="2"/>
  <c r="AF24" i="2"/>
  <c r="AH17" i="2"/>
  <c r="AI25" i="2"/>
  <c r="M42" i="2"/>
  <c r="R42" i="2" s="1"/>
  <c r="AI41" i="2"/>
  <c r="AF39" i="2"/>
  <c r="AG39" i="2"/>
  <c r="M39" i="2"/>
  <c r="R39" i="2" s="1"/>
  <c r="AF35" i="2"/>
  <c r="AG35" i="2"/>
  <c r="AG36" i="2"/>
  <c r="AF36" i="2"/>
  <c r="L39" i="2"/>
  <c r="K39" i="2"/>
  <c r="AC33" i="2"/>
  <c r="AF33" i="2" s="1"/>
  <c r="AI37" i="2"/>
  <c r="N41" i="2"/>
  <c r="H45" i="2"/>
  <c r="AC37" i="2"/>
  <c r="AF37" i="2" s="1"/>
  <c r="AL37" i="2" s="1"/>
  <c r="I91" i="2" s="1"/>
  <c r="AF18" i="2"/>
  <c r="AF15" i="2"/>
  <c r="AH26" i="2"/>
  <c r="AM26" i="2" s="1"/>
  <c r="C80" i="2" s="1"/>
  <c r="AH41" i="2"/>
  <c r="AF47" i="2"/>
  <c r="AG15" i="2"/>
  <c r="AH25" i="2"/>
  <c r="AI29" i="2"/>
  <c r="AH29" i="2"/>
  <c r="AH14" i="2"/>
  <c r="AM14" i="2" s="1"/>
  <c r="C68" i="2" s="1"/>
  <c r="AH28" i="2"/>
  <c r="AM28" i="2" s="1"/>
  <c r="C82" i="2" s="1"/>
  <c r="AH30" i="2"/>
  <c r="AM30" i="2" s="1"/>
  <c r="C84" i="2" s="1"/>
  <c r="AG30" i="2"/>
  <c r="AF30" i="2"/>
  <c r="M46" i="2"/>
  <c r="R46" i="2" s="1"/>
  <c r="K46" i="2"/>
  <c r="AG32" i="2"/>
  <c r="AH32" i="2"/>
  <c r="AM32" i="2" s="1"/>
  <c r="C86" i="2" s="1"/>
  <c r="AF32" i="2"/>
  <c r="R48" i="2"/>
  <c r="AH43" i="2"/>
  <c r="AM43" i="2" s="1"/>
  <c r="C97" i="2" s="1"/>
  <c r="AF27" i="2"/>
  <c r="AH48" i="2"/>
  <c r="AM48" i="2" s="1"/>
  <c r="C102" i="2" s="1"/>
  <c r="AH27" i="2"/>
  <c r="AM27" i="2" s="1"/>
  <c r="C81" i="2" s="1"/>
  <c r="AG27" i="2"/>
  <c r="N45" i="2"/>
  <c r="M45" i="2"/>
  <c r="AH24" i="2"/>
  <c r="AM24" i="2" s="1"/>
  <c r="C78" i="2" s="1"/>
  <c r="M40" i="2"/>
  <c r="R40" i="2" s="1"/>
  <c r="L40" i="2"/>
  <c r="AI45" i="2"/>
  <c r="AH35" i="2"/>
  <c r="AM35" i="2" s="1"/>
  <c r="C89" i="2" s="1"/>
  <c r="AH39" i="2"/>
  <c r="AM39" i="2" s="1"/>
  <c r="C93" i="2" s="1"/>
  <c r="AG24" i="2"/>
  <c r="AG28" i="2"/>
  <c r="AG16" i="2"/>
  <c r="AF43" i="2"/>
  <c r="AF48" i="2"/>
  <c r="AF16" i="2"/>
  <c r="AF23" i="2"/>
  <c r="AG46" i="2"/>
  <c r="AC25" i="2"/>
  <c r="AF25" i="2" s="1"/>
  <c r="AH46" i="2"/>
  <c r="AM46" i="2" s="1"/>
  <c r="C100" i="2" s="1"/>
  <c r="AF42" i="2"/>
  <c r="AH42" i="2"/>
  <c r="AM42" i="2" s="1"/>
  <c r="AG42" i="2"/>
  <c r="AG40" i="2"/>
  <c r="AH40" i="2"/>
  <c r="AM40" i="2" s="1"/>
  <c r="C94" i="2" s="1"/>
  <c r="AF40" i="2"/>
  <c r="AH16" i="2"/>
  <c r="AM16" i="2" s="1"/>
  <c r="C70" i="2" s="1"/>
  <c r="AH20" i="2"/>
  <c r="AM20" i="2" s="1"/>
  <c r="C74" i="2" s="1"/>
  <c r="AG20" i="2"/>
  <c r="AH15" i="2"/>
  <c r="AM15" i="2" s="1"/>
  <c r="C69" i="2" s="1"/>
  <c r="Z13" i="2"/>
  <c r="AE13" i="2" s="1"/>
  <c r="Z12" i="2"/>
  <c r="AE12" i="2" s="1"/>
  <c r="Z11" i="2"/>
  <c r="AE11" i="2" s="1"/>
  <c r="Z10" i="2"/>
  <c r="AE10" i="2" s="1"/>
  <c r="AA9" i="2"/>
  <c r="Z9" i="2"/>
  <c r="AE9" i="2" s="1"/>
  <c r="Z7" i="2"/>
  <c r="AE7" i="2" s="1"/>
  <c r="Z6" i="2"/>
  <c r="AE6" i="2" s="1"/>
  <c r="Z5" i="2"/>
  <c r="AE5" i="2" s="1"/>
  <c r="Z4" i="2"/>
  <c r="AE4" i="2" s="1"/>
  <c r="Z2" i="2"/>
  <c r="AE2" i="2" s="1"/>
  <c r="AM109" i="10" l="1"/>
  <c r="AP111" i="10"/>
  <c r="BH122" i="10"/>
  <c r="FN147" i="10"/>
  <c r="BJ122" i="10"/>
  <c r="DH137" i="10"/>
  <c r="FN148" i="10"/>
  <c r="AA174" i="10"/>
  <c r="DH135" i="10"/>
  <c r="AP110" i="10"/>
  <c r="AO111" i="10"/>
  <c r="DG136" i="10"/>
  <c r="BG124" i="10"/>
  <c r="FO148" i="10"/>
  <c r="AB164" i="10"/>
  <c r="FO147" i="10"/>
  <c r="I233" i="10"/>
  <c r="N233" i="10" s="1"/>
  <c r="X233" i="10" s="1"/>
  <c r="D243" i="10"/>
  <c r="J233" i="10"/>
  <c r="O233" i="10" s="1"/>
  <c r="Y233" i="10" s="1"/>
  <c r="H233" i="10"/>
  <c r="M233" i="10" s="1"/>
  <c r="W233" i="10" s="1"/>
  <c r="BJ123" i="10"/>
  <c r="BJ124" i="10"/>
  <c r="D242" i="10"/>
  <c r="H232" i="10"/>
  <c r="M232" i="10" s="1"/>
  <c r="W232" i="10" s="1"/>
  <c r="I232" i="10"/>
  <c r="N232" i="10" s="1"/>
  <c r="X232" i="10" s="1"/>
  <c r="J232" i="10"/>
  <c r="O232" i="10" s="1"/>
  <c r="Y232" i="10" s="1"/>
  <c r="AJ29" i="10"/>
  <c r="BG123" i="10"/>
  <c r="DF135" i="10"/>
  <c r="DF137" i="10"/>
  <c r="DE137" i="10"/>
  <c r="DE135" i="10"/>
  <c r="BI123" i="10"/>
  <c r="BH124" i="10"/>
  <c r="BH123" i="10"/>
  <c r="DF136" i="10"/>
  <c r="E211" i="10"/>
  <c r="E221" i="10"/>
  <c r="E216" i="10"/>
  <c r="E206" i="10"/>
  <c r="BI122" i="10"/>
  <c r="DG135" i="10"/>
  <c r="FM149" i="10"/>
  <c r="AA176" i="10"/>
  <c r="FL147" i="10"/>
  <c r="FL148" i="10"/>
  <c r="FN149" i="10"/>
  <c r="D245" i="10"/>
  <c r="H235" i="10"/>
  <c r="M235" i="10" s="1"/>
  <c r="W235" i="10" s="1"/>
  <c r="I235" i="10"/>
  <c r="N235" i="10" s="1"/>
  <c r="X235" i="10" s="1"/>
  <c r="J235" i="10"/>
  <c r="O235" i="10" s="1"/>
  <c r="Y235" i="10" s="1"/>
  <c r="D244" i="10"/>
  <c r="I234" i="10"/>
  <c r="N234" i="10" s="1"/>
  <c r="X234" i="10" s="1"/>
  <c r="H234" i="10"/>
  <c r="M234" i="10" s="1"/>
  <c r="W234" i="10" s="1"/>
  <c r="J234" i="10"/>
  <c r="O234" i="10" s="1"/>
  <c r="Y234" i="10" s="1"/>
  <c r="FO149" i="10"/>
  <c r="DH136" i="10"/>
  <c r="FM148" i="10"/>
  <c r="AA177" i="10"/>
  <c r="DE136" i="10"/>
  <c r="FL149" i="10"/>
  <c r="F103" i="10"/>
  <c r="E222" i="10"/>
  <c r="E217" i="10"/>
  <c r="E212" i="10"/>
  <c r="E207" i="10"/>
  <c r="Z14" i="10"/>
  <c r="F8" i="10"/>
  <c r="J21" i="10"/>
  <c r="J15" i="10"/>
  <c r="J54" i="10"/>
  <c r="J41" i="10"/>
  <c r="J57" i="10"/>
  <c r="J28" i="10"/>
  <c r="J34" i="10"/>
  <c r="J59" i="10"/>
  <c r="J19" i="10"/>
  <c r="J20" i="10"/>
  <c r="J45" i="10"/>
  <c r="J33" i="10"/>
  <c r="J40" i="10"/>
  <c r="J46" i="10"/>
  <c r="J16" i="10"/>
  <c r="J52" i="10"/>
  <c r="J32" i="10"/>
  <c r="J58" i="10"/>
  <c r="J47" i="10"/>
  <c r="J27" i="10"/>
  <c r="J29" i="10"/>
  <c r="J14" i="10"/>
  <c r="J42" i="10"/>
  <c r="J53" i="10"/>
  <c r="K45" i="2"/>
  <c r="Q45" i="2" s="1"/>
  <c r="L99" i="2" s="1"/>
  <c r="AX8" i="2"/>
  <c r="K41" i="2"/>
  <c r="Q41" i="2" s="1"/>
  <c r="L95" i="2" s="1"/>
  <c r="AX7" i="2"/>
  <c r="H98" i="2"/>
  <c r="J98" i="2" s="1"/>
  <c r="K98" i="2" s="1"/>
  <c r="AL34" i="2"/>
  <c r="I88" i="2" s="1"/>
  <c r="B101" i="2"/>
  <c r="F101" i="2"/>
  <c r="AU95" i="2" s="1"/>
  <c r="B102" i="2"/>
  <c r="F102" i="2"/>
  <c r="B96" i="2"/>
  <c r="F96" i="2"/>
  <c r="B100" i="2"/>
  <c r="F100" i="2"/>
  <c r="B94" i="2"/>
  <c r="D94" i="2" s="1"/>
  <c r="E94" i="2" s="1"/>
  <c r="F94" i="2"/>
  <c r="AU90" i="2" s="1"/>
  <c r="AL24" i="2"/>
  <c r="I78" i="2" s="1"/>
  <c r="B93" i="2"/>
  <c r="F93" i="2"/>
  <c r="B92" i="2"/>
  <c r="D92" i="2" s="1"/>
  <c r="E92" i="2" s="1"/>
  <c r="F92" i="2"/>
  <c r="Q38" i="2"/>
  <c r="P38" i="2"/>
  <c r="M154" i="2"/>
  <c r="AL26" i="2"/>
  <c r="I80" i="2" s="1"/>
  <c r="K154" i="2"/>
  <c r="AM21" i="2"/>
  <c r="C75" i="2" s="1"/>
  <c r="AG31" i="2"/>
  <c r="AL31" i="2" s="1"/>
  <c r="I85" i="2" s="1"/>
  <c r="K170" i="2"/>
  <c r="M170" i="2"/>
  <c r="Q43" i="2"/>
  <c r="L97" i="2" s="1"/>
  <c r="AK22" i="2"/>
  <c r="AL19" i="2"/>
  <c r="I73" i="2" s="1"/>
  <c r="AL14" i="2"/>
  <c r="I68" i="2" s="1"/>
  <c r="AH6" i="2"/>
  <c r="AM6" i="2" s="1"/>
  <c r="C60" i="2" s="1"/>
  <c r="AK34" i="2"/>
  <c r="AM17" i="2"/>
  <c r="C71" i="2" s="1"/>
  <c r="AF10" i="2"/>
  <c r="AL22" i="2"/>
  <c r="I76" i="2" s="1"/>
  <c r="AI9" i="2"/>
  <c r="AM49" i="2"/>
  <c r="C103" i="2" s="1"/>
  <c r="AL47" i="2"/>
  <c r="I101" i="2" s="1"/>
  <c r="R41" i="2"/>
  <c r="AG10" i="2"/>
  <c r="AM41" i="2"/>
  <c r="C95" i="2" s="1"/>
  <c r="C96" i="2"/>
  <c r="AU91" i="2" s="1"/>
  <c r="B97" i="2"/>
  <c r="P42" i="2"/>
  <c r="AM25" i="2"/>
  <c r="C79" i="2" s="1"/>
  <c r="AL18" i="2"/>
  <c r="I72" i="2" s="1"/>
  <c r="AL39" i="2"/>
  <c r="I93" i="2" s="1"/>
  <c r="AL20" i="2"/>
  <c r="I74" i="2" s="1"/>
  <c r="AK21" i="2"/>
  <c r="AL36" i="2"/>
  <c r="I90" i="2" s="1"/>
  <c r="AK41" i="2"/>
  <c r="Q42" i="2"/>
  <c r="AG6" i="2"/>
  <c r="AH13" i="2"/>
  <c r="AK28" i="2"/>
  <c r="AM37" i="2"/>
  <c r="C91" i="2" s="1"/>
  <c r="AL35" i="2"/>
  <c r="I89" i="2" s="1"/>
  <c r="AG11" i="2"/>
  <c r="H103" i="2"/>
  <c r="AL15" i="2"/>
  <c r="I69" i="2" s="1"/>
  <c r="AK33" i="2"/>
  <c r="Z8" i="2"/>
  <c r="AE8" i="2" s="1"/>
  <c r="D93" i="2"/>
  <c r="E93" i="2" s="1"/>
  <c r="AH31" i="2"/>
  <c r="AM31" i="2" s="1"/>
  <c r="C85" i="2" s="1"/>
  <c r="AL41" i="2"/>
  <c r="I95" i="2" s="1"/>
  <c r="AM33" i="2"/>
  <c r="C87" i="2" s="1"/>
  <c r="AC9" i="2"/>
  <c r="AF9" i="2" s="1"/>
  <c r="AG12" i="2"/>
  <c r="AI5" i="2"/>
  <c r="AK19" i="2"/>
  <c r="D100" i="2"/>
  <c r="E100" i="2" s="1"/>
  <c r="AK39" i="2"/>
  <c r="P40" i="2"/>
  <c r="AK47" i="2"/>
  <c r="P43" i="2"/>
  <c r="AK37" i="2"/>
  <c r="AK17" i="2"/>
  <c r="AH7" i="2"/>
  <c r="AM7" i="2" s="1"/>
  <c r="C61" i="2" s="1"/>
  <c r="AH5" i="2"/>
  <c r="AL33" i="2"/>
  <c r="I87" i="2" s="1"/>
  <c r="AG7" i="2"/>
  <c r="AH12" i="2"/>
  <c r="AM12" i="2" s="1"/>
  <c r="C66" i="2" s="1"/>
  <c r="AK46" i="2"/>
  <c r="Z3" i="2"/>
  <c r="AE3" i="2" s="1"/>
  <c r="AG3" i="2" s="1"/>
  <c r="AH10" i="2"/>
  <c r="AM10" i="2" s="1"/>
  <c r="C64" i="2" s="1"/>
  <c r="AK45" i="2"/>
  <c r="AF5" i="2"/>
  <c r="AL5" i="2" s="1"/>
  <c r="I59" i="2" s="1"/>
  <c r="AF7" i="2"/>
  <c r="AC13" i="2"/>
  <c r="AF13" i="2" s="1"/>
  <c r="AL13" i="2" s="1"/>
  <c r="I67" i="2" s="1"/>
  <c r="Q40" i="2"/>
  <c r="AK36" i="2"/>
  <c r="AL28" i="2"/>
  <c r="I82" i="2" s="1"/>
  <c r="AH11" i="2"/>
  <c r="AM11" i="2" s="1"/>
  <c r="C65" i="2" s="1"/>
  <c r="AK20" i="2"/>
  <c r="R45" i="2"/>
  <c r="AH9" i="2"/>
  <c r="AF12" i="2"/>
  <c r="AK18" i="2"/>
  <c r="AK26" i="2"/>
  <c r="AM29" i="2"/>
  <c r="C83" i="2" s="1"/>
  <c r="Q39" i="2"/>
  <c r="P39" i="2"/>
  <c r="AF2" i="2"/>
  <c r="AH4" i="2"/>
  <c r="AM4" i="2" s="1"/>
  <c r="C58" i="2" s="1"/>
  <c r="AF4" i="2"/>
  <c r="AG4" i="2"/>
  <c r="AH2" i="2"/>
  <c r="AM2" i="2" s="1"/>
  <c r="AG2" i="2"/>
  <c r="AF6" i="2"/>
  <c r="AL46" i="2"/>
  <c r="I100" i="2" s="1"/>
  <c r="AK24" i="2"/>
  <c r="AL48" i="2"/>
  <c r="I102" i="2" s="1"/>
  <c r="AK48" i="2"/>
  <c r="AL49" i="2"/>
  <c r="I103" i="2" s="1"/>
  <c r="AK49" i="2"/>
  <c r="Q47" i="2"/>
  <c r="P47" i="2"/>
  <c r="P49" i="2"/>
  <c r="AM45" i="2"/>
  <c r="AK30" i="2"/>
  <c r="AL30" i="2"/>
  <c r="I84" i="2" s="1"/>
  <c r="AF11" i="2"/>
  <c r="AK32" i="2"/>
  <c r="AL32" i="2"/>
  <c r="I86" i="2" s="1"/>
  <c r="Q46" i="2"/>
  <c r="P46" i="2"/>
  <c r="AL42" i="2"/>
  <c r="I96" i="2" s="1"/>
  <c r="AK42" i="2"/>
  <c r="AK35" i="2"/>
  <c r="AK29" i="2"/>
  <c r="AL29" i="2"/>
  <c r="I83" i="2" s="1"/>
  <c r="AI13" i="2"/>
  <c r="AK43" i="2"/>
  <c r="AL43" i="2"/>
  <c r="I97" i="2" s="1"/>
  <c r="H99" i="2"/>
  <c r="P45" i="2"/>
  <c r="AK23" i="2"/>
  <c r="AL23" i="2"/>
  <c r="I77" i="2" s="1"/>
  <c r="D101" i="2"/>
  <c r="E101" i="2" s="1"/>
  <c r="AK15" i="2"/>
  <c r="P48" i="2"/>
  <c r="Q48" i="2"/>
  <c r="AK16" i="2"/>
  <c r="AL16" i="2"/>
  <c r="I70" i="2" s="1"/>
  <c r="AK27" i="2"/>
  <c r="AL27" i="2"/>
  <c r="I81" i="2" s="1"/>
  <c r="AK40" i="2"/>
  <c r="AL40" i="2"/>
  <c r="I94" i="2" s="1"/>
  <c r="AK25" i="2"/>
  <c r="AL25" i="2"/>
  <c r="I79" i="2" s="1"/>
  <c r="AK14" i="2"/>
  <c r="E33" i="2"/>
  <c r="J33" i="2" s="1"/>
  <c r="I32" i="2"/>
  <c r="G32" i="2"/>
  <c r="F32" i="2"/>
  <c r="E32" i="2"/>
  <c r="J32" i="2" s="1"/>
  <c r="I31" i="2"/>
  <c r="G31" i="2"/>
  <c r="F31" i="2"/>
  <c r="E31" i="2"/>
  <c r="J31" i="2" s="1"/>
  <c r="G30" i="2"/>
  <c r="E30" i="2"/>
  <c r="J30" i="2" s="1"/>
  <c r="I37" i="2"/>
  <c r="G37" i="2"/>
  <c r="F37" i="2"/>
  <c r="E37" i="2"/>
  <c r="J37" i="2" s="1"/>
  <c r="I36" i="2"/>
  <c r="E36" i="2"/>
  <c r="J36" i="2" s="1"/>
  <c r="G35" i="2"/>
  <c r="E35" i="2"/>
  <c r="J35" i="2" s="1"/>
  <c r="F34" i="2"/>
  <c r="C34" i="2"/>
  <c r="E34" i="2" s="1"/>
  <c r="J34" i="2" s="1"/>
  <c r="G29" i="2"/>
  <c r="F29" i="2"/>
  <c r="B29" i="2"/>
  <c r="E29" i="2" s="1"/>
  <c r="J29" i="2" s="1"/>
  <c r="I28" i="2"/>
  <c r="G28" i="2"/>
  <c r="E28" i="2"/>
  <c r="J28" i="2" s="1"/>
  <c r="G27" i="2"/>
  <c r="E27" i="2"/>
  <c r="J27" i="2" s="1"/>
  <c r="I26" i="2"/>
  <c r="G26" i="2"/>
  <c r="E26" i="2"/>
  <c r="J26" i="2" s="1"/>
  <c r="E25" i="2"/>
  <c r="J25" i="2" s="1"/>
  <c r="I24" i="2"/>
  <c r="G24" i="2"/>
  <c r="E24" i="2"/>
  <c r="J24" i="2" s="1"/>
  <c r="E23" i="2"/>
  <c r="J23" i="2" s="1"/>
  <c r="G22" i="2"/>
  <c r="E22" i="2"/>
  <c r="J22" i="2" s="1"/>
  <c r="I21" i="2"/>
  <c r="G21" i="2"/>
  <c r="F21" i="2"/>
  <c r="E21" i="2"/>
  <c r="J21" i="2" s="1"/>
  <c r="E20" i="2"/>
  <c r="J20" i="2" s="1"/>
  <c r="I19" i="2"/>
  <c r="G19" i="2"/>
  <c r="E19" i="2"/>
  <c r="J19" i="2" s="1"/>
  <c r="I18" i="2"/>
  <c r="G18" i="2"/>
  <c r="E18" i="2"/>
  <c r="J18" i="2" s="1"/>
  <c r="I17" i="2"/>
  <c r="G17" i="2"/>
  <c r="F17" i="2"/>
  <c r="E17" i="2"/>
  <c r="J17" i="2" s="1"/>
  <c r="E16" i="2"/>
  <c r="J16" i="2" s="1"/>
  <c r="I15" i="2"/>
  <c r="F15" i="2"/>
  <c r="E15" i="2"/>
  <c r="J15" i="2" s="1"/>
  <c r="E14" i="2"/>
  <c r="J14" i="2" s="1"/>
  <c r="I13" i="2"/>
  <c r="G13" i="2"/>
  <c r="F13" i="2"/>
  <c r="E13" i="2"/>
  <c r="J13" i="2" s="1"/>
  <c r="G11" i="2"/>
  <c r="I11" i="2"/>
  <c r="F12" i="2"/>
  <c r="C12" i="2"/>
  <c r="E12" i="2" s="1"/>
  <c r="J12" i="2" s="1"/>
  <c r="D11" i="2"/>
  <c r="E11" i="2" s="1"/>
  <c r="J11" i="2" s="1"/>
  <c r="F11" i="2"/>
  <c r="G9" i="2"/>
  <c r="F10" i="2"/>
  <c r="E10" i="2"/>
  <c r="J10" i="2" s="1"/>
  <c r="I9" i="2"/>
  <c r="G8" i="2"/>
  <c r="F9" i="2"/>
  <c r="E9" i="2"/>
  <c r="J9" i="2" s="1"/>
  <c r="I8" i="2"/>
  <c r="F8" i="2"/>
  <c r="E8" i="2"/>
  <c r="J8" i="2" s="1"/>
  <c r="G7" i="2"/>
  <c r="I7" i="2"/>
  <c r="G6" i="2"/>
  <c r="F7" i="2"/>
  <c r="E7" i="2"/>
  <c r="J7" i="2" s="1"/>
  <c r="I6" i="2"/>
  <c r="J2" i="2"/>
  <c r="I5" i="2"/>
  <c r="E6" i="2"/>
  <c r="J6" i="2" s="1"/>
  <c r="G5" i="2"/>
  <c r="F5" i="2"/>
  <c r="E5" i="2"/>
  <c r="J5" i="2" s="1"/>
  <c r="I3" i="2"/>
  <c r="I4" i="2"/>
  <c r="G4" i="2"/>
  <c r="G2" i="2"/>
  <c r="F4" i="2"/>
  <c r="E4" i="2"/>
  <c r="J4" i="2" s="1"/>
  <c r="I2" i="2"/>
  <c r="G3" i="2"/>
  <c r="F3" i="2"/>
  <c r="E3" i="2"/>
  <c r="J3" i="2" s="1"/>
  <c r="F2" i="2"/>
  <c r="E2" i="2"/>
  <c r="AA233" i="10" l="1"/>
  <c r="H242" i="10"/>
  <c r="M242" i="10" s="1"/>
  <c r="W242" i="10" s="1"/>
  <c r="I242" i="10"/>
  <c r="N242" i="10" s="1"/>
  <c r="X242" i="10" s="1"/>
  <c r="J242" i="10"/>
  <c r="O242" i="10" s="1"/>
  <c r="Y242" i="10" s="1"/>
  <c r="AA241" i="10" s="1"/>
  <c r="G103" i="10"/>
  <c r="F222" i="10"/>
  <c r="F217" i="10"/>
  <c r="F207" i="10"/>
  <c r="F212" i="10"/>
  <c r="K109" i="10"/>
  <c r="K148" i="10"/>
  <c r="K154" i="10"/>
  <c r="K111" i="10"/>
  <c r="K149" i="10"/>
  <c r="K141" i="10"/>
  <c r="K147" i="10"/>
  <c r="K124" i="10"/>
  <c r="K135" i="10"/>
  <c r="K127" i="10"/>
  <c r="K140" i="10"/>
  <c r="DI135" i="10" s="1"/>
  <c r="K116" i="10"/>
  <c r="AQ111" i="10" s="1"/>
  <c r="K153" i="10"/>
  <c r="FP148" i="10" s="1"/>
  <c r="K137" i="10"/>
  <c r="K129" i="10"/>
  <c r="K114" i="10"/>
  <c r="K122" i="10"/>
  <c r="K128" i="10"/>
  <c r="K110" i="10"/>
  <c r="K123" i="10"/>
  <c r="K115" i="10"/>
  <c r="K152" i="10"/>
  <c r="K142" i="10"/>
  <c r="K136" i="10"/>
  <c r="F216" i="10"/>
  <c r="F211" i="10"/>
  <c r="F206" i="10"/>
  <c r="F221" i="10"/>
  <c r="H244" i="10"/>
  <c r="M244" i="10" s="1"/>
  <c r="W244" i="10" s="1"/>
  <c r="J244" i="10"/>
  <c r="O244" i="10" s="1"/>
  <c r="Y244" i="10" s="1"/>
  <c r="I244" i="10"/>
  <c r="N244" i="10" s="1"/>
  <c r="X244" i="10" s="1"/>
  <c r="AA232" i="10"/>
  <c r="AA234" i="10"/>
  <c r="AA231" i="10"/>
  <c r="H243" i="10"/>
  <c r="M243" i="10" s="1"/>
  <c r="W243" i="10" s="1"/>
  <c r="J243" i="10"/>
  <c r="O243" i="10" s="1"/>
  <c r="Y243" i="10" s="1"/>
  <c r="I243" i="10"/>
  <c r="N243" i="10" s="1"/>
  <c r="X243" i="10" s="1"/>
  <c r="AK28" i="10"/>
  <c r="I245" i="10"/>
  <c r="N245" i="10" s="1"/>
  <c r="X245" i="10" s="1"/>
  <c r="J245" i="10"/>
  <c r="O245" i="10" s="1"/>
  <c r="Y245" i="10" s="1"/>
  <c r="H245" i="10"/>
  <c r="M245" i="10" s="1"/>
  <c r="W245" i="10" s="1"/>
  <c r="CN52" i="10"/>
  <c r="CN53" i="10"/>
  <c r="AK29" i="10"/>
  <c r="BJ41" i="10"/>
  <c r="BJ42" i="10"/>
  <c r="BJ40" i="10"/>
  <c r="AA15" i="10"/>
  <c r="AK27" i="10"/>
  <c r="AA14" i="10"/>
  <c r="AA16" i="10"/>
  <c r="CN54" i="10"/>
  <c r="G8" i="10"/>
  <c r="K16" i="10"/>
  <c r="K15" i="10"/>
  <c r="K27" i="10"/>
  <c r="K14" i="10"/>
  <c r="K58" i="10"/>
  <c r="K34" i="10"/>
  <c r="K19" i="10"/>
  <c r="K20" i="10"/>
  <c r="K28" i="10"/>
  <c r="K45" i="10"/>
  <c r="K40" i="10"/>
  <c r="K46" i="10"/>
  <c r="K29" i="10"/>
  <c r="K47" i="10"/>
  <c r="K33" i="10"/>
  <c r="K54" i="10"/>
  <c r="K41" i="10"/>
  <c r="K42" i="10"/>
  <c r="K59" i="10"/>
  <c r="K52" i="10"/>
  <c r="K32" i="10"/>
  <c r="K21" i="10"/>
  <c r="K53" i="10"/>
  <c r="K57" i="10"/>
  <c r="L102" i="2"/>
  <c r="L101" i="2"/>
  <c r="AV95" i="2" s="1"/>
  <c r="P41" i="2"/>
  <c r="H95" i="2"/>
  <c r="J95" i="2" s="1"/>
  <c r="K95" i="2" s="1"/>
  <c r="L94" i="2"/>
  <c r="AV90" i="2" s="1"/>
  <c r="B99" i="2"/>
  <c r="F99" i="2"/>
  <c r="H101" i="2"/>
  <c r="J101" i="2" s="1"/>
  <c r="K101" i="2" s="1"/>
  <c r="H92" i="2"/>
  <c r="J92" i="2" s="1"/>
  <c r="K92" i="2" s="1"/>
  <c r="H100" i="2"/>
  <c r="AV94" i="2"/>
  <c r="H93" i="2"/>
  <c r="H97" i="2"/>
  <c r="J97" i="2" s="1"/>
  <c r="K97" i="2" s="1"/>
  <c r="AV92" i="2"/>
  <c r="E24" i="8" s="1"/>
  <c r="AU94" i="2"/>
  <c r="H94" i="2"/>
  <c r="J94" i="2" s="1"/>
  <c r="K94" i="2" s="1"/>
  <c r="B95" i="2"/>
  <c r="D95" i="2" s="1"/>
  <c r="E95" i="2" s="1"/>
  <c r="F95" i="2"/>
  <c r="AR7" i="2" s="1"/>
  <c r="C6" i="6" s="1"/>
  <c r="H102" i="2"/>
  <c r="J102" i="2" s="1"/>
  <c r="K102" i="2" s="1"/>
  <c r="H96" i="2"/>
  <c r="D97" i="2"/>
  <c r="E97" i="2" s="1"/>
  <c r="AU96" i="2"/>
  <c r="D31" i="5"/>
  <c r="D32" i="5"/>
  <c r="D35" i="5"/>
  <c r="D30" i="5"/>
  <c r="D36" i="5"/>
  <c r="AM9" i="2"/>
  <c r="C63" i="2" s="1"/>
  <c r="AU37" i="2"/>
  <c r="AW21" i="2"/>
  <c r="AW22" i="2"/>
  <c r="AG8" i="2"/>
  <c r="AL10" i="2"/>
  <c r="I64" i="2" s="1"/>
  <c r="AW25" i="2"/>
  <c r="AW39" i="2"/>
  <c r="AW20" i="2"/>
  <c r="AW45" i="2"/>
  <c r="AW28" i="2"/>
  <c r="AW38" i="2"/>
  <c r="AL7" i="2"/>
  <c r="I61" i="2" s="1"/>
  <c r="AH3" i="2"/>
  <c r="AM3" i="2" s="1"/>
  <c r="C57" i="2" s="1"/>
  <c r="AH8" i="2"/>
  <c r="AM8" i="2" s="1"/>
  <c r="C62" i="2" s="1"/>
  <c r="AL12" i="2"/>
  <c r="I66" i="2" s="1"/>
  <c r="AK31" i="2"/>
  <c r="AU44" i="2"/>
  <c r="AU36" i="2"/>
  <c r="AU28" i="2"/>
  <c r="AV32" i="2"/>
  <c r="AV36" i="2"/>
  <c r="AU38" i="2"/>
  <c r="AU45" i="2"/>
  <c r="AV40" i="2"/>
  <c r="AV42" i="2"/>
  <c r="AM13" i="2"/>
  <c r="C67" i="2" s="1"/>
  <c r="AU32" i="2"/>
  <c r="AU23" i="2"/>
  <c r="AU21" i="2"/>
  <c r="AW19" i="2"/>
  <c r="AU26" i="2"/>
  <c r="AW29" i="2"/>
  <c r="AU33" i="2"/>
  <c r="AV34" i="2"/>
  <c r="AU40" i="2"/>
  <c r="AV24" i="2"/>
  <c r="AW31" i="2"/>
  <c r="AW35" i="2"/>
  <c r="AW43" i="2"/>
  <c r="AU42" i="2"/>
  <c r="N13" i="2"/>
  <c r="AW37" i="2"/>
  <c r="AW44" i="2"/>
  <c r="AF8" i="2"/>
  <c r="D98" i="2"/>
  <c r="E98" i="2" s="1"/>
  <c r="C99" i="2"/>
  <c r="J103" i="2"/>
  <c r="K103" i="2" s="1"/>
  <c r="AS14" i="2"/>
  <c r="D13" i="6" s="1"/>
  <c r="AV23" i="2"/>
  <c r="N17" i="2"/>
  <c r="AK7" i="2"/>
  <c r="AK12" i="2"/>
  <c r="AM5" i="2"/>
  <c r="C59" i="2" s="1"/>
  <c r="J100" i="2"/>
  <c r="K100" i="2" s="1"/>
  <c r="AW34" i="2"/>
  <c r="AW24" i="2"/>
  <c r="AV26" i="2"/>
  <c r="AV28" i="2"/>
  <c r="K20" i="2"/>
  <c r="AW33" i="2"/>
  <c r="AU34" i="2"/>
  <c r="AV38" i="2"/>
  <c r="AV45" i="2"/>
  <c r="AW41" i="2"/>
  <c r="D96" i="2"/>
  <c r="E96" i="2" s="1"/>
  <c r="AV33" i="2"/>
  <c r="H25" i="2"/>
  <c r="AU39" i="2"/>
  <c r="AU41" i="2"/>
  <c r="AV89" i="2"/>
  <c r="J93" i="2"/>
  <c r="K93" i="2" s="1"/>
  <c r="J96" i="2"/>
  <c r="K96" i="2" s="1"/>
  <c r="AV91" i="2"/>
  <c r="AV20" i="2"/>
  <c r="N9" i="2"/>
  <c r="AV25" i="2"/>
  <c r="AU29" i="2"/>
  <c r="AU31" i="2"/>
  <c r="AU35" i="2"/>
  <c r="L28" i="2"/>
  <c r="AV39" i="2"/>
  <c r="AV41" i="2"/>
  <c r="K10" i="2"/>
  <c r="AU25" i="2"/>
  <c r="AV21" i="2"/>
  <c r="AV29" i="2"/>
  <c r="AV31" i="2"/>
  <c r="AV35" i="2"/>
  <c r="AW42" i="2"/>
  <c r="J99" i="2"/>
  <c r="K99" i="2" s="1"/>
  <c r="AS8" i="2"/>
  <c r="D7" i="6" s="1"/>
  <c r="AS7" i="2"/>
  <c r="D6" i="6" s="1"/>
  <c r="AV22" i="2"/>
  <c r="L7" i="2"/>
  <c r="AW23" i="2"/>
  <c r="AU20" i="2"/>
  <c r="AV19" i="2"/>
  <c r="AU22" i="2"/>
  <c r="AU24" i="2"/>
  <c r="AW26" i="2"/>
  <c r="H13" i="2"/>
  <c r="K13" i="2" s="1"/>
  <c r="Q13" i="2" s="1"/>
  <c r="M16" i="2"/>
  <c r="R16" i="2" s="1"/>
  <c r="AU30" i="2"/>
  <c r="AW30" i="2"/>
  <c r="AV30" i="2"/>
  <c r="L19" i="2"/>
  <c r="AW32" i="2"/>
  <c r="AW36" i="2"/>
  <c r="AV37" i="2"/>
  <c r="AV44" i="2"/>
  <c r="AW40" i="2"/>
  <c r="AF3" i="2"/>
  <c r="D102" i="2"/>
  <c r="E102" i="2" s="1"/>
  <c r="B103" i="2"/>
  <c r="L6" i="2"/>
  <c r="L35" i="2"/>
  <c r="M31" i="2"/>
  <c r="R31" i="2" s="1"/>
  <c r="F85" i="2" s="1"/>
  <c r="AK9" i="2"/>
  <c r="H33" i="2"/>
  <c r="H5" i="2"/>
  <c r="K5" i="2" s="1"/>
  <c r="Q5" i="2" s="1"/>
  <c r="I12" i="2"/>
  <c r="AW27" i="2" s="1"/>
  <c r="M26" i="2"/>
  <c r="R26" i="2" s="1"/>
  <c r="F80" i="2" s="1"/>
  <c r="N29" i="2"/>
  <c r="L27" i="2"/>
  <c r="M11" i="2"/>
  <c r="R11" i="2" s="1"/>
  <c r="F65" i="2" s="1"/>
  <c r="H9" i="2"/>
  <c r="K9" i="2" s="1"/>
  <c r="Q9" i="2" s="1"/>
  <c r="AL9" i="2"/>
  <c r="I63" i="2" s="1"/>
  <c r="R3" i="2"/>
  <c r="H21" i="2"/>
  <c r="K21" i="2" s="1"/>
  <c r="K24" i="2"/>
  <c r="H37" i="2"/>
  <c r="K37" i="2" s="1"/>
  <c r="Q37" i="2" s="1"/>
  <c r="M14" i="2"/>
  <c r="R14" i="2" s="1"/>
  <c r="M10" i="2"/>
  <c r="R10" i="2" s="1"/>
  <c r="L4" i="2"/>
  <c r="K8" i="2"/>
  <c r="L15" i="2"/>
  <c r="M25" i="2"/>
  <c r="K4" i="2"/>
  <c r="M7" i="2"/>
  <c r="R7" i="2" s="1"/>
  <c r="L18" i="2"/>
  <c r="L31" i="2"/>
  <c r="M6" i="2"/>
  <c r="R6" i="2" s="1"/>
  <c r="K7" i="2"/>
  <c r="N21" i="2"/>
  <c r="K23" i="2"/>
  <c r="K28" i="2"/>
  <c r="AK10" i="2"/>
  <c r="AK5" i="2"/>
  <c r="K27" i="2"/>
  <c r="N5" i="2"/>
  <c r="L10" i="2"/>
  <c r="G12" i="2"/>
  <c r="K16" i="2"/>
  <c r="M22" i="2"/>
  <c r="R22" i="2" s="1"/>
  <c r="L26" i="2"/>
  <c r="M29" i="2"/>
  <c r="R2" i="2"/>
  <c r="M8" i="2"/>
  <c r="R8" i="2" s="1"/>
  <c r="M13" i="2"/>
  <c r="K14" i="2"/>
  <c r="L16" i="2"/>
  <c r="M20" i="2"/>
  <c r="R20" i="2" s="1"/>
  <c r="L22" i="2"/>
  <c r="M24" i="2"/>
  <c r="R24" i="2" s="1"/>
  <c r="H29" i="2"/>
  <c r="L32" i="2"/>
  <c r="L11" i="2"/>
  <c r="N25" i="2"/>
  <c r="M5" i="2"/>
  <c r="M18" i="2"/>
  <c r="R18" i="2" s="1"/>
  <c r="L23" i="2"/>
  <c r="M28" i="2"/>
  <c r="R28" i="2" s="1"/>
  <c r="K15" i="2"/>
  <c r="K19" i="2"/>
  <c r="M23" i="2"/>
  <c r="R23" i="2" s="1"/>
  <c r="N37" i="2"/>
  <c r="M9" i="2"/>
  <c r="M19" i="2"/>
  <c r="R19" i="2" s="1"/>
  <c r="M15" i="2"/>
  <c r="R15" i="2" s="1"/>
  <c r="M17" i="2"/>
  <c r="R27" i="2"/>
  <c r="M4" i="2"/>
  <c r="R4" i="2" s="1"/>
  <c r="K11" i="2"/>
  <c r="L14" i="2"/>
  <c r="H17" i="2"/>
  <c r="K17" i="2" s="1"/>
  <c r="L24" i="2"/>
  <c r="M35" i="2"/>
  <c r="R35" i="2" s="1"/>
  <c r="M37" i="2"/>
  <c r="K31" i="2"/>
  <c r="K36" i="2"/>
  <c r="L36" i="2"/>
  <c r="L30" i="2"/>
  <c r="K30" i="2"/>
  <c r="M36" i="2"/>
  <c r="R36" i="2" s="1"/>
  <c r="M30" i="2"/>
  <c r="R30" i="2" s="1"/>
  <c r="K32" i="2"/>
  <c r="M32" i="2"/>
  <c r="R32" i="2" s="1"/>
  <c r="N33" i="2"/>
  <c r="M33" i="2"/>
  <c r="L8" i="2"/>
  <c r="L20" i="2"/>
  <c r="AK11" i="2"/>
  <c r="AL11" i="2"/>
  <c r="I65" i="2" s="1"/>
  <c r="AK2" i="2"/>
  <c r="AL2" i="2"/>
  <c r="I56" i="2" s="1"/>
  <c r="K18" i="2"/>
  <c r="K35" i="2"/>
  <c r="K22" i="2"/>
  <c r="AK6" i="2"/>
  <c r="AL6" i="2"/>
  <c r="I60" i="2" s="1"/>
  <c r="AK4" i="2"/>
  <c r="AL4" i="2"/>
  <c r="I58" i="2" s="1"/>
  <c r="M21" i="2"/>
  <c r="AK13" i="2"/>
  <c r="K26" i="2"/>
  <c r="K6" i="2"/>
  <c r="DI137" i="10" l="1"/>
  <c r="FP149" i="10"/>
  <c r="AQ109" i="10"/>
  <c r="AQ110" i="10"/>
  <c r="FP147" i="10"/>
  <c r="DI136" i="10"/>
  <c r="AA243" i="10"/>
  <c r="G216" i="10"/>
  <c r="G221" i="10"/>
  <c r="G206" i="10"/>
  <c r="G211" i="10"/>
  <c r="H103" i="10"/>
  <c r="G222" i="10"/>
  <c r="G217" i="10"/>
  <c r="G207" i="10"/>
  <c r="G212" i="10"/>
  <c r="L111" i="10"/>
  <c r="L153" i="10"/>
  <c r="L147" i="10"/>
  <c r="L110" i="10"/>
  <c r="L149" i="10"/>
  <c r="L141" i="10"/>
  <c r="L154" i="10"/>
  <c r="FQ149" i="10" s="1"/>
  <c r="L109" i="10"/>
  <c r="L140" i="10"/>
  <c r="L123" i="10"/>
  <c r="L135" i="10"/>
  <c r="L127" i="10"/>
  <c r="L128" i="10"/>
  <c r="L148" i="10"/>
  <c r="L142" i="10"/>
  <c r="L137" i="10"/>
  <c r="L129" i="10"/>
  <c r="L136" i="10"/>
  <c r="L122" i="10"/>
  <c r="L116" i="10"/>
  <c r="AR111" i="10" s="1"/>
  <c r="L115" i="10"/>
  <c r="L152" i="10"/>
  <c r="L124" i="10"/>
  <c r="L114" i="10"/>
  <c r="AR109" i="10" s="1"/>
  <c r="AA242" i="10"/>
  <c r="AL27" i="10"/>
  <c r="BK123" i="10"/>
  <c r="BK122" i="10"/>
  <c r="BK124" i="10"/>
  <c r="AA244" i="10"/>
  <c r="AB15" i="10"/>
  <c r="AB16" i="10"/>
  <c r="BK42" i="10"/>
  <c r="AL29" i="10"/>
  <c r="CO54" i="10"/>
  <c r="CO53" i="10"/>
  <c r="BK41" i="10"/>
  <c r="BK40" i="10"/>
  <c r="CO52" i="10"/>
  <c r="H8" i="10"/>
  <c r="L15" i="10"/>
  <c r="L20" i="10"/>
  <c r="L16" i="10"/>
  <c r="L27" i="10"/>
  <c r="L14" i="10"/>
  <c r="L59" i="10"/>
  <c r="L40" i="10"/>
  <c r="L28" i="10"/>
  <c r="L52" i="10"/>
  <c r="L29" i="10"/>
  <c r="L58" i="10"/>
  <c r="L46" i="10"/>
  <c r="L42" i="10"/>
  <c r="L41" i="10"/>
  <c r="L34" i="10"/>
  <c r="L47" i="10"/>
  <c r="L45" i="10"/>
  <c r="L33" i="10"/>
  <c r="L54" i="10"/>
  <c r="L53" i="10"/>
  <c r="L57" i="10"/>
  <c r="L19" i="10"/>
  <c r="L32" i="10"/>
  <c r="L21" i="10"/>
  <c r="AL28" i="10"/>
  <c r="AB14" i="10"/>
  <c r="D99" i="2"/>
  <c r="E99" i="2" s="1"/>
  <c r="K33" i="2"/>
  <c r="Q33" i="2" s="1"/>
  <c r="L87" i="2" s="1"/>
  <c r="AS12" i="2" s="1"/>
  <c r="D11" i="6" s="1"/>
  <c r="AX12" i="2"/>
  <c r="K29" i="2"/>
  <c r="AX11" i="2"/>
  <c r="K25" i="2"/>
  <c r="Q25" i="2" s="1"/>
  <c r="L79" i="2" s="1"/>
  <c r="AX10" i="2"/>
  <c r="B58" i="2"/>
  <c r="F58" i="2"/>
  <c r="B77" i="2"/>
  <c r="F77" i="2"/>
  <c r="AU77" i="2" s="1"/>
  <c r="B57" i="2"/>
  <c r="D57" i="2" s="1"/>
  <c r="E57" i="2" s="1"/>
  <c r="F57" i="2"/>
  <c r="H59" i="2"/>
  <c r="AS3" i="2"/>
  <c r="B62" i="2"/>
  <c r="F62" i="2"/>
  <c r="B60" i="2"/>
  <c r="F60" i="2"/>
  <c r="B89" i="2"/>
  <c r="F89" i="2"/>
  <c r="AU86" i="2" s="1"/>
  <c r="B64" i="2"/>
  <c r="D64" i="2" s="1"/>
  <c r="E64" i="2" s="1"/>
  <c r="F64" i="2"/>
  <c r="AU67" i="2" s="1"/>
  <c r="B69" i="2"/>
  <c r="F69" i="2"/>
  <c r="H67" i="2"/>
  <c r="AV96" i="2"/>
  <c r="E37" i="5" s="1"/>
  <c r="B81" i="2"/>
  <c r="D81" i="2" s="1"/>
  <c r="E81" i="2" s="1"/>
  <c r="F81" i="2"/>
  <c r="AU80" i="2" s="1"/>
  <c r="B56" i="2"/>
  <c r="F56" i="2"/>
  <c r="B90" i="2"/>
  <c r="D90" i="2" s="1"/>
  <c r="E90" i="2" s="1"/>
  <c r="F90" i="2"/>
  <c r="AU87" i="2" s="1"/>
  <c r="B73" i="2"/>
  <c r="F73" i="2"/>
  <c r="B72" i="2"/>
  <c r="F72" i="2"/>
  <c r="B61" i="2"/>
  <c r="F61" i="2"/>
  <c r="B68" i="2"/>
  <c r="F68" i="2"/>
  <c r="B86" i="2"/>
  <c r="F86" i="2"/>
  <c r="B84" i="2"/>
  <c r="F84" i="2"/>
  <c r="B82" i="2"/>
  <c r="F82" i="2"/>
  <c r="H63" i="2"/>
  <c r="B70" i="2"/>
  <c r="F70" i="2"/>
  <c r="AU72" i="2" s="1"/>
  <c r="B78" i="2"/>
  <c r="F78" i="2"/>
  <c r="B74" i="2"/>
  <c r="D74" i="2" s="1"/>
  <c r="E74" i="2" s="1"/>
  <c r="F74" i="2"/>
  <c r="AU75" i="2" s="1"/>
  <c r="B76" i="2"/>
  <c r="D76" i="2" s="1"/>
  <c r="E76" i="2" s="1"/>
  <c r="F76" i="2"/>
  <c r="AU76" i="2" s="1"/>
  <c r="H91" i="2"/>
  <c r="Q28" i="2"/>
  <c r="D37" i="5"/>
  <c r="E32" i="5"/>
  <c r="E35" i="5"/>
  <c r="E36" i="5"/>
  <c r="E30" i="5"/>
  <c r="E31" i="5"/>
  <c r="E33" i="5"/>
  <c r="D33" i="5"/>
  <c r="AL8" i="2"/>
  <c r="I62" i="2" s="1"/>
  <c r="L12" i="2"/>
  <c r="AK8" i="2"/>
  <c r="L34" i="2"/>
  <c r="R9" i="2"/>
  <c r="Q31" i="2"/>
  <c r="P19" i="2"/>
  <c r="R25" i="2"/>
  <c r="AK3" i="2"/>
  <c r="Q27" i="2"/>
  <c r="Q7" i="2"/>
  <c r="Q16" i="2"/>
  <c r="AL3" i="2"/>
  <c r="I57" i="2" s="1"/>
  <c r="R17" i="2"/>
  <c r="Q15" i="2"/>
  <c r="R13" i="2"/>
  <c r="Q20" i="2"/>
  <c r="Q19" i="2"/>
  <c r="Q4" i="2"/>
  <c r="Q23" i="2"/>
  <c r="R29" i="2"/>
  <c r="P16" i="2"/>
  <c r="Q2" i="2"/>
  <c r="P31" i="2"/>
  <c r="D70" i="2"/>
  <c r="E70" i="2" s="1"/>
  <c r="P17" i="2"/>
  <c r="J67" i="2"/>
  <c r="K67" i="2" s="1"/>
  <c r="AS5" i="2"/>
  <c r="P29" i="2"/>
  <c r="B85" i="2"/>
  <c r="J63" i="2"/>
  <c r="K63" i="2" s="1"/>
  <c r="AS4" i="2"/>
  <c r="P9" i="2"/>
  <c r="Q3" i="2"/>
  <c r="B80" i="2"/>
  <c r="AR14" i="2"/>
  <c r="C13" i="6" s="1"/>
  <c r="D103" i="2"/>
  <c r="E103" i="2" s="1"/>
  <c r="AV27" i="2"/>
  <c r="K34" i="2"/>
  <c r="AU43" i="2"/>
  <c r="B65" i="2"/>
  <c r="J91" i="2"/>
  <c r="K91" i="2" s="1"/>
  <c r="AS13" i="2"/>
  <c r="M12" i="2"/>
  <c r="R12" i="2" s="1"/>
  <c r="AU27" i="2"/>
  <c r="P10" i="2"/>
  <c r="P7" i="2"/>
  <c r="R37" i="2"/>
  <c r="Q14" i="2"/>
  <c r="R21" i="2"/>
  <c r="R33" i="2"/>
  <c r="P24" i="2"/>
  <c r="J59" i="2"/>
  <c r="K59" i="2" s="1"/>
  <c r="Q24" i="2"/>
  <c r="AV43" i="2"/>
  <c r="AR8" i="2"/>
  <c r="C7" i="6" s="1"/>
  <c r="P11" i="2"/>
  <c r="P3" i="2"/>
  <c r="K12" i="2"/>
  <c r="R5" i="2"/>
  <c r="F59" i="2" s="1"/>
  <c r="P14" i="2"/>
  <c r="Q10" i="2"/>
  <c r="P8" i="2"/>
  <c r="P28" i="2"/>
  <c r="D89" i="2"/>
  <c r="E89" i="2" s="1"/>
  <c r="P13" i="2"/>
  <c r="D69" i="2"/>
  <c r="E69" i="2" s="1"/>
  <c r="AU71" i="2"/>
  <c r="D62" i="2"/>
  <c r="E62" i="2" s="1"/>
  <c r="AU66" i="2"/>
  <c r="D61" i="2"/>
  <c r="E61" i="2" s="1"/>
  <c r="AU65" i="2"/>
  <c r="D82" i="2"/>
  <c r="E82" i="2" s="1"/>
  <c r="AU81" i="2"/>
  <c r="D56" i="2"/>
  <c r="E56" i="2" s="1"/>
  <c r="AU61" i="2"/>
  <c r="D60" i="2"/>
  <c r="E60" i="2" s="1"/>
  <c r="AU64" i="2"/>
  <c r="AU62" i="2"/>
  <c r="Q17" i="2"/>
  <c r="L71" i="2" s="1"/>
  <c r="P37" i="2"/>
  <c r="D78" i="2"/>
  <c r="E78" i="2" s="1"/>
  <c r="AU78" i="2"/>
  <c r="Q8" i="2"/>
  <c r="D72" i="2"/>
  <c r="E72" i="2" s="1"/>
  <c r="AU73" i="2"/>
  <c r="Q11" i="2"/>
  <c r="D86" i="2"/>
  <c r="E86" i="2" s="1"/>
  <c r="AU84" i="2"/>
  <c r="Q29" i="2"/>
  <c r="L83" i="2" s="1"/>
  <c r="D58" i="2"/>
  <c r="E58" i="2" s="1"/>
  <c r="AU63" i="2"/>
  <c r="D77" i="2"/>
  <c r="E77" i="2" s="1"/>
  <c r="D68" i="2"/>
  <c r="E68" i="2" s="1"/>
  <c r="AU70" i="2"/>
  <c r="D73" i="2"/>
  <c r="E73" i="2" s="1"/>
  <c r="AU74" i="2"/>
  <c r="P5" i="2"/>
  <c r="P2" i="2"/>
  <c r="P15" i="2"/>
  <c r="P4" i="2"/>
  <c r="P23" i="2"/>
  <c r="P27" i="2"/>
  <c r="P20" i="2"/>
  <c r="P33" i="2"/>
  <c r="P21" i="2"/>
  <c r="Q21" i="2"/>
  <c r="P26" i="2"/>
  <c r="Q26" i="2"/>
  <c r="P18" i="2"/>
  <c r="Q18" i="2"/>
  <c r="Q22" i="2"/>
  <c r="P22" i="2"/>
  <c r="P6" i="2"/>
  <c r="Q6" i="2"/>
  <c r="Q30" i="2"/>
  <c r="P30" i="2"/>
  <c r="Q32" i="2"/>
  <c r="P32" i="2"/>
  <c r="P36" i="2"/>
  <c r="Q36" i="2"/>
  <c r="M34" i="2"/>
  <c r="R34" i="2" s="1"/>
  <c r="P35" i="2"/>
  <c r="Q35" i="2"/>
  <c r="FQ148" i="10" l="1"/>
  <c r="DJ137" i="10"/>
  <c r="BL122" i="10"/>
  <c r="BL124" i="10"/>
  <c r="DJ135" i="10"/>
  <c r="I103" i="10"/>
  <c r="H222" i="10"/>
  <c r="H207" i="10"/>
  <c r="H212" i="10"/>
  <c r="H217" i="10"/>
  <c r="M109" i="10"/>
  <c r="M152" i="10"/>
  <c r="M128" i="10"/>
  <c r="M154" i="10"/>
  <c r="M111" i="10"/>
  <c r="M110" i="10"/>
  <c r="M140" i="10"/>
  <c r="M135" i="10"/>
  <c r="M115" i="10"/>
  <c r="M114" i="10"/>
  <c r="M123" i="10"/>
  <c r="M127" i="10"/>
  <c r="M153" i="10"/>
  <c r="M149" i="10"/>
  <c r="M141" i="10"/>
  <c r="M122" i="10"/>
  <c r="M142" i="10"/>
  <c r="M137" i="10"/>
  <c r="M136" i="10"/>
  <c r="M124" i="10"/>
  <c r="M129" i="10"/>
  <c r="M147" i="10"/>
  <c r="M116" i="10"/>
  <c r="AS111" i="10" s="1"/>
  <c r="M148" i="10"/>
  <c r="H221" i="10"/>
  <c r="H216" i="10"/>
  <c r="H211" i="10"/>
  <c r="H206" i="10"/>
  <c r="FQ147" i="10"/>
  <c r="DJ136" i="10"/>
  <c r="AM27" i="10"/>
  <c r="AR110" i="10"/>
  <c r="BL123" i="10"/>
  <c r="BL40" i="10"/>
  <c r="AC16" i="10"/>
  <c r="AC14" i="10"/>
  <c r="CP54" i="10"/>
  <c r="BL42" i="10"/>
  <c r="AM29" i="10"/>
  <c r="I8" i="10"/>
  <c r="M16" i="10"/>
  <c r="M54" i="10"/>
  <c r="M20" i="10"/>
  <c r="M52" i="10"/>
  <c r="M14" i="10"/>
  <c r="M57" i="10"/>
  <c r="M59" i="10"/>
  <c r="M29" i="10"/>
  <c r="M28" i="10"/>
  <c r="M46" i="10"/>
  <c r="M53" i="10"/>
  <c r="M19" i="10"/>
  <c r="M32" i="10"/>
  <c r="M45" i="10"/>
  <c r="M33" i="10"/>
  <c r="M27" i="10"/>
  <c r="M42" i="10"/>
  <c r="M58" i="10"/>
  <c r="M47" i="10"/>
  <c r="M15" i="10"/>
  <c r="M40" i="10"/>
  <c r="M41" i="10"/>
  <c r="M34" i="10"/>
  <c r="M21" i="10"/>
  <c r="CP52" i="10"/>
  <c r="BL41" i="10"/>
  <c r="CP53" i="10"/>
  <c r="AM28" i="10"/>
  <c r="AC15" i="10"/>
  <c r="L90" i="2"/>
  <c r="L89" i="2"/>
  <c r="H87" i="2"/>
  <c r="J87" i="2" s="1"/>
  <c r="K87" i="2" s="1"/>
  <c r="AU82" i="2"/>
  <c r="L84" i="2"/>
  <c r="AV82" i="2" s="1"/>
  <c r="L81" i="2"/>
  <c r="AV80" i="2" s="1"/>
  <c r="P25" i="2"/>
  <c r="L76" i="2"/>
  <c r="AV76" i="2" s="1"/>
  <c r="L64" i="2"/>
  <c r="AV67" i="2" s="1"/>
  <c r="L77" i="2"/>
  <c r="L74" i="2"/>
  <c r="AV75" i="2" s="1"/>
  <c r="H72" i="2"/>
  <c r="H64" i="2"/>
  <c r="J64" i="2" s="1"/>
  <c r="K64" i="2" s="1"/>
  <c r="B83" i="2"/>
  <c r="D83" i="2" s="1"/>
  <c r="E83" i="2" s="1"/>
  <c r="F83" i="2"/>
  <c r="AR11" i="2" s="1"/>
  <c r="C10" i="6" s="1"/>
  <c r="B63" i="2"/>
  <c r="D63" i="2" s="1"/>
  <c r="E63" i="2" s="1"/>
  <c r="F63" i="2"/>
  <c r="H86" i="2"/>
  <c r="H62" i="2"/>
  <c r="H77" i="2"/>
  <c r="J77" i="2" s="1"/>
  <c r="K77" i="2" s="1"/>
  <c r="H70" i="2"/>
  <c r="J70" i="2" s="1"/>
  <c r="K70" i="2" s="1"/>
  <c r="AV72" i="2"/>
  <c r="H78" i="2"/>
  <c r="H82" i="2"/>
  <c r="J82" i="2" s="1"/>
  <c r="K82" i="2" s="1"/>
  <c r="AV81" i="2"/>
  <c r="E22" i="5" s="1"/>
  <c r="H80" i="2"/>
  <c r="H83" i="2"/>
  <c r="J83" i="2" s="1"/>
  <c r="K83" i="2" s="1"/>
  <c r="H79" i="2"/>
  <c r="J79" i="2" s="1"/>
  <c r="K79" i="2" s="1"/>
  <c r="H58" i="2"/>
  <c r="AV63" i="2"/>
  <c r="H61" i="2"/>
  <c r="AV65" i="2"/>
  <c r="H89" i="2"/>
  <c r="J89" i="2" s="1"/>
  <c r="K89" i="2" s="1"/>
  <c r="AV86" i="2"/>
  <c r="B87" i="2"/>
  <c r="D87" i="2" s="1"/>
  <c r="E87" i="2" s="1"/>
  <c r="F87" i="2"/>
  <c r="AR12" i="2" s="1"/>
  <c r="C11" i="6" s="1"/>
  <c r="H74" i="2"/>
  <c r="J74" i="2" s="1"/>
  <c r="K74" i="2" s="1"/>
  <c r="B67" i="2"/>
  <c r="F67" i="2"/>
  <c r="B79" i="2"/>
  <c r="D79" i="2" s="1"/>
  <c r="E79" i="2" s="1"/>
  <c r="F79" i="2"/>
  <c r="AR10" i="2" s="1"/>
  <c r="C9" i="6" s="1"/>
  <c r="H73" i="2"/>
  <c r="H75" i="2"/>
  <c r="B88" i="2"/>
  <c r="D88" i="2" s="1"/>
  <c r="E88" i="2" s="1"/>
  <c r="H68" i="2"/>
  <c r="J68" i="2" s="1"/>
  <c r="K68" i="2" s="1"/>
  <c r="AV70" i="2"/>
  <c r="H56" i="2"/>
  <c r="L56" i="2"/>
  <c r="H69" i="2"/>
  <c r="H84" i="2"/>
  <c r="J84" i="2" s="1"/>
  <c r="K84" i="2" s="1"/>
  <c r="B66" i="2"/>
  <c r="F66" i="2"/>
  <c r="AU69" i="2" s="1"/>
  <c r="H81" i="2"/>
  <c r="J81" i="2" s="1"/>
  <c r="K81" i="2" s="1"/>
  <c r="H60" i="2"/>
  <c r="H65" i="2"/>
  <c r="AV68" i="2"/>
  <c r="H71" i="2"/>
  <c r="J71" i="2" s="1"/>
  <c r="K71" i="2" s="1"/>
  <c r="AS6" i="2"/>
  <c r="B75" i="2"/>
  <c r="F75" i="2"/>
  <c r="H57" i="2"/>
  <c r="H90" i="2"/>
  <c r="H76" i="2"/>
  <c r="J76" i="2" s="1"/>
  <c r="K76" i="2" s="1"/>
  <c r="D84" i="2"/>
  <c r="E84" i="2" s="1"/>
  <c r="B91" i="2"/>
  <c r="F91" i="2"/>
  <c r="B71" i="2"/>
  <c r="F71" i="2"/>
  <c r="AR6" i="2" s="1"/>
  <c r="H85" i="2"/>
  <c r="AV83" i="2"/>
  <c r="B59" i="2"/>
  <c r="AR3" i="2" s="1"/>
  <c r="J73" i="2"/>
  <c r="K73" i="2" s="1"/>
  <c r="AU79" i="2"/>
  <c r="AR9" i="2"/>
  <c r="AU83" i="2"/>
  <c r="AU68" i="2"/>
  <c r="AV61" i="2"/>
  <c r="D91" i="2"/>
  <c r="E91" i="2" s="1"/>
  <c r="AR13" i="2"/>
  <c r="D71" i="2"/>
  <c r="E71" i="2" s="1"/>
  <c r="J85" i="2"/>
  <c r="K85" i="2" s="1"/>
  <c r="AR4" i="2"/>
  <c r="D13" i="5"/>
  <c r="AV71" i="2"/>
  <c r="D22" i="5"/>
  <c r="D27" i="5"/>
  <c r="D28" i="5"/>
  <c r="D3" i="5"/>
  <c r="D25" i="5"/>
  <c r="D15" i="5"/>
  <c r="D6" i="5"/>
  <c r="D23" i="5"/>
  <c r="D11" i="5"/>
  <c r="D5" i="5"/>
  <c r="D7" i="5"/>
  <c r="D18" i="5"/>
  <c r="D14" i="5"/>
  <c r="D21" i="5"/>
  <c r="D8" i="5"/>
  <c r="D16" i="5"/>
  <c r="D17" i="5"/>
  <c r="D19" i="5"/>
  <c r="D12" i="5"/>
  <c r="D2" i="5"/>
  <c r="D67" i="2"/>
  <c r="E67" i="2" s="1"/>
  <c r="Q34" i="2"/>
  <c r="AV74" i="2"/>
  <c r="AV77" i="2"/>
  <c r="J61" i="2"/>
  <c r="K61" i="2" s="1"/>
  <c r="J69" i="2"/>
  <c r="K69" i="2" s="1"/>
  <c r="D75" i="2"/>
  <c r="E75" i="2" s="1"/>
  <c r="P12" i="2"/>
  <c r="D85" i="2"/>
  <c r="E85" i="2" s="1"/>
  <c r="J58" i="2"/>
  <c r="K58" i="2" s="1"/>
  <c r="Q12" i="2"/>
  <c r="D66" i="2"/>
  <c r="E66" i="2" s="1"/>
  <c r="D65" i="2"/>
  <c r="E65" i="2" s="1"/>
  <c r="J86" i="2"/>
  <c r="K86" i="2" s="1"/>
  <c r="AV84" i="2"/>
  <c r="J78" i="2"/>
  <c r="K78" i="2" s="1"/>
  <c r="AV78" i="2"/>
  <c r="J72" i="2"/>
  <c r="K72" i="2" s="1"/>
  <c r="AV73" i="2"/>
  <c r="J65" i="2"/>
  <c r="K65" i="2" s="1"/>
  <c r="J80" i="2"/>
  <c r="K80" i="2" s="1"/>
  <c r="AV79" i="2"/>
  <c r="D80" i="2"/>
  <c r="E80" i="2" s="1"/>
  <c r="J90" i="2"/>
  <c r="K90" i="2" s="1"/>
  <c r="AV87" i="2"/>
  <c r="J57" i="2"/>
  <c r="K57" i="2" s="1"/>
  <c r="AV62" i="2"/>
  <c r="AV64" i="2"/>
  <c r="J60" i="2"/>
  <c r="K60" i="2" s="1"/>
  <c r="J75" i="2"/>
  <c r="K75" i="2" s="1"/>
  <c r="AS9" i="2"/>
  <c r="AS11" i="2"/>
  <c r="D10" i="6" s="1"/>
  <c r="J62" i="2"/>
  <c r="K62" i="2" s="1"/>
  <c r="AV66" i="2"/>
  <c r="AS10" i="2"/>
  <c r="D9" i="6" s="1"/>
  <c r="J56" i="2"/>
  <c r="K56" i="2" s="1"/>
  <c r="P34" i="2"/>
  <c r="DK137" i="10" l="1"/>
  <c r="DK136" i="10"/>
  <c r="CQ53" i="10"/>
  <c r="AS110" i="10"/>
  <c r="AD16" i="10"/>
  <c r="I221" i="10"/>
  <c r="I216" i="10"/>
  <c r="I206" i="10"/>
  <c r="I211" i="10"/>
  <c r="DK135" i="10"/>
  <c r="BM124" i="10"/>
  <c r="FR148" i="10"/>
  <c r="BM122" i="10"/>
  <c r="FR149" i="10"/>
  <c r="J103" i="10"/>
  <c r="I212" i="10"/>
  <c r="I222" i="10"/>
  <c r="I217" i="10"/>
  <c r="I207" i="10"/>
  <c r="N154" i="10"/>
  <c r="N149" i="10"/>
  <c r="N142" i="10"/>
  <c r="N140" i="10"/>
  <c r="N110" i="10"/>
  <c r="N136" i="10"/>
  <c r="N153" i="10"/>
  <c r="N109" i="10"/>
  <c r="N148" i="10"/>
  <c r="N111" i="10"/>
  <c r="N141" i="10"/>
  <c r="N137" i="10"/>
  <c r="N114" i="10"/>
  <c r="N135" i="10"/>
  <c r="N123" i="10"/>
  <c r="N124" i="10"/>
  <c r="N147" i="10"/>
  <c r="N129" i="10"/>
  <c r="N122" i="10"/>
  <c r="N115" i="10"/>
  <c r="N116" i="10"/>
  <c r="AT111" i="10" s="1"/>
  <c r="N127" i="10"/>
  <c r="N128" i="10"/>
  <c r="BN123" i="10" s="1"/>
  <c r="N152" i="10"/>
  <c r="BM123" i="10"/>
  <c r="AS109" i="10"/>
  <c r="FR147" i="10"/>
  <c r="AN27" i="10"/>
  <c r="BM41" i="10"/>
  <c r="BM42" i="10"/>
  <c r="AD15" i="10"/>
  <c r="AD14" i="10"/>
  <c r="J8" i="10"/>
  <c r="N15" i="10"/>
  <c r="N21" i="10"/>
  <c r="N20" i="10"/>
  <c r="AE15" i="10" s="1"/>
  <c r="N27" i="10"/>
  <c r="N58" i="10"/>
  <c r="N59" i="10"/>
  <c r="N46" i="10"/>
  <c r="N29" i="10"/>
  <c r="N45" i="10"/>
  <c r="N57" i="10"/>
  <c r="N52" i="10"/>
  <c r="N28" i="10"/>
  <c r="N16" i="10"/>
  <c r="N14" i="10"/>
  <c r="N47" i="10"/>
  <c r="N34" i="10"/>
  <c r="AO29" i="10" s="1"/>
  <c r="N19" i="10"/>
  <c r="N42" i="10"/>
  <c r="N53" i="10"/>
  <c r="N54" i="10"/>
  <c r="N41" i="10"/>
  <c r="N33" i="10"/>
  <c r="N32" i="10"/>
  <c r="N40" i="10"/>
  <c r="AN29" i="10"/>
  <c r="AN28" i="10"/>
  <c r="CQ54" i="10"/>
  <c r="BM40" i="10"/>
  <c r="CQ52" i="10"/>
  <c r="L88" i="2"/>
  <c r="AR5" i="2"/>
  <c r="H88" i="2"/>
  <c r="J88" i="2" s="1"/>
  <c r="K88" i="2" s="1"/>
  <c r="H66" i="2"/>
  <c r="AV69" i="2"/>
  <c r="D9" i="5"/>
  <c r="E2" i="5"/>
  <c r="D59" i="2"/>
  <c r="E59" i="2" s="1"/>
  <c r="E21" i="5"/>
  <c r="D10" i="5"/>
  <c r="E6" i="5"/>
  <c r="D24" i="5"/>
  <c r="E4" i="5"/>
  <c r="D20" i="5"/>
  <c r="AV85" i="2"/>
  <c r="J66" i="2"/>
  <c r="K66" i="2" s="1"/>
  <c r="E12" i="5"/>
  <c r="E24" i="5"/>
  <c r="E8" i="5"/>
  <c r="E13" i="5"/>
  <c r="E17" i="5"/>
  <c r="E23" i="5"/>
  <c r="E9" i="5"/>
  <c r="E25" i="5"/>
  <c r="E15" i="5"/>
  <c r="E19" i="5"/>
  <c r="E3" i="5"/>
  <c r="E28" i="5"/>
  <c r="E18" i="5"/>
  <c r="E5" i="5"/>
  <c r="E11" i="5"/>
  <c r="E20" i="5"/>
  <c r="E7" i="5"/>
  <c r="E14" i="5"/>
  <c r="E16" i="5"/>
  <c r="E27" i="5"/>
  <c r="D26" i="5"/>
  <c r="AO28" i="10" l="1"/>
  <c r="BN122" i="10"/>
  <c r="AT110" i="10"/>
  <c r="FS149" i="10"/>
  <c r="AO27" i="10"/>
  <c r="FS148" i="10"/>
  <c r="J206" i="10"/>
  <c r="J221" i="10"/>
  <c r="J216" i="10"/>
  <c r="J211" i="10"/>
  <c r="AT109" i="10"/>
  <c r="DL135" i="10"/>
  <c r="K103" i="10"/>
  <c r="J207" i="10"/>
  <c r="J212" i="10"/>
  <c r="J222" i="10"/>
  <c r="J217" i="10"/>
  <c r="O111" i="10"/>
  <c r="O154" i="10"/>
  <c r="O149" i="10"/>
  <c r="O152" i="10"/>
  <c r="FT147" i="10" s="1"/>
  <c r="O153" i="10"/>
  <c r="O110" i="10"/>
  <c r="O148" i="10"/>
  <c r="O141" i="10"/>
  <c r="O136" i="10"/>
  <c r="O147" i="10"/>
  <c r="O123" i="10"/>
  <c r="O114" i="10"/>
  <c r="O116" i="10"/>
  <c r="O140" i="10"/>
  <c r="O122" i="10"/>
  <c r="O115" i="10"/>
  <c r="O137" i="10"/>
  <c r="O124" i="10"/>
  <c r="O129" i="10"/>
  <c r="BO124" i="10" s="1"/>
  <c r="O135" i="10"/>
  <c r="O142" i="10"/>
  <c r="O128" i="10"/>
  <c r="O109" i="10"/>
  <c r="O127" i="10"/>
  <c r="FS147" i="10"/>
  <c r="DL136" i="10"/>
  <c r="DL137" i="10"/>
  <c r="BN124" i="10"/>
  <c r="CR54" i="10"/>
  <c r="CR53" i="10"/>
  <c r="K8" i="10"/>
  <c r="O20" i="10"/>
  <c r="O16" i="10"/>
  <c r="O14" i="10"/>
  <c r="O21" i="10"/>
  <c r="O41" i="10"/>
  <c r="O54" i="10"/>
  <c r="O53" i="10"/>
  <c r="O57" i="10"/>
  <c r="O32" i="10"/>
  <c r="O47" i="10"/>
  <c r="O40" i="10"/>
  <c r="O52" i="10"/>
  <c r="O42" i="10"/>
  <c r="O45" i="10"/>
  <c r="O58" i="10"/>
  <c r="O46" i="10"/>
  <c r="O28" i="10"/>
  <c r="O33" i="10"/>
  <c r="AP28" i="10" s="1"/>
  <c r="O19" i="10"/>
  <c r="O34" i="10"/>
  <c r="O29" i="10"/>
  <c r="O59" i="10"/>
  <c r="CS54" i="10" s="1"/>
  <c r="O15" i="10"/>
  <c r="O27" i="10"/>
  <c r="BN42" i="10"/>
  <c r="BN41" i="10"/>
  <c r="CR52" i="10"/>
  <c r="AE16" i="10"/>
  <c r="AE14" i="10"/>
  <c r="BN40" i="10"/>
  <c r="E26" i="5"/>
  <c r="E10" i="5"/>
  <c r="BO122" i="10" l="1"/>
  <c r="AU110" i="10"/>
  <c r="AU109" i="10"/>
  <c r="FT149" i="10"/>
  <c r="DM136" i="10"/>
  <c r="K206" i="10"/>
  <c r="K221" i="10"/>
  <c r="K211" i="10"/>
  <c r="K216" i="10"/>
  <c r="BO123" i="10"/>
  <c r="DM135" i="10"/>
  <c r="L103" i="10"/>
  <c r="K207" i="10"/>
  <c r="K212" i="10"/>
  <c r="K217" i="10"/>
  <c r="K222" i="10"/>
  <c r="P142" i="10"/>
  <c r="P152" i="10"/>
  <c r="P109" i="10"/>
  <c r="P111" i="10"/>
  <c r="P153" i="10"/>
  <c r="P147" i="10"/>
  <c r="P148" i="10"/>
  <c r="P110" i="10"/>
  <c r="P123" i="10"/>
  <c r="P135" i="10"/>
  <c r="P141" i="10"/>
  <c r="DN136" i="10" s="1"/>
  <c r="P124" i="10"/>
  <c r="P127" i="10"/>
  <c r="P115" i="10"/>
  <c r="P128" i="10"/>
  <c r="BP123" i="10" s="1"/>
  <c r="P137" i="10"/>
  <c r="P116" i="10"/>
  <c r="P136" i="10"/>
  <c r="P129" i="10"/>
  <c r="P122" i="10"/>
  <c r="P114" i="10"/>
  <c r="P140" i="10"/>
  <c r="P149" i="10"/>
  <c r="P154" i="10"/>
  <c r="DM137" i="10"/>
  <c r="AU111" i="10"/>
  <c r="FT148" i="10"/>
  <c r="AF14" i="10"/>
  <c r="AF16" i="10"/>
  <c r="CS53" i="10"/>
  <c r="BO40" i="10"/>
  <c r="AP29" i="10"/>
  <c r="BO42" i="10"/>
  <c r="AP27" i="10"/>
  <c r="AF15" i="10"/>
  <c r="BO41" i="10"/>
  <c r="CS52" i="10"/>
  <c r="L8" i="10"/>
  <c r="P21" i="10"/>
  <c r="AG16" i="10" s="1"/>
  <c r="P19" i="10"/>
  <c r="P16" i="10"/>
  <c r="P53" i="10"/>
  <c r="P54" i="10"/>
  <c r="P42" i="10"/>
  <c r="P15" i="10"/>
  <c r="P32" i="10"/>
  <c r="P47" i="10"/>
  <c r="BP42" i="10" s="1"/>
  <c r="P52" i="10"/>
  <c r="P41" i="10"/>
  <c r="P45" i="10"/>
  <c r="P14" i="10"/>
  <c r="P20" i="10"/>
  <c r="P58" i="10"/>
  <c r="P57" i="10"/>
  <c r="P27" i="10"/>
  <c r="P40" i="10"/>
  <c r="P59" i="10"/>
  <c r="P34" i="10"/>
  <c r="P29" i="10"/>
  <c r="P28" i="10"/>
  <c r="P33" i="10"/>
  <c r="P46" i="10"/>
  <c r="AV111" i="10" l="1"/>
  <c r="BP124" i="10"/>
  <c r="FU147" i="10"/>
  <c r="DN137" i="10"/>
  <c r="FU149" i="10"/>
  <c r="L211" i="10"/>
  <c r="L206" i="10"/>
  <c r="L221" i="10"/>
  <c r="L216" i="10"/>
  <c r="DN135" i="10"/>
  <c r="AV110" i="10"/>
  <c r="AV109" i="10"/>
  <c r="BP122" i="10"/>
  <c r="FU148" i="10"/>
  <c r="BP41" i="10"/>
  <c r="M103" i="10"/>
  <c r="L222" i="10"/>
  <c r="L207" i="10"/>
  <c r="L217" i="10"/>
  <c r="L212" i="10"/>
  <c r="Q153" i="10"/>
  <c r="Q148" i="10"/>
  <c r="Q136" i="10"/>
  <c r="Q140" i="10"/>
  <c r="DO135" i="10" s="1"/>
  <c r="Q110" i="10"/>
  <c r="Q109" i="10"/>
  <c r="Q154" i="10"/>
  <c r="Q142" i="10"/>
  <c r="Q111" i="10"/>
  <c r="Q152" i="10"/>
  <c r="FV147" i="10" s="1"/>
  <c r="Q124" i="10"/>
  <c r="Q116" i="10"/>
  <c r="AW111" i="10" s="1"/>
  <c r="Q129" i="10"/>
  <c r="Q141" i="10"/>
  <c r="Q149" i="10"/>
  <c r="Q147" i="10"/>
  <c r="Q123" i="10"/>
  <c r="Q114" i="10"/>
  <c r="Q122" i="10"/>
  <c r="Q128" i="10"/>
  <c r="BQ123" i="10" s="1"/>
  <c r="Q135" i="10"/>
  <c r="Q137" i="10"/>
  <c r="Q115" i="10"/>
  <c r="Q127" i="10"/>
  <c r="AG15" i="10"/>
  <c r="AQ29" i="10"/>
  <c r="CT54" i="10"/>
  <c r="AG14" i="10"/>
  <c r="CT52" i="10"/>
  <c r="AQ27" i="10"/>
  <c r="M8" i="10"/>
  <c r="Q20" i="10"/>
  <c r="Q14" i="10"/>
  <c r="Q59" i="10"/>
  <c r="Q47" i="10"/>
  <c r="Q19" i="10"/>
  <c r="Q16" i="10"/>
  <c r="Q27" i="10"/>
  <c r="Q53" i="10"/>
  <c r="Q21" i="10"/>
  <c r="Q45" i="10"/>
  <c r="Q28" i="10"/>
  <c r="Q33" i="10"/>
  <c r="Q40" i="10"/>
  <c r="Q15" i="10"/>
  <c r="Q32" i="10"/>
  <c r="Q54" i="10"/>
  <c r="Q41" i="10"/>
  <c r="Q52" i="10"/>
  <c r="Q34" i="10"/>
  <c r="Q42" i="10"/>
  <c r="Q58" i="10"/>
  <c r="Q29" i="10"/>
  <c r="Q46" i="10"/>
  <c r="Q57" i="10"/>
  <c r="AQ28" i="10"/>
  <c r="CT53" i="10"/>
  <c r="BP40" i="10"/>
  <c r="BQ124" i="10" l="1"/>
  <c r="AW110" i="10"/>
  <c r="DO136" i="10"/>
  <c r="FV149" i="10"/>
  <c r="M211" i="10"/>
  <c r="M221" i="10"/>
  <c r="M216" i="10"/>
  <c r="M206" i="10"/>
  <c r="CU54" i="10"/>
  <c r="AW109" i="10"/>
  <c r="BQ40" i="10"/>
  <c r="FV148" i="10"/>
  <c r="N103" i="10"/>
  <c r="M222" i="10"/>
  <c r="M217" i="10"/>
  <c r="M212" i="10"/>
  <c r="M207" i="10"/>
  <c r="R152" i="10"/>
  <c r="R111" i="10"/>
  <c r="R149" i="10"/>
  <c r="R141" i="10"/>
  <c r="R109" i="10"/>
  <c r="R154" i="10"/>
  <c r="FW149" i="10" s="1"/>
  <c r="R110" i="10"/>
  <c r="R129" i="10"/>
  <c r="R124" i="10"/>
  <c r="R123" i="10"/>
  <c r="R148" i="10"/>
  <c r="R114" i="10"/>
  <c r="AX109" i="10" s="1"/>
  <c r="R127" i="10"/>
  <c r="R115" i="10"/>
  <c r="R153" i="10"/>
  <c r="R147" i="10"/>
  <c r="R136" i="10"/>
  <c r="R142" i="10"/>
  <c r="R128" i="10"/>
  <c r="R122" i="10"/>
  <c r="R137" i="10"/>
  <c r="R135" i="10"/>
  <c r="R116" i="10"/>
  <c r="R140" i="10"/>
  <c r="AH16" i="10"/>
  <c r="BQ122" i="10"/>
  <c r="DO137" i="10"/>
  <c r="AR28" i="10"/>
  <c r="AR29" i="10"/>
  <c r="CU52" i="10"/>
  <c r="AH15" i="10"/>
  <c r="N8" i="10"/>
  <c r="R21" i="10"/>
  <c r="R15" i="10"/>
  <c r="R41" i="10"/>
  <c r="R47" i="10"/>
  <c r="R54" i="10"/>
  <c r="R34" i="10"/>
  <c r="R16" i="10"/>
  <c r="R40" i="10"/>
  <c r="R19" i="10"/>
  <c r="R45" i="10"/>
  <c r="R59" i="10"/>
  <c r="R58" i="10"/>
  <c r="R28" i="10"/>
  <c r="R52" i="10"/>
  <c r="R32" i="10"/>
  <c r="R53" i="10"/>
  <c r="R29" i="10"/>
  <c r="R57" i="10"/>
  <c r="R33" i="10"/>
  <c r="AS28" i="10" s="1"/>
  <c r="R20" i="10"/>
  <c r="R46" i="10"/>
  <c r="R14" i="10"/>
  <c r="R42" i="10"/>
  <c r="R27" i="10"/>
  <c r="BQ41" i="10"/>
  <c r="AR27" i="10"/>
  <c r="BQ42" i="10"/>
  <c r="CU53" i="10"/>
  <c r="AH14" i="10"/>
  <c r="DP137" i="10" l="1"/>
  <c r="AX110" i="10"/>
  <c r="FW147" i="10"/>
  <c r="N216" i="10"/>
  <c r="N211" i="10"/>
  <c r="N206" i="10"/>
  <c r="N221" i="10"/>
  <c r="DP135" i="10"/>
  <c r="BR124" i="10"/>
  <c r="AX111" i="10"/>
  <c r="FW148" i="10"/>
  <c r="BR122" i="10"/>
  <c r="DP136" i="10"/>
  <c r="O103" i="10"/>
  <c r="N222" i="10"/>
  <c r="N217" i="10"/>
  <c r="N207" i="10"/>
  <c r="N212" i="10"/>
  <c r="S110" i="10"/>
  <c r="S153" i="10"/>
  <c r="S148" i="10"/>
  <c r="S154" i="10"/>
  <c r="S111" i="10"/>
  <c r="S149" i="10"/>
  <c r="S141" i="10"/>
  <c r="S152" i="10"/>
  <c r="S124" i="10"/>
  <c r="S135" i="10"/>
  <c r="S127" i="10"/>
  <c r="S128" i="10"/>
  <c r="S147" i="10"/>
  <c r="S142" i="10"/>
  <c r="DQ137" i="10" s="1"/>
  <c r="S129" i="10"/>
  <c r="S114" i="10"/>
  <c r="AY109" i="10" s="1"/>
  <c r="S122" i="10"/>
  <c r="S140" i="10"/>
  <c r="DQ135" i="10" s="1"/>
  <c r="S123" i="10"/>
  <c r="S137" i="10"/>
  <c r="S115" i="10"/>
  <c r="S116" i="10"/>
  <c r="AY111" i="10" s="1"/>
  <c r="S109" i="10"/>
  <c r="S136" i="10"/>
  <c r="CV54" i="10"/>
  <c r="BR123" i="10"/>
  <c r="AI14" i="10"/>
  <c r="AI16" i="10"/>
  <c r="CV52" i="10"/>
  <c r="BR40" i="10"/>
  <c r="O8" i="10"/>
  <c r="S16" i="10"/>
  <c r="S15" i="10"/>
  <c r="S33" i="10"/>
  <c r="S28" i="10"/>
  <c r="S20" i="10"/>
  <c r="S41" i="10"/>
  <c r="S47" i="10"/>
  <c r="S58" i="10"/>
  <c r="S59" i="10"/>
  <c r="S34" i="10"/>
  <c r="S29" i="10"/>
  <c r="S27" i="10"/>
  <c r="S42" i="10"/>
  <c r="S57" i="10"/>
  <c r="S40" i="10"/>
  <c r="S32" i="10"/>
  <c r="S46" i="10"/>
  <c r="S21" i="10"/>
  <c r="S45" i="10"/>
  <c r="S54" i="10"/>
  <c r="S14" i="10"/>
  <c r="S19" i="10"/>
  <c r="S52" i="10"/>
  <c r="S53" i="10"/>
  <c r="AS27" i="10"/>
  <c r="AS29" i="10"/>
  <c r="BR41" i="10"/>
  <c r="AI15" i="10"/>
  <c r="CV53" i="10"/>
  <c r="BR42" i="10"/>
  <c r="BS123" i="10" l="1"/>
  <c r="FX147" i="10"/>
  <c r="O216" i="10"/>
  <c r="O211" i="10"/>
  <c r="O221" i="10"/>
  <c r="O206" i="10"/>
  <c r="BS124" i="10"/>
  <c r="DQ136" i="10"/>
  <c r="AY110" i="10"/>
  <c r="FX149" i="10"/>
  <c r="P103" i="10"/>
  <c r="O222" i="10"/>
  <c r="O217" i="10"/>
  <c r="O212" i="10"/>
  <c r="O207" i="10"/>
  <c r="T152" i="10"/>
  <c r="T148" i="10"/>
  <c r="T111" i="10"/>
  <c r="T153" i="10"/>
  <c r="T147" i="10"/>
  <c r="T110" i="10"/>
  <c r="T140" i="10"/>
  <c r="T149" i="10"/>
  <c r="T141" i="10"/>
  <c r="T154" i="10"/>
  <c r="T142" i="10"/>
  <c r="T116" i="10"/>
  <c r="T137" i="10"/>
  <c r="T136" i="10"/>
  <c r="T109" i="10"/>
  <c r="T129" i="10"/>
  <c r="BT124" i="10" s="1"/>
  <c r="T122" i="10"/>
  <c r="T115" i="10"/>
  <c r="AZ110" i="10" s="1"/>
  <c r="T135" i="10"/>
  <c r="T124" i="10"/>
  <c r="T128" i="10"/>
  <c r="T127" i="10"/>
  <c r="T114" i="10"/>
  <c r="AZ109" i="10" s="1"/>
  <c r="T123" i="10"/>
  <c r="BS122" i="10"/>
  <c r="FX148" i="10"/>
  <c r="AT28" i="10"/>
  <c r="CW54" i="10"/>
  <c r="AT27" i="10"/>
  <c r="BS42" i="10"/>
  <c r="AJ14" i="10"/>
  <c r="CW52" i="10"/>
  <c r="BS40" i="10"/>
  <c r="BS41" i="10"/>
  <c r="AJ16" i="10"/>
  <c r="AT29" i="10"/>
  <c r="CW53" i="10"/>
  <c r="P8" i="10"/>
  <c r="T16" i="10"/>
  <c r="T15" i="10"/>
  <c r="T19" i="10"/>
  <c r="T20" i="10"/>
  <c r="T46" i="10"/>
  <c r="T54" i="10"/>
  <c r="T53" i="10"/>
  <c r="T34" i="10"/>
  <c r="T59" i="10"/>
  <c r="T41" i="10"/>
  <c r="T52" i="10"/>
  <c r="T27" i="10"/>
  <c r="T40" i="10"/>
  <c r="T32" i="10"/>
  <c r="T58" i="10"/>
  <c r="T42" i="10"/>
  <c r="T45" i="10"/>
  <c r="T29" i="10"/>
  <c r="T21" i="10"/>
  <c r="T28" i="10"/>
  <c r="T47" i="10"/>
  <c r="T14" i="10"/>
  <c r="T57" i="10"/>
  <c r="T33" i="10"/>
  <c r="AJ15" i="10"/>
  <c r="DR136" i="10" l="1"/>
  <c r="FY147" i="10"/>
  <c r="CX53" i="10"/>
  <c r="DR137" i="10"/>
  <c r="FY149" i="10"/>
  <c r="DR135" i="10"/>
  <c r="P221" i="10"/>
  <c r="P216" i="10"/>
  <c r="P211" i="10"/>
  <c r="P206" i="10"/>
  <c r="BT122" i="10"/>
  <c r="BT123" i="10"/>
  <c r="AZ111" i="10"/>
  <c r="FY148" i="10"/>
  <c r="Q103" i="10"/>
  <c r="P222" i="10"/>
  <c r="P207" i="10"/>
  <c r="P212" i="10"/>
  <c r="P217" i="10"/>
  <c r="U147" i="10"/>
  <c r="U136" i="10"/>
  <c r="U137" i="10"/>
  <c r="U109" i="10"/>
  <c r="U152" i="10"/>
  <c r="U141" i="10"/>
  <c r="U154" i="10"/>
  <c r="U111" i="10"/>
  <c r="U149" i="10"/>
  <c r="U110" i="10"/>
  <c r="U140" i="10"/>
  <c r="U124" i="10"/>
  <c r="U135" i="10"/>
  <c r="U148" i="10"/>
  <c r="U128" i="10"/>
  <c r="U123" i="10"/>
  <c r="U114" i="10"/>
  <c r="U129" i="10"/>
  <c r="U153" i="10"/>
  <c r="U115" i="10"/>
  <c r="U116" i="10"/>
  <c r="BA111" i="10" s="1"/>
  <c r="U122" i="10"/>
  <c r="U142" i="10"/>
  <c r="U127" i="10"/>
  <c r="CX54" i="10"/>
  <c r="BT40" i="10"/>
  <c r="CX52" i="10"/>
  <c r="AU29" i="10"/>
  <c r="AU28" i="10"/>
  <c r="BT41" i="10"/>
  <c r="AK15" i="10"/>
  <c r="Q8" i="10"/>
  <c r="U16" i="10"/>
  <c r="U40" i="10"/>
  <c r="U34" i="10"/>
  <c r="U47" i="10"/>
  <c r="U29" i="10"/>
  <c r="U27" i="10"/>
  <c r="U54" i="10"/>
  <c r="U20" i="10"/>
  <c r="U57" i="10"/>
  <c r="U59" i="10"/>
  <c r="U52" i="10"/>
  <c r="U46" i="10"/>
  <c r="U19" i="10"/>
  <c r="U28" i="10"/>
  <c r="U53" i="10"/>
  <c r="U15" i="10"/>
  <c r="U14" i="10"/>
  <c r="U21" i="10"/>
  <c r="AL16" i="10" s="1"/>
  <c r="U32" i="10"/>
  <c r="U41" i="10"/>
  <c r="U58" i="10"/>
  <c r="U42" i="10"/>
  <c r="U45" i="10"/>
  <c r="U33" i="10"/>
  <c r="AU27" i="10"/>
  <c r="BT42" i="10"/>
  <c r="AK16" i="10"/>
  <c r="AK14" i="10"/>
  <c r="DS137" i="10" l="1"/>
  <c r="BU123" i="10"/>
  <c r="BU124" i="10"/>
  <c r="BA109" i="10"/>
  <c r="BU122" i="10"/>
  <c r="Q221" i="10"/>
  <c r="Q206" i="10"/>
  <c r="Q211" i="10"/>
  <c r="Q216" i="10"/>
  <c r="FZ149" i="10"/>
  <c r="DS136" i="10"/>
  <c r="FZ147" i="10"/>
  <c r="BU40" i="10"/>
  <c r="BA110" i="10"/>
  <c r="R103" i="10"/>
  <c r="Q212" i="10"/>
  <c r="Q222" i="10"/>
  <c r="Q217" i="10"/>
  <c r="Q207" i="10"/>
  <c r="V149" i="10"/>
  <c r="V140" i="10"/>
  <c r="V109" i="10"/>
  <c r="V110" i="10"/>
  <c r="V148" i="10"/>
  <c r="V152" i="10"/>
  <c r="V136" i="10"/>
  <c r="V116" i="10"/>
  <c r="V127" i="10"/>
  <c r="V111" i="10"/>
  <c r="V124" i="10"/>
  <c r="V135" i="10"/>
  <c r="V122" i="10"/>
  <c r="V154" i="10"/>
  <c r="V153" i="10"/>
  <c r="V142" i="10"/>
  <c r="V147" i="10"/>
  <c r="V141" i="10"/>
  <c r="V129" i="10"/>
  <c r="BV124" i="10" s="1"/>
  <c r="V114" i="10"/>
  <c r="V115" i="10"/>
  <c r="BB110" i="10" s="1"/>
  <c r="V137" i="10"/>
  <c r="V123" i="10"/>
  <c r="V128" i="10"/>
  <c r="FZ148" i="10"/>
  <c r="DS135" i="10"/>
  <c r="AL14" i="10"/>
  <c r="CY53" i="10"/>
  <c r="BU41" i="10"/>
  <c r="BU42" i="10"/>
  <c r="AV27" i="10"/>
  <c r="AV29" i="10"/>
  <c r="CY54" i="10"/>
  <c r="CY52" i="10"/>
  <c r="AV28" i="10"/>
  <c r="AL15" i="10"/>
  <c r="R8" i="10"/>
  <c r="V15" i="10"/>
  <c r="V20" i="10"/>
  <c r="V14" i="10"/>
  <c r="V41" i="10"/>
  <c r="V28" i="10"/>
  <c r="V57" i="10"/>
  <c r="V40" i="10"/>
  <c r="V42" i="10"/>
  <c r="V58" i="10"/>
  <c r="V33" i="10"/>
  <c r="V45" i="10"/>
  <c r="V34" i="10"/>
  <c r="V54" i="10"/>
  <c r="V46" i="10"/>
  <c r="V29" i="10"/>
  <c r="V53" i="10"/>
  <c r="V21" i="10"/>
  <c r="V19" i="10"/>
  <c r="V47" i="10"/>
  <c r="V32" i="10"/>
  <c r="V52" i="10"/>
  <c r="V16" i="10"/>
  <c r="V27" i="10"/>
  <c r="V59" i="10"/>
  <c r="BB109" i="10" l="1"/>
  <c r="DT136" i="10"/>
  <c r="GA148" i="10"/>
  <c r="DT135" i="10"/>
  <c r="BV122" i="10"/>
  <c r="BV123" i="10"/>
  <c r="DT137" i="10"/>
  <c r="BB111" i="10"/>
  <c r="CZ53" i="10"/>
  <c r="GA149" i="10"/>
  <c r="GA147" i="10"/>
  <c r="R221" i="10"/>
  <c r="R216" i="10"/>
  <c r="R211" i="10"/>
  <c r="S103" i="10"/>
  <c r="R207" i="10"/>
  <c r="R212" i="10"/>
  <c r="R222" i="10"/>
  <c r="R217" i="10"/>
  <c r="W109" i="10"/>
  <c r="W111" i="10"/>
  <c r="W149" i="10"/>
  <c r="W142" i="10"/>
  <c r="W147" i="10"/>
  <c r="W148" i="10"/>
  <c r="W154" i="10"/>
  <c r="W141" i="10"/>
  <c r="W115" i="10"/>
  <c r="W128" i="10"/>
  <c r="W127" i="10"/>
  <c r="W114" i="10"/>
  <c r="W153" i="10"/>
  <c r="W123" i="10"/>
  <c r="W140" i="10"/>
  <c r="W116" i="10"/>
  <c r="W135" i="10"/>
  <c r="W129" i="10"/>
  <c r="W124" i="10"/>
  <c r="W110" i="10"/>
  <c r="W136" i="10"/>
  <c r="W122" i="10"/>
  <c r="W137" i="10"/>
  <c r="W152" i="10"/>
  <c r="BV41" i="10"/>
  <c r="CZ52" i="10"/>
  <c r="AW28" i="10"/>
  <c r="CZ54" i="10"/>
  <c r="CK2" i="10"/>
  <c r="AM14" i="10"/>
  <c r="CK3" i="10"/>
  <c r="AM15" i="10"/>
  <c r="S8" i="10"/>
  <c r="W28" i="10"/>
  <c r="W46" i="10"/>
  <c r="W53" i="10"/>
  <c r="W41" i="10"/>
  <c r="W54" i="10"/>
  <c r="W32" i="10"/>
  <c r="W57" i="10"/>
  <c r="W42" i="10"/>
  <c r="W29" i="10"/>
  <c r="W52" i="10"/>
  <c r="W40" i="10"/>
  <c r="W58" i="10"/>
  <c r="W33" i="10"/>
  <c r="W47" i="10"/>
  <c r="W27" i="10"/>
  <c r="W34" i="10"/>
  <c r="W59" i="10"/>
  <c r="W45" i="10"/>
  <c r="CK4" i="10"/>
  <c r="AM16" i="10"/>
  <c r="AW27" i="10"/>
  <c r="AW29" i="10"/>
  <c r="BV42" i="10"/>
  <c r="BV40" i="10"/>
  <c r="GB147" i="10" l="1"/>
  <c r="GB149" i="10"/>
  <c r="GB148" i="10"/>
  <c r="DA54" i="10"/>
  <c r="BW124" i="10"/>
  <c r="BW123" i="10"/>
  <c r="BC110" i="10"/>
  <c r="BC111" i="10"/>
  <c r="DU136" i="10"/>
  <c r="S221" i="10"/>
  <c r="S211" i="10"/>
  <c r="S216" i="10"/>
  <c r="DU135" i="10"/>
  <c r="BC109" i="10"/>
  <c r="DU137" i="10"/>
  <c r="T103" i="10"/>
  <c r="S207" i="10"/>
  <c r="S212" i="10"/>
  <c r="S222" i="10"/>
  <c r="S217" i="10"/>
  <c r="X109" i="10"/>
  <c r="X153" i="10"/>
  <c r="X147" i="10"/>
  <c r="X154" i="10"/>
  <c r="X152" i="10"/>
  <c r="X140" i="10"/>
  <c r="X122" i="10"/>
  <c r="X148" i="10"/>
  <c r="X114" i="10"/>
  <c r="BD109" i="10" s="1"/>
  <c r="X110" i="10"/>
  <c r="X149" i="10"/>
  <c r="X116" i="10"/>
  <c r="X123" i="10"/>
  <c r="X111" i="10"/>
  <c r="X141" i="10"/>
  <c r="X137" i="10"/>
  <c r="X124" i="10"/>
  <c r="X142" i="10"/>
  <c r="X136" i="10"/>
  <c r="X127" i="10"/>
  <c r="X115" i="10"/>
  <c r="X128" i="10"/>
  <c r="BX123" i="10" s="1"/>
  <c r="X129" i="10"/>
  <c r="X135" i="10"/>
  <c r="BW41" i="10"/>
  <c r="BW122" i="10"/>
  <c r="BW40" i="10"/>
  <c r="DA53" i="10"/>
  <c r="DA52" i="10"/>
  <c r="BW42" i="10"/>
  <c r="AX27" i="10"/>
  <c r="T8" i="10"/>
  <c r="X28" i="10"/>
  <c r="X27" i="10"/>
  <c r="X53" i="10"/>
  <c r="X57" i="10"/>
  <c r="X54" i="10"/>
  <c r="X59" i="10"/>
  <c r="DB54" i="10" s="1"/>
  <c r="X42" i="10"/>
  <c r="X33" i="10"/>
  <c r="X47" i="10"/>
  <c r="X52" i="10"/>
  <c r="X29" i="10"/>
  <c r="X58" i="10"/>
  <c r="X45" i="10"/>
  <c r="X41" i="10"/>
  <c r="X32" i="10"/>
  <c r="X40" i="10"/>
  <c r="X34" i="10"/>
  <c r="X46" i="10"/>
  <c r="AX28" i="10"/>
  <c r="AX29" i="10"/>
  <c r="BX124" i="10" l="1"/>
  <c r="DV137" i="10"/>
  <c r="GC148" i="10"/>
  <c r="T211" i="10"/>
  <c r="T221" i="10"/>
  <c r="T216" i="10"/>
  <c r="DV136" i="10"/>
  <c r="DV135" i="10"/>
  <c r="AY27" i="10"/>
  <c r="BD110" i="10"/>
  <c r="GC147" i="10"/>
  <c r="BX122" i="10"/>
  <c r="BD111" i="10"/>
  <c r="GC149" i="10"/>
  <c r="U103" i="10"/>
  <c r="T222" i="10"/>
  <c r="T207" i="10"/>
  <c r="T212" i="10"/>
  <c r="T217" i="10"/>
  <c r="Y111" i="10"/>
  <c r="Y141" i="10"/>
  <c r="Y148" i="10"/>
  <c r="Y109" i="10"/>
  <c r="Y153" i="10"/>
  <c r="GD148" i="10" s="1"/>
  <c r="Y142" i="10"/>
  <c r="Y110" i="10"/>
  <c r="Y149" i="10"/>
  <c r="Y154" i="10"/>
  <c r="Y124" i="10"/>
  <c r="Y116" i="10"/>
  <c r="BE111" i="10" s="1"/>
  <c r="Y129" i="10"/>
  <c r="Y152" i="10"/>
  <c r="GD147" i="10" s="1"/>
  <c r="Y127" i="10"/>
  <c r="Y115" i="10"/>
  <c r="BE110" i="10" s="1"/>
  <c r="Y123" i="10"/>
  <c r="Y147" i="10"/>
  <c r="Y114" i="10"/>
  <c r="Y137" i="10"/>
  <c r="Y136" i="10"/>
  <c r="Y135" i="10"/>
  <c r="Y128" i="10"/>
  <c r="Y122" i="10"/>
  <c r="Y140" i="10"/>
  <c r="BX42" i="10"/>
  <c r="BX41" i="10"/>
  <c r="AY28" i="10"/>
  <c r="U8" i="10"/>
  <c r="Y40" i="10"/>
  <c r="Y46" i="10"/>
  <c r="Y32" i="10"/>
  <c r="Y54" i="10"/>
  <c r="Y52" i="10"/>
  <c r="Y53" i="10"/>
  <c r="Y28" i="10"/>
  <c r="Y41" i="10"/>
  <c r="Y45" i="10"/>
  <c r="Y29" i="10"/>
  <c r="Y47" i="10"/>
  <c r="Y58" i="10"/>
  <c r="Y33" i="10"/>
  <c r="Y27" i="10"/>
  <c r="Y34" i="10"/>
  <c r="Y57" i="10"/>
  <c r="DC52" i="10" s="1"/>
  <c r="Y59" i="10"/>
  <c r="Y42" i="10"/>
  <c r="BX40" i="10"/>
  <c r="AY29" i="10"/>
  <c r="DB53" i="10"/>
  <c r="DB52" i="10"/>
  <c r="DW135" i="10" l="1"/>
  <c r="BY42" i="10"/>
  <c r="BY124" i="10"/>
  <c r="BY123" i="10"/>
  <c r="BY122" i="10"/>
  <c r="DW137" i="10"/>
  <c r="V103" i="10"/>
  <c r="U222" i="10"/>
  <c r="U217" i="10"/>
  <c r="U212" i="10"/>
  <c r="U207" i="10"/>
  <c r="Z153" i="10"/>
  <c r="Z129" i="10"/>
  <c r="Z152" i="10"/>
  <c r="Z111" i="10"/>
  <c r="Z149" i="10"/>
  <c r="Z141" i="10"/>
  <c r="Z154" i="10"/>
  <c r="Z147" i="10"/>
  <c r="Z109" i="10"/>
  <c r="Z142" i="10"/>
  <c r="Z137" i="10"/>
  <c r="Z135" i="10"/>
  <c r="Z114" i="10"/>
  <c r="Z122" i="10"/>
  <c r="Z124" i="10"/>
  <c r="Z115" i="10"/>
  <c r="Z110" i="10"/>
  <c r="Z140" i="10"/>
  <c r="Z148" i="10"/>
  <c r="Z128" i="10"/>
  <c r="Z127" i="10"/>
  <c r="Z136" i="10"/>
  <c r="Z123" i="10"/>
  <c r="Z116" i="10"/>
  <c r="U211" i="10"/>
  <c r="U221" i="10"/>
  <c r="U216" i="10"/>
  <c r="BE109" i="10"/>
  <c r="DW136" i="10"/>
  <c r="GD149" i="10"/>
  <c r="AZ27" i="10"/>
  <c r="DC54" i="10"/>
  <c r="AZ28" i="10"/>
  <c r="BY41" i="10"/>
  <c r="V8" i="10"/>
  <c r="Z58" i="10"/>
  <c r="Z42" i="10"/>
  <c r="Z40" i="10"/>
  <c r="Z47" i="10"/>
  <c r="Z53" i="10"/>
  <c r="Z54" i="10"/>
  <c r="Z33" i="10"/>
  <c r="Z34" i="10"/>
  <c r="Z45" i="10"/>
  <c r="Z59" i="10"/>
  <c r="Z41" i="10"/>
  <c r="Z29" i="10"/>
  <c r="Z52" i="10"/>
  <c r="Z32" i="10"/>
  <c r="Z27" i="10"/>
  <c r="Z28" i="10"/>
  <c r="Z46" i="10"/>
  <c r="Z57" i="10"/>
  <c r="AZ29" i="10"/>
  <c r="BY40" i="10"/>
  <c r="DC53" i="10"/>
  <c r="BF111" i="10" l="1"/>
  <c r="GE149" i="10"/>
  <c r="GE148" i="10"/>
  <c r="BF110" i="10"/>
  <c r="BZ122" i="10"/>
  <c r="BF109" i="10"/>
  <c r="BZ123" i="10"/>
  <c r="W103" i="10"/>
  <c r="V222" i="10"/>
  <c r="V217" i="10"/>
  <c r="V207" i="10"/>
  <c r="V212" i="10"/>
  <c r="AA152" i="10"/>
  <c r="AA110" i="10"/>
  <c r="AA153" i="10"/>
  <c r="AA148" i="10"/>
  <c r="AA154" i="10"/>
  <c r="AA137" i="10"/>
  <c r="AA149" i="10"/>
  <c r="AA124" i="10"/>
  <c r="AA141" i="10"/>
  <c r="AA109" i="10"/>
  <c r="AA115" i="10"/>
  <c r="AA142" i="10"/>
  <c r="AA147" i="10"/>
  <c r="AA114" i="10"/>
  <c r="AA129" i="10"/>
  <c r="AA122" i="10"/>
  <c r="AA123" i="10"/>
  <c r="AA136" i="10"/>
  <c r="AA140" i="10"/>
  <c r="AA116" i="10"/>
  <c r="AA135" i="10"/>
  <c r="AA111" i="10"/>
  <c r="AA127" i="10"/>
  <c r="AA128" i="10"/>
  <c r="V216" i="10"/>
  <c r="V211" i="10"/>
  <c r="V221" i="10"/>
  <c r="GE147" i="10"/>
  <c r="DX136" i="10"/>
  <c r="DX135" i="10"/>
  <c r="DX137" i="10"/>
  <c r="BZ124" i="10"/>
  <c r="BZ41" i="10"/>
  <c r="BZ40" i="10"/>
  <c r="BA27" i="10"/>
  <c r="BZ42" i="10"/>
  <c r="DD52" i="10"/>
  <c r="DD54" i="10"/>
  <c r="DD53" i="10"/>
  <c r="BA29" i="10"/>
  <c r="W8" i="10"/>
  <c r="AA59" i="10"/>
  <c r="AA57" i="10"/>
  <c r="AA41" i="10"/>
  <c r="AA47" i="10"/>
  <c r="AA27" i="10"/>
  <c r="AA45" i="10"/>
  <c r="AA32" i="10"/>
  <c r="AA58" i="10"/>
  <c r="AA34" i="10"/>
  <c r="AA54" i="10"/>
  <c r="AA28" i="10"/>
  <c r="AA53" i="10"/>
  <c r="AA40" i="10"/>
  <c r="AA52" i="10"/>
  <c r="AA33" i="10"/>
  <c r="AA42" i="10"/>
  <c r="AA46" i="10"/>
  <c r="AA29" i="10"/>
  <c r="BA28" i="10"/>
  <c r="CA122" i="10" l="1"/>
  <c r="BG109" i="10"/>
  <c r="BG110" i="10"/>
  <c r="CA124" i="10"/>
  <c r="GF149" i="10"/>
  <c r="BG111" i="10"/>
  <c r="DY137" i="10"/>
  <c r="X103" i="10"/>
  <c r="W222" i="10"/>
  <c r="W217" i="10"/>
  <c r="W207" i="10"/>
  <c r="W212" i="10"/>
  <c r="AB142" i="10"/>
  <c r="AB109" i="10"/>
  <c r="AB152" i="10"/>
  <c r="AB148" i="10"/>
  <c r="AB111" i="10"/>
  <c r="AB153" i="10"/>
  <c r="AB147" i="10"/>
  <c r="AB110" i="10"/>
  <c r="AB140" i="10"/>
  <c r="AB149" i="10"/>
  <c r="AB141" i="10"/>
  <c r="AB136" i="10"/>
  <c r="AB124" i="10"/>
  <c r="AB123" i="10"/>
  <c r="AB135" i="10"/>
  <c r="AB127" i="10"/>
  <c r="CB122" i="10" s="1"/>
  <c r="AB128" i="10"/>
  <c r="AB137" i="10"/>
  <c r="AB114" i="10"/>
  <c r="BH109" i="10" s="1"/>
  <c r="AB116" i="10"/>
  <c r="AB115" i="10"/>
  <c r="AB154" i="10"/>
  <c r="AB122" i="10"/>
  <c r="AB129" i="10"/>
  <c r="DY135" i="10"/>
  <c r="GF148" i="10"/>
  <c r="W216" i="10"/>
  <c r="W221" i="10"/>
  <c r="W211" i="10"/>
  <c r="DY136" i="10"/>
  <c r="GF147" i="10"/>
  <c r="CA41" i="10"/>
  <c r="DE53" i="10"/>
  <c r="BB28" i="10"/>
  <c r="CA123" i="10"/>
  <c r="BB27" i="10"/>
  <c r="BB29" i="10"/>
  <c r="DE54" i="10"/>
  <c r="CA40" i="10"/>
  <c r="X8" i="10"/>
  <c r="AB53" i="10"/>
  <c r="AB57" i="10"/>
  <c r="AB27" i="10"/>
  <c r="AB46" i="10"/>
  <c r="AB40" i="10"/>
  <c r="AB54" i="10"/>
  <c r="AB59" i="10"/>
  <c r="AB32" i="10"/>
  <c r="AB58" i="10"/>
  <c r="AB52" i="10"/>
  <c r="AB45" i="10"/>
  <c r="AB42" i="10"/>
  <c r="AB34" i="10"/>
  <c r="AB29" i="10"/>
  <c r="AB47" i="10"/>
  <c r="AB28" i="10"/>
  <c r="AB41" i="10"/>
  <c r="AB33" i="10"/>
  <c r="CA42" i="10"/>
  <c r="DE52" i="10"/>
  <c r="DZ136" i="10" l="1"/>
  <c r="GG149" i="10"/>
  <c r="GG148" i="10"/>
  <c r="CB124" i="10"/>
  <c r="DF53" i="10"/>
  <c r="CB42" i="10"/>
  <c r="X221" i="10"/>
  <c r="X216" i="10"/>
  <c r="X211" i="10"/>
  <c r="BH110" i="10"/>
  <c r="BH111" i="10"/>
  <c r="Y103" i="10"/>
  <c r="X217" i="10"/>
  <c r="X222" i="10"/>
  <c r="X207" i="10"/>
  <c r="X212" i="10"/>
  <c r="AC153" i="10"/>
  <c r="AC149" i="10"/>
  <c r="AC147" i="10"/>
  <c r="AC136" i="10"/>
  <c r="AC152" i="10"/>
  <c r="GH147" i="10" s="1"/>
  <c r="AC110" i="10"/>
  <c r="AC154" i="10"/>
  <c r="AC111" i="10"/>
  <c r="AC109" i="10"/>
  <c r="AC142" i="10"/>
  <c r="AC124" i="10"/>
  <c r="AC114" i="10"/>
  <c r="AC141" i="10"/>
  <c r="EA136" i="10" s="1"/>
  <c r="AC135" i="10"/>
  <c r="AC148" i="10"/>
  <c r="AC140" i="10"/>
  <c r="AC122" i="10"/>
  <c r="AC129" i="10"/>
  <c r="AC127" i="10"/>
  <c r="AC128" i="10"/>
  <c r="AC123" i="10"/>
  <c r="AC115" i="10"/>
  <c r="BI110" i="10" s="1"/>
  <c r="AC137" i="10"/>
  <c r="AC116" i="10"/>
  <c r="BI111" i="10" s="1"/>
  <c r="CB40" i="10"/>
  <c r="GG147" i="10"/>
  <c r="CB123" i="10"/>
  <c r="DZ135" i="10"/>
  <c r="DZ137" i="10"/>
  <c r="DF54" i="10"/>
  <c r="BC28" i="10"/>
  <c r="CB41" i="10"/>
  <c r="BC29" i="10"/>
  <c r="DF52" i="10"/>
  <c r="BC27" i="10"/>
  <c r="Y8" i="10"/>
  <c r="AC58" i="10"/>
  <c r="AC46" i="10"/>
  <c r="AC40" i="10"/>
  <c r="AC34" i="10"/>
  <c r="AC54" i="10"/>
  <c r="AC27" i="10"/>
  <c r="AC45" i="10"/>
  <c r="AC57" i="10"/>
  <c r="AC59" i="10"/>
  <c r="AC52" i="10"/>
  <c r="AC28" i="10"/>
  <c r="AC32" i="10"/>
  <c r="AC53" i="10"/>
  <c r="AC29" i="10"/>
  <c r="AC47" i="10"/>
  <c r="AC41" i="10"/>
  <c r="AC33" i="10"/>
  <c r="AC42" i="10"/>
  <c r="EA137" i="10" l="1"/>
  <c r="GH148" i="10"/>
  <c r="CC122" i="10"/>
  <c r="BI109" i="10"/>
  <c r="CC123" i="10"/>
  <c r="Z103" i="10"/>
  <c r="Y212" i="10"/>
  <c r="Y222" i="10"/>
  <c r="Y207" i="10"/>
  <c r="Y217" i="10"/>
  <c r="AD111" i="10"/>
  <c r="AD152" i="10"/>
  <c r="GI147" i="10" s="1"/>
  <c r="AD141" i="10"/>
  <c r="AD147" i="10"/>
  <c r="AD154" i="10"/>
  <c r="AD153" i="10"/>
  <c r="AD128" i="10"/>
  <c r="AD142" i="10"/>
  <c r="AD114" i="10"/>
  <c r="AD136" i="10"/>
  <c r="AD127" i="10"/>
  <c r="AD122" i="10"/>
  <c r="AD110" i="10"/>
  <c r="AD123" i="10"/>
  <c r="AD109" i="10"/>
  <c r="AD140" i="10"/>
  <c r="AD137" i="10"/>
  <c r="AD148" i="10"/>
  <c r="AD149" i="10"/>
  <c r="AD129" i="10"/>
  <c r="AD124" i="10"/>
  <c r="AD116" i="10"/>
  <c r="AD115" i="10"/>
  <c r="AD135" i="10"/>
  <c r="Y221" i="10"/>
  <c r="Y216" i="10"/>
  <c r="Y211" i="10"/>
  <c r="CC124" i="10"/>
  <c r="EA135" i="10"/>
  <c r="GH149" i="10"/>
  <c r="CC41" i="10"/>
  <c r="DG54" i="10"/>
  <c r="DG53" i="10"/>
  <c r="BD28" i="10"/>
  <c r="CC40" i="10"/>
  <c r="Z8" i="10"/>
  <c r="AD32" i="10"/>
  <c r="AD57" i="10"/>
  <c r="AD58" i="10"/>
  <c r="AD28" i="10"/>
  <c r="AD59" i="10"/>
  <c r="AD53" i="10"/>
  <c r="AD40" i="10"/>
  <c r="AD54" i="10"/>
  <c r="AD45" i="10"/>
  <c r="AD47" i="10"/>
  <c r="AD34" i="10"/>
  <c r="AD42" i="10"/>
  <c r="AD29" i="10"/>
  <c r="AD41" i="10"/>
  <c r="AD33" i="10"/>
  <c r="AD27" i="10"/>
  <c r="AD52" i="10"/>
  <c r="AD46" i="10"/>
  <c r="DG52" i="10"/>
  <c r="CC42" i="10"/>
  <c r="BD27" i="10"/>
  <c r="BD29" i="10"/>
  <c r="BJ110" i="10" l="1"/>
  <c r="CD122" i="10"/>
  <c r="BJ109" i="10"/>
  <c r="EB135" i="10"/>
  <c r="EB137" i="10"/>
  <c r="CD123" i="10"/>
  <c r="GI148" i="10"/>
  <c r="GI149" i="10"/>
  <c r="Z221" i="10"/>
  <c r="Z216" i="10"/>
  <c r="Z211" i="10"/>
  <c r="CD124" i="10"/>
  <c r="AA103" i="10"/>
  <c r="Z207" i="10"/>
  <c r="Z212" i="10"/>
  <c r="Z217" i="10"/>
  <c r="Z222" i="10"/>
  <c r="AE153" i="10"/>
  <c r="AE109" i="10"/>
  <c r="AE111" i="10"/>
  <c r="AE110" i="10"/>
  <c r="AE141" i="10"/>
  <c r="AE154" i="10"/>
  <c r="AE152" i="10"/>
  <c r="AE128" i="10"/>
  <c r="AE140" i="10"/>
  <c r="AE127" i="10"/>
  <c r="AE129" i="10"/>
  <c r="AE135" i="10"/>
  <c r="AE114" i="10"/>
  <c r="AE123" i="10"/>
  <c r="AE142" i="10"/>
  <c r="AE122" i="10"/>
  <c r="AE147" i="10"/>
  <c r="AE115" i="10"/>
  <c r="AE136" i="10"/>
  <c r="AE116" i="10"/>
  <c r="BK111" i="10" s="1"/>
  <c r="AE149" i="10"/>
  <c r="AE124" i="10"/>
  <c r="AE137" i="10"/>
  <c r="AE148" i="10"/>
  <c r="BJ111" i="10"/>
  <c r="EB136" i="10"/>
  <c r="BE29" i="10"/>
  <c r="DH53" i="10"/>
  <c r="CD41" i="10"/>
  <c r="CD42" i="10"/>
  <c r="DH52" i="10"/>
  <c r="CD40" i="10"/>
  <c r="BE27" i="10"/>
  <c r="BE28" i="10"/>
  <c r="AA8" i="10"/>
  <c r="AE40" i="10"/>
  <c r="AE57" i="10"/>
  <c r="AE54" i="10"/>
  <c r="AE34" i="10"/>
  <c r="AE27" i="10"/>
  <c r="AE42" i="10"/>
  <c r="AE47" i="10"/>
  <c r="AE53" i="10"/>
  <c r="AE58" i="10"/>
  <c r="AE52" i="10"/>
  <c r="AE46" i="10"/>
  <c r="AE28" i="10"/>
  <c r="AE33" i="10"/>
  <c r="AE59" i="10"/>
  <c r="AE32" i="10"/>
  <c r="AE41" i="10"/>
  <c r="AE45" i="10"/>
  <c r="AE29" i="10"/>
  <c r="DH54" i="10"/>
  <c r="EC136" i="10" l="1"/>
  <c r="EC135" i="10"/>
  <c r="BK110" i="10"/>
  <c r="CE122" i="10"/>
  <c r="GJ148" i="10"/>
  <c r="CE123" i="10"/>
  <c r="GJ149" i="10"/>
  <c r="GJ147" i="10"/>
  <c r="BK109" i="10"/>
  <c r="AB103" i="10"/>
  <c r="AA207" i="10"/>
  <c r="AA212" i="10"/>
  <c r="AA222" i="10"/>
  <c r="AA217" i="10"/>
  <c r="AF154" i="10"/>
  <c r="GK149" i="10" s="1"/>
  <c r="AF152" i="10"/>
  <c r="AF142" i="10"/>
  <c r="AF111" i="10"/>
  <c r="AF153" i="10"/>
  <c r="AF110" i="10"/>
  <c r="AF148" i="10"/>
  <c r="AF149" i="10"/>
  <c r="AF137" i="10"/>
  <c r="AF140" i="10"/>
  <c r="ED135" i="10" s="1"/>
  <c r="AF122" i="10"/>
  <c r="AF109" i="10"/>
  <c r="AF129" i="10"/>
  <c r="AF141" i="10"/>
  <c r="AF124" i="10"/>
  <c r="AF135" i="10"/>
  <c r="AF147" i="10"/>
  <c r="AF115" i="10"/>
  <c r="AF123" i="10"/>
  <c r="AF128" i="10"/>
  <c r="AF136" i="10"/>
  <c r="AF116" i="10"/>
  <c r="BL111" i="10" s="1"/>
  <c r="AF114" i="10"/>
  <c r="AF127" i="10"/>
  <c r="EC137" i="10"/>
  <c r="AA221" i="10"/>
  <c r="AA211" i="10"/>
  <c r="AA216" i="10"/>
  <c r="CE124" i="10"/>
  <c r="BF29" i="10"/>
  <c r="DI53" i="10"/>
  <c r="CE42" i="10"/>
  <c r="BF28" i="10"/>
  <c r="CE41" i="10"/>
  <c r="DI52" i="10"/>
  <c r="AB8" i="10"/>
  <c r="AF33" i="10"/>
  <c r="AF32" i="10"/>
  <c r="AF59" i="10"/>
  <c r="AF53" i="10"/>
  <c r="AF28" i="10"/>
  <c r="AF41" i="10"/>
  <c r="AF57" i="10"/>
  <c r="AF27" i="10"/>
  <c r="AF54" i="10"/>
  <c r="AF42" i="10"/>
  <c r="AF29" i="10"/>
  <c r="AF46" i="10"/>
  <c r="AF47" i="10"/>
  <c r="AF52" i="10"/>
  <c r="AF58" i="10"/>
  <c r="AF40" i="10"/>
  <c r="AF34" i="10"/>
  <c r="AF45" i="10"/>
  <c r="CE40" i="10"/>
  <c r="BF27" i="10"/>
  <c r="DI54" i="10"/>
  <c r="ED137" i="10" l="1"/>
  <c r="DJ54" i="10"/>
  <c r="BL109" i="10"/>
  <c r="ED136" i="10"/>
  <c r="CF124" i="10"/>
  <c r="GK148" i="10"/>
  <c r="AB221" i="10"/>
  <c r="AB216" i="10"/>
  <c r="CF123" i="10"/>
  <c r="AC103" i="10"/>
  <c r="AB222" i="10"/>
  <c r="AB207" i="10"/>
  <c r="AB217" i="10"/>
  <c r="AB212" i="10"/>
  <c r="AG110" i="10"/>
  <c r="AG109" i="10"/>
  <c r="AG153" i="10"/>
  <c r="AG152" i="10"/>
  <c r="AG148" i="10"/>
  <c r="AG111" i="10"/>
  <c r="AG122" i="10"/>
  <c r="AG128" i="10"/>
  <c r="AG135" i="10"/>
  <c r="AG123" i="10"/>
  <c r="AG147" i="10"/>
  <c r="AG136" i="10"/>
  <c r="AG140" i="10"/>
  <c r="AG127" i="10"/>
  <c r="AG115" i="10"/>
  <c r="AG154" i="10"/>
  <c r="AG149" i="10"/>
  <c r="AG141" i="10"/>
  <c r="EE136" i="10" s="1"/>
  <c r="AG137" i="10"/>
  <c r="AG142" i="10"/>
  <c r="AG124" i="10"/>
  <c r="AG129" i="10"/>
  <c r="CG124" i="10" s="1"/>
  <c r="AG114" i="10"/>
  <c r="AG116" i="10"/>
  <c r="BL110" i="10"/>
  <c r="GK147" i="10"/>
  <c r="CF122" i="10"/>
  <c r="CF40" i="10"/>
  <c r="DJ53" i="10"/>
  <c r="CK5" i="10"/>
  <c r="BG27" i="10"/>
  <c r="CK7" i="10"/>
  <c r="BG29" i="10"/>
  <c r="CK6" i="10"/>
  <c r="BG28" i="10"/>
  <c r="AC8" i="10"/>
  <c r="AG58" i="10"/>
  <c r="AG59" i="10"/>
  <c r="AG53" i="10"/>
  <c r="AG54" i="10"/>
  <c r="AG45" i="10"/>
  <c r="AG57" i="10"/>
  <c r="AG40" i="10"/>
  <c r="AG42" i="10"/>
  <c r="AG41" i="10"/>
  <c r="AG52" i="10"/>
  <c r="AG46" i="10"/>
  <c r="AG47" i="10"/>
  <c r="DJ52" i="10"/>
  <c r="CF42" i="10"/>
  <c r="CF41" i="10"/>
  <c r="CG122" i="10" l="1"/>
  <c r="EE135" i="10"/>
  <c r="AC221" i="10"/>
  <c r="AC216" i="10"/>
  <c r="EE137" i="10"/>
  <c r="GL147" i="10"/>
  <c r="AD103" i="10"/>
  <c r="AC222" i="10"/>
  <c r="AC212" i="10"/>
  <c r="AC217" i="10"/>
  <c r="AC207" i="10"/>
  <c r="AH148" i="10"/>
  <c r="AH147" i="10"/>
  <c r="AH153" i="10"/>
  <c r="AH152" i="10"/>
  <c r="AH110" i="10"/>
  <c r="AH111" i="10"/>
  <c r="AH109" i="10"/>
  <c r="AH149" i="10"/>
  <c r="AH141" i="10"/>
  <c r="AH154" i="10"/>
  <c r="GM149" i="10" s="1"/>
  <c r="AH136" i="10"/>
  <c r="AH135" i="10"/>
  <c r="AH129" i="10"/>
  <c r="CH124" i="10" s="1"/>
  <c r="AH122" i="10"/>
  <c r="AH123" i="10"/>
  <c r="AH124" i="10"/>
  <c r="AH140" i="10"/>
  <c r="AH114" i="10"/>
  <c r="AH115" i="10"/>
  <c r="AH127" i="10"/>
  <c r="AH128" i="10"/>
  <c r="AH142" i="10"/>
  <c r="AH116" i="10"/>
  <c r="BN111" i="10" s="1"/>
  <c r="AH137" i="10"/>
  <c r="GL148" i="10"/>
  <c r="BM111" i="10"/>
  <c r="GL149" i="10"/>
  <c r="CG123" i="10"/>
  <c r="BM109" i="10"/>
  <c r="BM110" i="10"/>
  <c r="CG40" i="10"/>
  <c r="DK54" i="10"/>
  <c r="DK52" i="10"/>
  <c r="CG42" i="10"/>
  <c r="CG41" i="10"/>
  <c r="DK53" i="10"/>
  <c r="AD8" i="10"/>
  <c r="AH53" i="10"/>
  <c r="AH42" i="10"/>
  <c r="AH57" i="10"/>
  <c r="AH40" i="10"/>
  <c r="AH58" i="10"/>
  <c r="AH54" i="10"/>
  <c r="AH59" i="10"/>
  <c r="AH41" i="10"/>
  <c r="AH45" i="10"/>
  <c r="AH47" i="10"/>
  <c r="AH52" i="10"/>
  <c r="AH46" i="10"/>
  <c r="BN110" i="10" l="1"/>
  <c r="EF137" i="10"/>
  <c r="GM148" i="10"/>
  <c r="AD216" i="10"/>
  <c r="AD221" i="10"/>
  <c r="CH123" i="10"/>
  <c r="CH122" i="10"/>
  <c r="GM147" i="10"/>
  <c r="AE103" i="10"/>
  <c r="AD217" i="10"/>
  <c r="AD222" i="10"/>
  <c r="AD207" i="10"/>
  <c r="AD212" i="10"/>
  <c r="AI147" i="10"/>
  <c r="AI152" i="10"/>
  <c r="AI153" i="10"/>
  <c r="AI148" i="10"/>
  <c r="AI111" i="10"/>
  <c r="AI123" i="10"/>
  <c r="AI154" i="10"/>
  <c r="AI116" i="10"/>
  <c r="AI142" i="10"/>
  <c r="AI110" i="10"/>
  <c r="AI149" i="10"/>
  <c r="AI135" i="10"/>
  <c r="AI127" i="10"/>
  <c r="AI128" i="10"/>
  <c r="CI123" i="10" s="1"/>
  <c r="AI136" i="10"/>
  <c r="AI141" i="10"/>
  <c r="AI109" i="10"/>
  <c r="AI114" i="10"/>
  <c r="AI140" i="10"/>
  <c r="AI137" i="10"/>
  <c r="AI122" i="10"/>
  <c r="AI115" i="10"/>
  <c r="AI124" i="10"/>
  <c r="AI129" i="10"/>
  <c r="BN109" i="10"/>
  <c r="EF135" i="10"/>
  <c r="EF136" i="10"/>
  <c r="CH40" i="10"/>
  <c r="DL52" i="10"/>
  <c r="AE8" i="10"/>
  <c r="AI57" i="10"/>
  <c r="AI45" i="10"/>
  <c r="AI59" i="10"/>
  <c r="AI47" i="10"/>
  <c r="AI42" i="10"/>
  <c r="AI58" i="10"/>
  <c r="AI53" i="10"/>
  <c r="AI41" i="10"/>
  <c r="AI52" i="10"/>
  <c r="AI40" i="10"/>
  <c r="AI46" i="10"/>
  <c r="AI54" i="10"/>
  <c r="DL54" i="10"/>
  <c r="DL53" i="10"/>
  <c r="CH42" i="10"/>
  <c r="CH41" i="10"/>
  <c r="BO109" i="10" l="1"/>
  <c r="GN147" i="10"/>
  <c r="CI122" i="10"/>
  <c r="EG135" i="10"/>
  <c r="GN148" i="10"/>
  <c r="CI124" i="10"/>
  <c r="EG136" i="10"/>
  <c r="BO110" i="10"/>
  <c r="AF103" i="10"/>
  <c r="AE217" i="10"/>
  <c r="AE222" i="10"/>
  <c r="AE212" i="10"/>
  <c r="AE207" i="10"/>
  <c r="AJ110" i="10"/>
  <c r="AJ152" i="10"/>
  <c r="GO147" i="10" s="1"/>
  <c r="AJ148" i="10"/>
  <c r="AJ111" i="10"/>
  <c r="AJ153" i="10"/>
  <c r="AJ147" i="10"/>
  <c r="AJ140" i="10"/>
  <c r="AJ154" i="10"/>
  <c r="AJ129" i="10"/>
  <c r="AJ122" i="10"/>
  <c r="AJ115" i="10"/>
  <c r="AJ109" i="10"/>
  <c r="AJ124" i="10"/>
  <c r="AJ149" i="10"/>
  <c r="AJ141" i="10"/>
  <c r="AJ123" i="10"/>
  <c r="AJ135" i="10"/>
  <c r="AJ127" i="10"/>
  <c r="CJ122" i="10" s="1"/>
  <c r="AJ128" i="10"/>
  <c r="CJ123" i="10" s="1"/>
  <c r="AJ142" i="10"/>
  <c r="AJ114" i="10"/>
  <c r="BP109" i="10" s="1"/>
  <c r="AJ116" i="10"/>
  <c r="AJ136" i="10"/>
  <c r="AJ137" i="10"/>
  <c r="CI41" i="10"/>
  <c r="EG137" i="10"/>
  <c r="BO111" i="10"/>
  <c r="AE216" i="10"/>
  <c r="AE221" i="10"/>
  <c r="GN149" i="10"/>
  <c r="CI42" i="10"/>
  <c r="DM53" i="10"/>
  <c r="DM54" i="10"/>
  <c r="CI40" i="10"/>
  <c r="DM52" i="10"/>
  <c r="AF8" i="10"/>
  <c r="AJ53" i="10"/>
  <c r="AJ54" i="10"/>
  <c r="AJ42" i="10"/>
  <c r="AJ57" i="10"/>
  <c r="AJ47" i="10"/>
  <c r="CJ42" i="10" s="1"/>
  <c r="AJ59" i="10"/>
  <c r="AJ45" i="10"/>
  <c r="AJ52" i="10"/>
  <c r="AJ40" i="10"/>
  <c r="AJ58" i="10"/>
  <c r="AJ41" i="10"/>
  <c r="AJ46" i="10"/>
  <c r="BP110" i="10" l="1"/>
  <c r="CJ124" i="10"/>
  <c r="BP111" i="10"/>
  <c r="GO149" i="10"/>
  <c r="EH136" i="10"/>
  <c r="EH135" i="10"/>
  <c r="GO148" i="10"/>
  <c r="AF221" i="10"/>
  <c r="AF216" i="10"/>
  <c r="EH137" i="10"/>
  <c r="AG103" i="10"/>
  <c r="AF217" i="10"/>
  <c r="AF222" i="10"/>
  <c r="AF207" i="10"/>
  <c r="AF212" i="10"/>
  <c r="AK109" i="10"/>
  <c r="AK149" i="10"/>
  <c r="AK153" i="10"/>
  <c r="AK147" i="10"/>
  <c r="AK152" i="10"/>
  <c r="AK110" i="10"/>
  <c r="AK154" i="10"/>
  <c r="AK148" i="10"/>
  <c r="AK136" i="10"/>
  <c r="AK141" i="10"/>
  <c r="AK116" i="10"/>
  <c r="AK114" i="10"/>
  <c r="AK142" i="10"/>
  <c r="AK124" i="10"/>
  <c r="AK140" i="10"/>
  <c r="EI135" i="10" s="1"/>
  <c r="AK128" i="10"/>
  <c r="AK123" i="10"/>
  <c r="AK137" i="10"/>
  <c r="AK111" i="10"/>
  <c r="AK129" i="10"/>
  <c r="AK127" i="10"/>
  <c r="AK135" i="10"/>
  <c r="AK122" i="10"/>
  <c r="AK115" i="10"/>
  <c r="DN53" i="10"/>
  <c r="AG8" i="10"/>
  <c r="AK42" i="10"/>
  <c r="AK58" i="10"/>
  <c r="AK40" i="10"/>
  <c r="AK54" i="10"/>
  <c r="AK41" i="10"/>
  <c r="AK45" i="10"/>
  <c r="AK57" i="10"/>
  <c r="AK59" i="10"/>
  <c r="AK52" i="10"/>
  <c r="AK46" i="10"/>
  <c r="AK47" i="10"/>
  <c r="AK53" i="10"/>
  <c r="CJ40" i="10"/>
  <c r="DN54" i="10"/>
  <c r="CJ41" i="10"/>
  <c r="DN52" i="10"/>
  <c r="BQ110" i="10" l="1"/>
  <c r="GP149" i="10"/>
  <c r="CK124" i="10"/>
  <c r="BQ109" i="10"/>
  <c r="BQ111" i="10"/>
  <c r="GP148" i="10"/>
  <c r="AG221" i="10"/>
  <c r="AG216" i="10"/>
  <c r="EI136" i="10"/>
  <c r="CK123" i="10"/>
  <c r="AH103" i="10"/>
  <c r="AG212" i="10"/>
  <c r="AG222" i="10"/>
  <c r="AG217" i="10"/>
  <c r="AL142" i="10"/>
  <c r="AL152" i="10"/>
  <c r="AL149" i="10"/>
  <c r="AL154" i="10"/>
  <c r="AL136" i="10"/>
  <c r="AL127" i="10"/>
  <c r="AL122" i="10"/>
  <c r="AL128" i="10"/>
  <c r="AL135" i="10"/>
  <c r="AL141" i="10"/>
  <c r="AL123" i="10"/>
  <c r="AL140" i="10"/>
  <c r="AL137" i="10"/>
  <c r="AL124" i="10"/>
  <c r="AL147" i="10"/>
  <c r="AL148" i="10"/>
  <c r="AL153" i="10"/>
  <c r="AL129" i="10"/>
  <c r="CK42" i="10"/>
  <c r="CK122" i="10"/>
  <c r="EI137" i="10"/>
  <c r="GP147" i="10"/>
  <c r="DO54" i="10"/>
  <c r="CK41" i="10"/>
  <c r="DO53" i="10"/>
  <c r="AH8" i="10"/>
  <c r="AL54" i="10"/>
  <c r="AL47" i="10"/>
  <c r="AL53" i="10"/>
  <c r="AL46" i="10"/>
  <c r="AL40" i="10"/>
  <c r="AL42" i="10"/>
  <c r="AL58" i="10"/>
  <c r="AL59" i="10"/>
  <c r="AL45" i="10"/>
  <c r="AL52" i="10"/>
  <c r="AL57" i="10"/>
  <c r="AL41" i="10"/>
  <c r="DO52" i="10"/>
  <c r="CK40" i="10"/>
  <c r="CL123" i="10" l="1"/>
  <c r="GQ149" i="10"/>
  <c r="EJ135" i="10"/>
  <c r="CL122" i="10"/>
  <c r="AI103" i="10"/>
  <c r="AH212" i="10"/>
  <c r="AH217" i="10"/>
  <c r="AH222" i="10"/>
  <c r="AM154" i="10"/>
  <c r="AM141" i="10"/>
  <c r="AM149" i="10"/>
  <c r="AM153" i="10"/>
  <c r="AM147" i="10"/>
  <c r="AM148" i="10"/>
  <c r="AM137" i="10"/>
  <c r="AM135" i="10"/>
  <c r="AM140" i="10"/>
  <c r="AM124" i="10"/>
  <c r="AM128" i="10"/>
  <c r="AM127" i="10"/>
  <c r="AM136" i="10"/>
  <c r="AM122" i="10"/>
  <c r="AM152" i="10"/>
  <c r="GR147" i="10" s="1"/>
  <c r="AM142" i="10"/>
  <c r="AM129" i="10"/>
  <c r="AM123" i="10"/>
  <c r="CL42" i="10"/>
  <c r="AH221" i="10"/>
  <c r="AH216" i="10"/>
  <c r="CL124" i="10"/>
  <c r="EJ136" i="10"/>
  <c r="GQ147" i="10"/>
  <c r="GQ148" i="10"/>
  <c r="EJ137" i="10"/>
  <c r="DP54" i="10"/>
  <c r="CL41" i="10"/>
  <c r="DP52" i="10"/>
  <c r="CL40" i="10"/>
  <c r="AI8" i="10"/>
  <c r="AM41" i="10"/>
  <c r="AM58" i="10"/>
  <c r="AM53" i="10"/>
  <c r="AM57" i="10"/>
  <c r="AM59" i="10"/>
  <c r="AM54" i="10"/>
  <c r="AM40" i="10"/>
  <c r="AM45" i="10"/>
  <c r="AM42" i="10"/>
  <c r="AM52" i="10"/>
  <c r="AM46" i="10"/>
  <c r="AM47" i="10"/>
  <c r="DP53" i="10"/>
  <c r="EK136" i="10" l="1"/>
  <c r="EK135" i="10"/>
  <c r="EK137" i="10"/>
  <c r="CM122" i="10"/>
  <c r="GR148" i="10"/>
  <c r="DQ52" i="10"/>
  <c r="CM123" i="10"/>
  <c r="GR149" i="10"/>
  <c r="CM124" i="10"/>
  <c r="AI221" i="10"/>
  <c r="AI216" i="10"/>
  <c r="AJ103" i="10"/>
  <c r="AI212" i="10"/>
  <c r="AI217" i="10"/>
  <c r="AI222" i="10"/>
  <c r="AN127" i="10"/>
  <c r="AN154" i="10"/>
  <c r="AN142" i="10"/>
  <c r="AN148" i="10"/>
  <c r="AN153" i="10"/>
  <c r="GS148" i="10" s="1"/>
  <c r="AN152" i="10"/>
  <c r="AN147" i="10"/>
  <c r="AN128" i="10"/>
  <c r="CN123" i="10" s="1"/>
  <c r="AN137" i="10"/>
  <c r="AN149" i="10"/>
  <c r="AN140" i="10"/>
  <c r="AN122" i="10"/>
  <c r="AN141" i="10"/>
  <c r="AN123" i="10"/>
  <c r="AN129" i="10"/>
  <c r="AN135" i="10"/>
  <c r="AN136" i="10"/>
  <c r="AN124" i="10"/>
  <c r="CM40" i="10"/>
  <c r="CM42" i="10"/>
  <c r="CM41" i="10"/>
  <c r="AJ8" i="10"/>
  <c r="AN45" i="10"/>
  <c r="AN40" i="10"/>
  <c r="AN59" i="10"/>
  <c r="AN57" i="10"/>
  <c r="AN53" i="10"/>
  <c r="AN54" i="10"/>
  <c r="AN42" i="10"/>
  <c r="AN46" i="10"/>
  <c r="AN52" i="10"/>
  <c r="AN58" i="10"/>
  <c r="AN41" i="10"/>
  <c r="AN47" i="10"/>
  <c r="DQ53" i="10"/>
  <c r="DQ54" i="10"/>
  <c r="EL136" i="10" l="1"/>
  <c r="EL137" i="10"/>
  <c r="CN124" i="10"/>
  <c r="AJ221" i="10"/>
  <c r="AJ216" i="10"/>
  <c r="GS147" i="10"/>
  <c r="AK103" i="10"/>
  <c r="AJ222" i="10"/>
  <c r="AJ212" i="10"/>
  <c r="AJ217" i="10"/>
  <c r="AO141" i="10"/>
  <c r="AO153" i="10"/>
  <c r="AO147" i="10"/>
  <c r="AO142" i="10"/>
  <c r="AO149" i="10"/>
  <c r="AO123" i="10"/>
  <c r="AO152" i="10"/>
  <c r="AO122" i="10"/>
  <c r="AO128" i="10"/>
  <c r="AO135" i="10"/>
  <c r="AO148" i="10"/>
  <c r="AO124" i="10"/>
  <c r="AO129" i="10"/>
  <c r="AO136" i="10"/>
  <c r="AO140" i="10"/>
  <c r="AO127" i="10"/>
  <c r="CO122" i="10" s="1"/>
  <c r="AO154" i="10"/>
  <c r="AO137" i="10"/>
  <c r="EL135" i="10"/>
  <c r="GS149" i="10"/>
  <c r="CN122" i="10"/>
  <c r="DR52" i="10"/>
  <c r="DR53" i="10"/>
  <c r="CN42" i="10"/>
  <c r="DR54" i="10"/>
  <c r="CN40" i="10"/>
  <c r="CN41" i="10"/>
  <c r="AK8" i="10"/>
  <c r="AO45" i="10"/>
  <c r="AO54" i="10"/>
  <c r="AO59" i="10"/>
  <c r="AO53" i="10"/>
  <c r="AO40" i="10"/>
  <c r="AO52" i="10"/>
  <c r="AO47" i="10"/>
  <c r="AO57" i="10"/>
  <c r="AO46" i="10"/>
  <c r="AO41" i="10"/>
  <c r="AO42" i="10"/>
  <c r="AO58" i="10"/>
  <c r="GT149" i="10" l="1"/>
  <c r="CO123" i="10"/>
  <c r="EM136" i="10"/>
  <c r="EM135" i="10"/>
  <c r="GT147" i="10"/>
  <c r="EM137" i="10"/>
  <c r="CO124" i="10"/>
  <c r="AL103" i="10"/>
  <c r="AK222" i="10"/>
  <c r="AK217" i="10"/>
  <c r="AK212" i="10"/>
  <c r="AP136" i="10"/>
  <c r="AP148" i="10"/>
  <c r="AP153" i="10"/>
  <c r="AP124" i="10"/>
  <c r="AP152" i="10"/>
  <c r="AP149" i="10"/>
  <c r="AP141" i="10"/>
  <c r="AP147" i="10"/>
  <c r="AP142" i="10"/>
  <c r="AP137" i="10"/>
  <c r="AP135" i="10"/>
  <c r="AP129" i="10"/>
  <c r="AP122" i="10"/>
  <c r="AP154" i="10"/>
  <c r="GU149" i="10" s="1"/>
  <c r="AP123" i="10"/>
  <c r="AP128" i="10"/>
  <c r="CP123" i="10" s="1"/>
  <c r="AP127" i="10"/>
  <c r="AP140" i="10"/>
  <c r="AK221" i="10"/>
  <c r="AK216" i="10"/>
  <c r="GT148" i="10"/>
  <c r="DS54" i="10"/>
  <c r="DS52" i="10"/>
  <c r="CO42" i="10"/>
  <c r="DS53" i="10"/>
  <c r="CO41" i="10"/>
  <c r="AL8" i="10"/>
  <c r="AP53" i="10"/>
  <c r="AP57" i="10"/>
  <c r="AP45" i="10"/>
  <c r="AP54" i="10"/>
  <c r="AP59" i="10"/>
  <c r="AP47" i="10"/>
  <c r="AP41" i="10"/>
  <c r="AP46" i="10"/>
  <c r="AP52" i="10"/>
  <c r="AP58" i="10"/>
  <c r="AP40" i="10"/>
  <c r="AP42" i="10"/>
  <c r="CO40" i="10"/>
  <c r="CP122" i="10" l="1"/>
  <c r="EN137" i="10"/>
  <c r="GU148" i="10"/>
  <c r="EN135" i="10"/>
  <c r="EN136" i="10"/>
  <c r="AL216" i="10"/>
  <c r="AL221" i="10"/>
  <c r="GU147" i="10"/>
  <c r="AM103" i="10"/>
  <c r="AL222" i="10"/>
  <c r="AL212" i="10"/>
  <c r="AL217" i="10"/>
  <c r="AQ149" i="10"/>
  <c r="AQ141" i="10"/>
  <c r="AQ147" i="10"/>
  <c r="AQ152" i="10"/>
  <c r="AQ153" i="10"/>
  <c r="AQ148" i="10"/>
  <c r="AQ136" i="10"/>
  <c r="AQ129" i="10"/>
  <c r="AQ122" i="10"/>
  <c r="AQ123" i="10"/>
  <c r="AQ154" i="10"/>
  <c r="GV149" i="10" s="1"/>
  <c r="AQ135" i="10"/>
  <c r="AQ127" i="10"/>
  <c r="AQ128" i="10"/>
  <c r="AQ137" i="10"/>
  <c r="AQ140" i="10"/>
  <c r="AQ142" i="10"/>
  <c r="AQ124" i="10"/>
  <c r="CP124" i="10"/>
  <c r="CP42" i="10"/>
  <c r="DT53" i="10"/>
  <c r="DT52" i="10"/>
  <c r="DT54" i="10"/>
  <c r="CP40" i="10"/>
  <c r="CP41" i="10"/>
  <c r="AM8" i="10"/>
  <c r="AQ42" i="10"/>
  <c r="AQ46" i="10"/>
  <c r="AQ52" i="10"/>
  <c r="AQ47" i="10"/>
  <c r="AQ58" i="10"/>
  <c r="AQ59" i="10"/>
  <c r="AQ57" i="10"/>
  <c r="AQ41" i="10"/>
  <c r="AQ53" i="10"/>
  <c r="AQ40" i="10"/>
  <c r="AQ45" i="10"/>
  <c r="AQ54" i="10"/>
  <c r="CQ122" i="10" l="1"/>
  <c r="GV147" i="10"/>
  <c r="CQ123" i="10"/>
  <c r="GV148" i="10"/>
  <c r="AN103" i="10"/>
  <c r="AM217" i="10"/>
  <c r="AM222" i="10"/>
  <c r="AM212" i="10"/>
  <c r="AR154" i="10"/>
  <c r="AR152" i="10"/>
  <c r="AR148" i="10"/>
  <c r="AR153" i="10"/>
  <c r="AR147" i="10"/>
  <c r="AR137" i="10"/>
  <c r="AR136" i="10"/>
  <c r="AR129" i="10"/>
  <c r="AR122" i="10"/>
  <c r="AR149" i="10"/>
  <c r="AR140" i="10"/>
  <c r="AR124" i="10"/>
  <c r="AR141" i="10"/>
  <c r="AR123" i="10"/>
  <c r="AR135" i="10"/>
  <c r="AR127" i="10"/>
  <c r="AR128" i="10"/>
  <c r="AR142" i="10"/>
  <c r="EO136" i="10"/>
  <c r="EO137" i="10"/>
  <c r="AM216" i="10"/>
  <c r="AM221" i="10"/>
  <c r="EO135" i="10"/>
  <c r="CQ124" i="10"/>
  <c r="DU52" i="10"/>
  <c r="DU54" i="10"/>
  <c r="DU53" i="10"/>
  <c r="CQ41" i="10"/>
  <c r="AN8" i="10"/>
  <c r="AR40" i="10"/>
  <c r="AR57" i="10"/>
  <c r="AR41" i="10"/>
  <c r="AR45" i="10"/>
  <c r="AR54" i="10"/>
  <c r="AR47" i="10"/>
  <c r="AR46" i="10"/>
  <c r="AR59" i="10"/>
  <c r="AR58" i="10"/>
  <c r="AR53" i="10"/>
  <c r="AR52" i="10"/>
  <c r="AR42" i="10"/>
  <c r="CQ42" i="10"/>
  <c r="CQ40" i="10"/>
  <c r="CR123" i="10" l="1"/>
  <c r="CR122" i="10"/>
  <c r="EP136" i="10"/>
  <c r="EP135" i="10"/>
  <c r="EP137" i="10"/>
  <c r="GW149" i="10"/>
  <c r="CR124" i="10"/>
  <c r="AN221" i="10"/>
  <c r="AN216" i="10"/>
  <c r="GW147" i="10"/>
  <c r="AO103" i="10"/>
  <c r="AN212" i="10"/>
  <c r="AN217" i="10"/>
  <c r="AN222" i="10"/>
  <c r="AS140" i="10"/>
  <c r="AS153" i="10"/>
  <c r="AS147" i="10"/>
  <c r="AS149" i="10"/>
  <c r="AS136" i="10"/>
  <c r="AS152" i="10"/>
  <c r="AS141" i="10"/>
  <c r="EQ136" i="10" s="1"/>
  <c r="AS148" i="10"/>
  <c r="AS124" i="10"/>
  <c r="AS154" i="10"/>
  <c r="GX149" i="10" s="1"/>
  <c r="AS135" i="10"/>
  <c r="AS128" i="10"/>
  <c r="CS123" i="10" s="1"/>
  <c r="AS123" i="10"/>
  <c r="AS137" i="10"/>
  <c r="AS122" i="10"/>
  <c r="AS127" i="10"/>
  <c r="AS142" i="10"/>
  <c r="AS129" i="10"/>
  <c r="CS124" i="10" s="1"/>
  <c r="GW148" i="10"/>
  <c r="DV54" i="10"/>
  <c r="CR40" i="10"/>
  <c r="DV52" i="10"/>
  <c r="DV53" i="10"/>
  <c r="AO8" i="10"/>
  <c r="AS53" i="10"/>
  <c r="AS45" i="10"/>
  <c r="AS42" i="10"/>
  <c r="AS58" i="10"/>
  <c r="AS40" i="10"/>
  <c r="AS47" i="10"/>
  <c r="AS54" i="10"/>
  <c r="AS41" i="10"/>
  <c r="AS46" i="10"/>
  <c r="AS57" i="10"/>
  <c r="AS59" i="10"/>
  <c r="AS52" i="10"/>
  <c r="CR41" i="10"/>
  <c r="CR42" i="10"/>
  <c r="GX148" i="10" l="1"/>
  <c r="GX147" i="10"/>
  <c r="AP103" i="10"/>
  <c r="AO212" i="10"/>
  <c r="AO217" i="10"/>
  <c r="AO222" i="10"/>
  <c r="AT148" i="10"/>
  <c r="AT154" i="10"/>
  <c r="GY149" i="10" s="1"/>
  <c r="AT147" i="10"/>
  <c r="AT122" i="10"/>
  <c r="AT153" i="10"/>
  <c r="AT149" i="10"/>
  <c r="AT136" i="10"/>
  <c r="AT129" i="10"/>
  <c r="AT152" i="10"/>
  <c r="AT128" i="10"/>
  <c r="CT123" i="10" s="1"/>
  <c r="AT142" i="10"/>
  <c r="AT135" i="10"/>
  <c r="AT141" i="10"/>
  <c r="AT123" i="10"/>
  <c r="AT127" i="10"/>
  <c r="AT140" i="10"/>
  <c r="AT137" i="10"/>
  <c r="AT124" i="10"/>
  <c r="EQ137" i="10"/>
  <c r="EQ135" i="10"/>
  <c r="AO221" i="10"/>
  <c r="AO216" i="10"/>
  <c r="CS122" i="10"/>
  <c r="DW54" i="10"/>
  <c r="CS40" i="10"/>
  <c r="DW53" i="10"/>
  <c r="DW52" i="10"/>
  <c r="CS41" i="10"/>
  <c r="AP8" i="10"/>
  <c r="AT59" i="10"/>
  <c r="AT42" i="10"/>
  <c r="AT40" i="10"/>
  <c r="AT47" i="10"/>
  <c r="AT58" i="10"/>
  <c r="AT54" i="10"/>
  <c r="AT53" i="10"/>
  <c r="AT52" i="10"/>
  <c r="AT45" i="10"/>
  <c r="AT41" i="10"/>
  <c r="AT46" i="10"/>
  <c r="AT57" i="10"/>
  <c r="CS42" i="10"/>
  <c r="CT122" i="10" l="1"/>
  <c r="ER137" i="10"/>
  <c r="GY147" i="10"/>
  <c r="ER135" i="10"/>
  <c r="CT124" i="10"/>
  <c r="AP221" i="10"/>
  <c r="AP216" i="10"/>
  <c r="ER136" i="10"/>
  <c r="GY148" i="10"/>
  <c r="AQ103" i="10"/>
  <c r="AP212" i="10"/>
  <c r="AP222" i="10"/>
  <c r="AP217" i="10"/>
  <c r="AU148" i="10"/>
  <c r="AU141" i="10"/>
  <c r="AU154" i="10"/>
  <c r="GZ149" i="10" s="1"/>
  <c r="AU152" i="10"/>
  <c r="AU153" i="10"/>
  <c r="AU149" i="10"/>
  <c r="AU137" i="10"/>
  <c r="AU123" i="10"/>
  <c r="AU122" i="10"/>
  <c r="AU129" i="10"/>
  <c r="AU147" i="10"/>
  <c r="AU142" i="10"/>
  <c r="AU140" i="10"/>
  <c r="AU127" i="10"/>
  <c r="AU136" i="10"/>
  <c r="AU135" i="10"/>
  <c r="AU124" i="10"/>
  <c r="AU128" i="10"/>
  <c r="CU123" i="10" s="1"/>
  <c r="DX52" i="10"/>
  <c r="CT41" i="10"/>
  <c r="DX54" i="10"/>
  <c r="CT42" i="10"/>
  <c r="CT40" i="10"/>
  <c r="AQ8" i="10"/>
  <c r="AU40" i="10"/>
  <c r="AU47" i="10"/>
  <c r="AU53" i="10"/>
  <c r="AU59" i="10"/>
  <c r="AU54" i="10"/>
  <c r="AU57" i="10"/>
  <c r="AU58" i="10"/>
  <c r="AU42" i="10"/>
  <c r="AU45" i="10"/>
  <c r="AU41" i="10"/>
  <c r="AU52" i="10"/>
  <c r="AU46" i="10"/>
  <c r="DX53" i="10"/>
  <c r="GZ148" i="10" l="1"/>
  <c r="CU40" i="10"/>
  <c r="ES135" i="10"/>
  <c r="ES137" i="10"/>
  <c r="GZ147" i="10"/>
  <c r="CU124" i="10"/>
  <c r="ES136" i="10"/>
  <c r="AR103" i="10"/>
  <c r="AQ217" i="10"/>
  <c r="AQ212" i="10"/>
  <c r="AQ222" i="10"/>
  <c r="AV147" i="10"/>
  <c r="AV152" i="10"/>
  <c r="AV154" i="10"/>
  <c r="AV149" i="10"/>
  <c r="AV127" i="10"/>
  <c r="AV136" i="10"/>
  <c r="AV148" i="10"/>
  <c r="AV128" i="10"/>
  <c r="AV153" i="10"/>
  <c r="HA148" i="10" s="1"/>
  <c r="AV141" i="10"/>
  <c r="AV137" i="10"/>
  <c r="AV135" i="10"/>
  <c r="AV123" i="10"/>
  <c r="AV122" i="10"/>
  <c r="AV124" i="10"/>
  <c r="AV142" i="10"/>
  <c r="AV129" i="10"/>
  <c r="CV124" i="10" s="1"/>
  <c r="AV140" i="10"/>
  <c r="AQ221" i="10"/>
  <c r="AQ216" i="10"/>
  <c r="CU122" i="10"/>
  <c r="CU42" i="10"/>
  <c r="DY52" i="10"/>
  <c r="CU41" i="10"/>
  <c r="DY54" i="10"/>
  <c r="AR8" i="10"/>
  <c r="AV58" i="10"/>
  <c r="AV59" i="10"/>
  <c r="AV57" i="10"/>
  <c r="AV45" i="10"/>
  <c r="AV40" i="10"/>
  <c r="AV46" i="10"/>
  <c r="AV53" i="10"/>
  <c r="AV41" i="10"/>
  <c r="AV54" i="10"/>
  <c r="AV42" i="10"/>
  <c r="AV52" i="10"/>
  <c r="AV47" i="10"/>
  <c r="DY53" i="10"/>
  <c r="ET135" i="10" l="1"/>
  <c r="ET137" i="10"/>
  <c r="CV123" i="10"/>
  <c r="CV122" i="10"/>
  <c r="AS103" i="10"/>
  <c r="AR222" i="10"/>
  <c r="AR212" i="10"/>
  <c r="AR217" i="10"/>
  <c r="AW154" i="10"/>
  <c r="AW149" i="10"/>
  <c r="AW153" i="10"/>
  <c r="AW152" i="10"/>
  <c r="AW142" i="10"/>
  <c r="AW137" i="10"/>
  <c r="AW124" i="10"/>
  <c r="AW128" i="10"/>
  <c r="CW123" i="10" s="1"/>
  <c r="AW135" i="10"/>
  <c r="AW147" i="10"/>
  <c r="AW148" i="10"/>
  <c r="AW129" i="10"/>
  <c r="AW123" i="10"/>
  <c r="AW136" i="10"/>
  <c r="AW140" i="10"/>
  <c r="AW127" i="10"/>
  <c r="AW122" i="10"/>
  <c r="AW141" i="10"/>
  <c r="HA149" i="10"/>
  <c r="AR221" i="10"/>
  <c r="AR216" i="10"/>
  <c r="ET136" i="10"/>
  <c r="HA147" i="10"/>
  <c r="CV42" i="10"/>
  <c r="CV40" i="10"/>
  <c r="DZ52" i="10"/>
  <c r="DZ54" i="10"/>
  <c r="DZ53" i="10"/>
  <c r="AS8" i="10"/>
  <c r="AW52" i="10"/>
  <c r="AW45" i="10"/>
  <c r="AW47" i="10"/>
  <c r="AW53" i="10"/>
  <c r="AW42" i="10"/>
  <c r="AW57" i="10"/>
  <c r="AW59" i="10"/>
  <c r="AW54" i="10"/>
  <c r="AW40" i="10"/>
  <c r="AW41" i="10"/>
  <c r="AW46" i="10"/>
  <c r="AW58" i="10"/>
  <c r="EA53" i="10" s="1"/>
  <c r="CV41" i="10"/>
  <c r="EU136" i="10" l="1"/>
  <c r="EU137" i="10"/>
  <c r="EU135" i="10"/>
  <c r="HB149" i="10"/>
  <c r="AT103" i="10"/>
  <c r="AS222" i="10"/>
  <c r="AS217" i="10"/>
  <c r="AS212" i="10"/>
  <c r="AX142" i="10"/>
  <c r="AX135" i="10"/>
  <c r="AX148" i="10"/>
  <c r="AX153" i="10"/>
  <c r="AX152" i="10"/>
  <c r="AX127" i="10"/>
  <c r="CX122" i="10" s="1"/>
  <c r="AX128" i="10"/>
  <c r="CX123" i="10" s="1"/>
  <c r="AX149" i="10"/>
  <c r="AX136" i="10"/>
  <c r="AX137" i="10"/>
  <c r="AX122" i="10"/>
  <c r="AX123" i="10"/>
  <c r="AX154" i="10"/>
  <c r="AX141" i="10"/>
  <c r="AX140" i="10"/>
  <c r="AX124" i="10"/>
  <c r="AX147" i="10"/>
  <c r="AX129" i="10"/>
  <c r="HB148" i="10"/>
  <c r="CW122" i="10"/>
  <c r="AS221" i="10"/>
  <c r="AS216" i="10"/>
  <c r="CW124" i="10"/>
  <c r="HB147" i="10"/>
  <c r="EA52" i="10"/>
  <c r="CW40" i="10"/>
  <c r="EA54" i="10"/>
  <c r="AT8" i="10"/>
  <c r="AX52" i="10"/>
  <c r="AX40" i="10"/>
  <c r="AX45" i="10"/>
  <c r="AX53" i="10"/>
  <c r="AX57" i="10"/>
  <c r="AX42" i="10"/>
  <c r="AX58" i="10"/>
  <c r="AX59" i="10"/>
  <c r="AX54" i="10"/>
  <c r="AX41" i="10"/>
  <c r="AX47" i="10"/>
  <c r="AX46" i="10"/>
  <c r="CW41" i="10"/>
  <c r="CW42" i="10"/>
  <c r="CX124" i="10" l="1"/>
  <c r="HC149" i="10"/>
  <c r="HC148" i="10"/>
  <c r="EV137" i="10"/>
  <c r="EV135" i="10"/>
  <c r="EV136" i="10"/>
  <c r="HC147" i="10"/>
  <c r="AU103" i="10"/>
  <c r="AT212" i="10"/>
  <c r="AT222" i="10"/>
  <c r="AT217" i="10"/>
  <c r="AY154" i="10"/>
  <c r="AY149" i="10"/>
  <c r="AY141" i="10"/>
  <c r="EW136" i="10" s="1"/>
  <c r="AY147" i="10"/>
  <c r="AY152" i="10"/>
  <c r="HD147" i="10" s="1"/>
  <c r="AY153" i="10"/>
  <c r="AY148" i="10"/>
  <c r="AY129" i="10"/>
  <c r="AY140" i="10"/>
  <c r="AY123" i="10"/>
  <c r="AY137" i="10"/>
  <c r="AY124" i="10"/>
  <c r="AY142" i="10"/>
  <c r="EW137" i="10" s="1"/>
  <c r="AY135" i="10"/>
  <c r="AY127" i="10"/>
  <c r="AY128" i="10"/>
  <c r="AY136" i="10"/>
  <c r="AY122" i="10"/>
  <c r="AT216" i="10"/>
  <c r="AT221" i="10"/>
  <c r="CX41" i="10"/>
  <c r="CX42" i="10"/>
  <c r="CX40" i="10"/>
  <c r="EB54" i="10"/>
  <c r="AU8" i="10"/>
  <c r="AY52" i="10"/>
  <c r="AY47" i="10"/>
  <c r="AY40" i="10"/>
  <c r="AY45" i="10"/>
  <c r="CY40" i="10" s="1"/>
  <c r="AY46" i="10"/>
  <c r="AY42" i="10"/>
  <c r="AY53" i="10"/>
  <c r="AY57" i="10"/>
  <c r="AY58" i="10"/>
  <c r="AY59" i="10"/>
  <c r="AY41" i="10"/>
  <c r="AY54" i="10"/>
  <c r="EB53" i="10"/>
  <c r="EB52" i="10"/>
  <c r="CY123" i="10" l="1"/>
  <c r="CY124" i="10"/>
  <c r="CY122" i="10"/>
  <c r="HD148" i="10"/>
  <c r="AV103" i="10"/>
  <c r="AU217" i="10"/>
  <c r="AU212" i="10"/>
  <c r="AU222" i="10"/>
  <c r="AZ149" i="10"/>
  <c r="AZ141" i="10"/>
  <c r="AZ154" i="10"/>
  <c r="AZ152" i="10"/>
  <c r="AZ148" i="10"/>
  <c r="AZ153" i="10"/>
  <c r="AZ147" i="10"/>
  <c r="AZ142" i="10"/>
  <c r="AZ122" i="10"/>
  <c r="AZ129" i="10"/>
  <c r="AZ140" i="10"/>
  <c r="AZ124" i="10"/>
  <c r="AZ136" i="10"/>
  <c r="AZ127" i="10"/>
  <c r="AZ135" i="10"/>
  <c r="AZ123" i="10"/>
  <c r="AZ137" i="10"/>
  <c r="AZ128" i="10"/>
  <c r="AU216" i="10"/>
  <c r="AU221" i="10"/>
  <c r="EW135" i="10"/>
  <c r="HD149" i="10"/>
  <c r="EC52" i="10"/>
  <c r="EC53" i="10"/>
  <c r="CY41" i="10"/>
  <c r="EC54" i="10"/>
  <c r="CY42" i="10"/>
  <c r="AV8" i="10"/>
  <c r="AZ57" i="10"/>
  <c r="AZ46" i="10"/>
  <c r="CZ41" i="10" s="1"/>
  <c r="AZ54" i="10"/>
  <c r="AZ59" i="10"/>
  <c r="AZ53" i="10"/>
  <c r="AZ40" i="10"/>
  <c r="AZ42" i="10"/>
  <c r="AZ41" i="10"/>
  <c r="AZ47" i="10"/>
  <c r="AZ45" i="10"/>
  <c r="AZ52" i="10"/>
  <c r="AZ58" i="10"/>
  <c r="CZ123" i="10" l="1"/>
  <c r="CZ124" i="10"/>
  <c r="EX136" i="10"/>
  <c r="EX135" i="10"/>
  <c r="HE149" i="10"/>
  <c r="EX137" i="10"/>
  <c r="CZ122" i="10"/>
  <c r="HE148" i="10"/>
  <c r="AW103" i="10"/>
  <c r="AV217" i="10"/>
  <c r="AV212" i="10"/>
  <c r="AV222" i="10"/>
  <c r="BA142" i="10"/>
  <c r="BA140" i="10"/>
  <c r="BA153" i="10"/>
  <c r="BA152" i="10"/>
  <c r="BA147" i="10"/>
  <c r="BA136" i="10"/>
  <c r="BA129" i="10"/>
  <c r="BA127" i="10"/>
  <c r="BA141" i="10"/>
  <c r="BA149" i="10"/>
  <c r="BA122" i="10"/>
  <c r="BA154" i="10"/>
  <c r="HF149" i="10" s="1"/>
  <c r="BA135" i="10"/>
  <c r="BA148" i="10"/>
  <c r="BA128" i="10"/>
  <c r="BA123" i="10"/>
  <c r="BA137" i="10"/>
  <c r="BA124" i="10"/>
  <c r="CZ40" i="10"/>
  <c r="AV221" i="10"/>
  <c r="AV216" i="10"/>
  <c r="HE147" i="10"/>
  <c r="ED54" i="10"/>
  <c r="CZ42" i="10"/>
  <c r="ED53" i="10"/>
  <c r="ED52" i="10"/>
  <c r="AW8" i="10"/>
  <c r="BA45" i="10"/>
  <c r="BA53" i="10"/>
  <c r="BA58" i="10"/>
  <c r="BA47" i="10"/>
  <c r="BA40" i="10"/>
  <c r="BA46" i="10"/>
  <c r="BA54" i="10"/>
  <c r="BA41" i="10"/>
  <c r="BA59" i="10"/>
  <c r="BA52" i="10"/>
  <c r="BA42" i="10"/>
  <c r="BA57" i="10"/>
  <c r="EE53" i="10" l="1"/>
  <c r="EY136" i="10"/>
  <c r="EY137" i="10"/>
  <c r="DA122" i="10"/>
  <c r="DA124" i="10"/>
  <c r="DA123" i="10"/>
  <c r="AX103" i="10"/>
  <c r="AW217" i="10"/>
  <c r="AW222" i="10"/>
  <c r="AW212" i="10"/>
  <c r="BB141" i="10"/>
  <c r="BB148" i="10"/>
  <c r="BB154" i="10"/>
  <c r="HG149" i="10" s="1"/>
  <c r="BB149" i="10"/>
  <c r="BB140" i="10"/>
  <c r="BB137" i="10"/>
  <c r="BB122" i="10"/>
  <c r="BB142" i="10"/>
  <c r="BB153" i="10"/>
  <c r="BB129" i="10"/>
  <c r="DB124" i="10" s="1"/>
  <c r="BB136" i="10"/>
  <c r="BB124" i="10"/>
  <c r="BB127" i="10"/>
  <c r="DB122" i="10" s="1"/>
  <c r="BB152" i="10"/>
  <c r="BB135" i="10"/>
  <c r="BB123" i="10"/>
  <c r="BB147" i="10"/>
  <c r="BB128" i="10"/>
  <c r="DB123" i="10" s="1"/>
  <c r="HF147" i="10"/>
  <c r="AW221" i="10"/>
  <c r="AW216" i="10"/>
  <c r="HF148" i="10"/>
  <c r="EY135" i="10"/>
  <c r="DA40" i="10"/>
  <c r="EE54" i="10"/>
  <c r="AX8" i="10"/>
  <c r="BB52" i="10"/>
  <c r="BB59" i="10"/>
  <c r="BB46" i="10"/>
  <c r="BB57" i="10"/>
  <c r="BB42" i="10"/>
  <c r="BB47" i="10"/>
  <c r="BB40" i="10"/>
  <c r="BB41" i="10"/>
  <c r="BB58" i="10"/>
  <c r="BB53" i="10"/>
  <c r="BB45" i="10"/>
  <c r="BB54" i="10"/>
  <c r="DA41" i="10"/>
  <c r="EE52" i="10"/>
  <c r="DA42" i="10"/>
  <c r="EZ137" i="10" l="1"/>
  <c r="HG148" i="10"/>
  <c r="AX221" i="10"/>
  <c r="AX216" i="10"/>
  <c r="HG147" i="10"/>
  <c r="EZ135" i="10"/>
  <c r="AY103" i="10"/>
  <c r="AX212" i="10"/>
  <c r="AX222" i="10"/>
  <c r="AX217" i="10"/>
  <c r="BC152" i="10"/>
  <c r="BC148" i="10"/>
  <c r="BC153" i="10"/>
  <c r="HH148" i="10" s="1"/>
  <c r="BC149" i="10"/>
  <c r="BC154" i="10"/>
  <c r="BC137" i="10"/>
  <c r="BC124" i="10"/>
  <c r="BC147" i="10"/>
  <c r="BC141" i="10"/>
  <c r="BC128" i="10"/>
  <c r="BC127" i="10"/>
  <c r="DC122" i="10" s="1"/>
  <c r="BC129" i="10"/>
  <c r="BC123" i="10"/>
  <c r="BC136" i="10"/>
  <c r="BC135" i="10"/>
  <c r="BC140" i="10"/>
  <c r="BC122" i="10"/>
  <c r="BC142" i="10"/>
  <c r="EZ136" i="10"/>
  <c r="DB40" i="10"/>
  <c r="DB42" i="10"/>
  <c r="EF52" i="10"/>
  <c r="EF53" i="10"/>
  <c r="DB41" i="10"/>
  <c r="EF54" i="10"/>
  <c r="AY8" i="10"/>
  <c r="BC53" i="10"/>
  <c r="BC41" i="10"/>
  <c r="BC59" i="10"/>
  <c r="EG54" i="10" s="1"/>
  <c r="BC57" i="10"/>
  <c r="BC58" i="10"/>
  <c r="BC54" i="10"/>
  <c r="BC46" i="10"/>
  <c r="BC47" i="10"/>
  <c r="BC42" i="10"/>
  <c r="BC40" i="10"/>
  <c r="BC45" i="10"/>
  <c r="BC52" i="10"/>
  <c r="HH149" i="10" l="1"/>
  <c r="AZ103" i="10"/>
  <c r="AY217" i="10"/>
  <c r="AY222" i="10"/>
  <c r="AY212" i="10"/>
  <c r="BD152" i="10"/>
  <c r="BD140" i="10"/>
  <c r="FB135" i="10" s="1"/>
  <c r="BD147" i="10"/>
  <c r="BD154" i="10"/>
  <c r="BD142" i="10"/>
  <c r="BD148" i="10"/>
  <c r="BD136" i="10"/>
  <c r="BD124" i="10"/>
  <c r="BD135" i="10"/>
  <c r="BD127" i="10"/>
  <c r="BD128" i="10"/>
  <c r="DD123" i="10" s="1"/>
  <c r="BD141" i="10"/>
  <c r="BD153" i="10"/>
  <c r="BD123" i="10"/>
  <c r="BD129" i="10"/>
  <c r="BD149" i="10"/>
  <c r="BD137" i="10"/>
  <c r="BD122" i="10"/>
  <c r="FA137" i="10"/>
  <c r="DC123" i="10"/>
  <c r="FA136" i="10"/>
  <c r="HH147" i="10"/>
  <c r="DC124" i="10"/>
  <c r="AY221" i="10"/>
  <c r="AY216" i="10"/>
  <c r="FA135" i="10"/>
  <c r="EG52" i="10"/>
  <c r="DC40" i="10"/>
  <c r="DC42" i="10"/>
  <c r="AZ8" i="10"/>
  <c r="BD47" i="10"/>
  <c r="BD52" i="10"/>
  <c r="BD58" i="10"/>
  <c r="BD53" i="10"/>
  <c r="BD46" i="10"/>
  <c r="BD41" i="10"/>
  <c r="BD59" i="10"/>
  <c r="BD57" i="10"/>
  <c r="BD54" i="10"/>
  <c r="BD45" i="10"/>
  <c r="BD40" i="10"/>
  <c r="BD42" i="10"/>
  <c r="DC41" i="10"/>
  <c r="EG53" i="10"/>
  <c r="DD122" i="10" l="1"/>
  <c r="HI147" i="10"/>
  <c r="DD124" i="10"/>
  <c r="FB137" i="10"/>
  <c r="BA103" i="10"/>
  <c r="AZ222" i="10"/>
  <c r="AZ212" i="10"/>
  <c r="AZ217" i="10"/>
  <c r="BE154" i="10"/>
  <c r="BE122" i="10"/>
  <c r="BE147" i="10"/>
  <c r="BE153" i="10"/>
  <c r="BE142" i="10"/>
  <c r="FC137" i="10" s="1"/>
  <c r="BE148" i="10"/>
  <c r="BE149" i="10"/>
  <c r="BE127" i="10"/>
  <c r="BE137" i="10"/>
  <c r="BE124" i="10"/>
  <c r="BE152" i="10"/>
  <c r="BE123" i="10"/>
  <c r="BE129" i="10"/>
  <c r="DE124" i="10" s="1"/>
  <c r="BE141" i="10"/>
  <c r="BE140" i="10"/>
  <c r="FC135" i="10" s="1"/>
  <c r="BE136" i="10"/>
  <c r="BE135" i="10"/>
  <c r="BE128" i="10"/>
  <c r="AZ221" i="10"/>
  <c r="AZ216" i="10"/>
  <c r="HI148" i="10"/>
  <c r="FB136" i="10"/>
  <c r="HI149" i="10"/>
  <c r="EH54" i="10"/>
  <c r="DD42" i="10"/>
  <c r="DD41" i="10"/>
  <c r="DD40" i="10"/>
  <c r="EH52" i="10"/>
  <c r="BA8" i="10"/>
  <c r="BA221" i="10" s="1"/>
  <c r="BE41" i="10"/>
  <c r="BE54" i="10"/>
  <c r="BE52" i="10"/>
  <c r="BE40" i="10"/>
  <c r="BE59" i="10"/>
  <c r="BE57" i="10"/>
  <c r="BE45" i="10"/>
  <c r="BE53" i="10"/>
  <c r="BE42" i="10"/>
  <c r="BE46" i="10"/>
  <c r="BE47" i="10"/>
  <c r="BE58" i="10"/>
  <c r="EH53" i="10"/>
  <c r="HJ148" i="10" l="1"/>
  <c r="HJ147" i="10"/>
  <c r="FC136" i="10"/>
  <c r="BB103" i="10"/>
  <c r="BA222" i="10"/>
  <c r="BA217" i="10"/>
  <c r="BF154" i="10"/>
  <c r="BF142" i="10"/>
  <c r="BF148" i="10"/>
  <c r="BF153" i="10"/>
  <c r="HK148" i="10" s="1"/>
  <c r="BF152" i="10"/>
  <c r="BF149" i="10"/>
  <c r="BF136" i="10"/>
  <c r="BF137" i="10"/>
  <c r="BF141" i="10"/>
  <c r="FD136" i="10" s="1"/>
  <c r="BF135" i="10"/>
  <c r="BF140" i="10"/>
  <c r="BF147" i="10"/>
  <c r="EI54" i="10"/>
  <c r="DE123" i="10"/>
  <c r="DE122" i="10"/>
  <c r="HJ149" i="10"/>
  <c r="EI53" i="10"/>
  <c r="CK9" i="10"/>
  <c r="DE41" i="10"/>
  <c r="CK10" i="10"/>
  <c r="DE42" i="10"/>
  <c r="BB8" i="10"/>
  <c r="BB221" i="10" s="1"/>
  <c r="BF59" i="10"/>
  <c r="BF52" i="10"/>
  <c r="BF53" i="10"/>
  <c r="BF57" i="10"/>
  <c r="BF54" i="10"/>
  <c r="BF58" i="10"/>
  <c r="CK8" i="10"/>
  <c r="DE40" i="10"/>
  <c r="EI52" i="10"/>
  <c r="HK149" i="10" l="1"/>
  <c r="FD135" i="10"/>
  <c r="FD137" i="10"/>
  <c r="BC103" i="10"/>
  <c r="BB222" i="10"/>
  <c r="BB217" i="10"/>
  <c r="BG154" i="10"/>
  <c r="BG149" i="10"/>
  <c r="BG141" i="10"/>
  <c r="BG147" i="10"/>
  <c r="BG152" i="10"/>
  <c r="BG153" i="10"/>
  <c r="BG136" i="10"/>
  <c r="BG140" i="10"/>
  <c r="BG137" i="10"/>
  <c r="BG148" i="10"/>
  <c r="BG135" i="10"/>
  <c r="BG142" i="10"/>
  <c r="HK147" i="10"/>
  <c r="EJ54" i="10"/>
  <c r="EJ53" i="10"/>
  <c r="BC8" i="10"/>
  <c r="BC221" i="10" s="1"/>
  <c r="BG58" i="10"/>
  <c r="BG53" i="10"/>
  <c r="BG59" i="10"/>
  <c r="BG57" i="10"/>
  <c r="BG54" i="10"/>
  <c r="BG52" i="10"/>
  <c r="EJ52" i="10"/>
  <c r="HL147" i="10" l="1"/>
  <c r="FE136" i="10"/>
  <c r="HL149" i="10"/>
  <c r="FE137" i="10"/>
  <c r="FE135" i="10"/>
  <c r="HL148" i="10"/>
  <c r="BD103" i="10"/>
  <c r="BC217" i="10"/>
  <c r="BC222" i="10"/>
  <c r="BH140" i="10"/>
  <c r="BH149" i="10"/>
  <c r="BH141" i="10"/>
  <c r="BH154" i="10"/>
  <c r="BH152" i="10"/>
  <c r="BH148" i="10"/>
  <c r="BH147" i="10"/>
  <c r="BH135" i="10"/>
  <c r="BH142" i="10"/>
  <c r="BH136" i="10"/>
  <c r="BH153" i="10"/>
  <c r="BH137" i="10"/>
  <c r="EK54" i="10"/>
  <c r="EK53" i="10"/>
  <c r="EK52" i="10"/>
  <c r="BD8" i="10"/>
  <c r="BD221" i="10" s="1"/>
  <c r="BH58" i="10"/>
  <c r="BH54" i="10"/>
  <c r="BH53" i="10"/>
  <c r="BH57" i="10"/>
  <c r="BH59" i="10"/>
  <c r="BH52" i="10"/>
  <c r="FF136" i="10" l="1"/>
  <c r="FF137" i="10"/>
  <c r="HM148" i="10"/>
  <c r="FF135" i="10"/>
  <c r="BE103" i="10"/>
  <c r="BD217" i="10"/>
  <c r="BD222" i="10"/>
  <c r="BI154" i="10"/>
  <c r="BI153" i="10"/>
  <c r="BI147" i="10"/>
  <c r="BI136" i="10"/>
  <c r="BI152" i="10"/>
  <c r="BI142" i="10"/>
  <c r="BI140" i="10"/>
  <c r="BI148" i="10"/>
  <c r="BI135" i="10"/>
  <c r="BI149" i="10"/>
  <c r="BI137" i="10"/>
  <c r="BI141" i="10"/>
  <c r="FG136" i="10" s="1"/>
  <c r="HM147" i="10"/>
  <c r="HM149" i="10"/>
  <c r="EL53" i="10"/>
  <c r="BE8" i="10"/>
  <c r="BE221" i="10" s="1"/>
  <c r="BI57" i="10"/>
  <c r="BI59" i="10"/>
  <c r="BI52" i="10"/>
  <c r="BI53" i="10"/>
  <c r="BI58" i="10"/>
  <c r="BI54" i="10"/>
  <c r="EL54" i="10"/>
  <c r="EL52" i="10"/>
  <c r="HN149" i="10" l="1"/>
  <c r="HN148" i="10"/>
  <c r="FG135" i="10"/>
  <c r="FG137" i="10"/>
  <c r="BF103" i="10"/>
  <c r="BE217" i="10"/>
  <c r="BE222" i="10"/>
  <c r="BJ152" i="10"/>
  <c r="HO147" i="10" s="1"/>
  <c r="BJ154" i="10"/>
  <c r="BJ148" i="10"/>
  <c r="BJ140" i="10"/>
  <c r="BJ137" i="10"/>
  <c r="BJ136" i="10"/>
  <c r="BJ153" i="10"/>
  <c r="HO148" i="10" s="1"/>
  <c r="BJ147" i="10"/>
  <c r="BJ135" i="10"/>
  <c r="BJ149" i="10"/>
  <c r="BJ141" i="10"/>
  <c r="BJ142" i="10"/>
  <c r="EM53" i="10"/>
  <c r="HN147" i="10"/>
  <c r="EM54" i="10"/>
  <c r="EM52" i="10"/>
  <c r="BF8" i="10"/>
  <c r="BF221" i="10" s="1"/>
  <c r="BJ52" i="10"/>
  <c r="BJ53" i="10"/>
  <c r="BJ54" i="10"/>
  <c r="BJ58" i="10"/>
  <c r="EN53" i="10" s="1"/>
  <c r="BJ57" i="10"/>
  <c r="BJ59" i="10"/>
  <c r="FH137" i="10" l="1"/>
  <c r="HO149" i="10"/>
  <c r="BG103" i="10"/>
  <c r="BF222" i="10"/>
  <c r="BF217" i="10"/>
  <c r="BK147" i="10"/>
  <c r="BK153" i="10"/>
  <c r="HP148" i="10" s="1"/>
  <c r="BK152" i="10"/>
  <c r="HP147" i="10" s="1"/>
  <c r="BK154" i="10"/>
  <c r="BK149" i="10"/>
  <c r="BK142" i="10"/>
  <c r="BK136" i="10"/>
  <c r="BK140" i="10"/>
  <c r="BK148" i="10"/>
  <c r="BK135" i="10"/>
  <c r="BK141" i="10"/>
  <c r="FI136" i="10" s="1"/>
  <c r="BK137" i="10"/>
  <c r="FH135" i="10"/>
  <c r="FH136" i="10"/>
  <c r="BG8" i="10"/>
  <c r="BG221" i="10" s="1"/>
  <c r="BK52" i="10"/>
  <c r="BK57" i="10"/>
  <c r="BK59" i="10"/>
  <c r="BK54" i="10"/>
  <c r="BK58" i="10"/>
  <c r="BK53" i="10"/>
  <c r="EN54" i="10"/>
  <c r="EN52" i="10"/>
  <c r="HP149" i="10" l="1"/>
  <c r="FI137" i="10"/>
  <c r="BH103" i="10"/>
  <c r="BG217" i="10"/>
  <c r="BG222" i="10"/>
  <c r="BL153" i="10"/>
  <c r="BL148" i="10"/>
  <c r="BL141" i="10"/>
  <c r="FJ136" i="10" s="1"/>
  <c r="BL154" i="10"/>
  <c r="BL152" i="10"/>
  <c r="BL142" i="10"/>
  <c r="BL147" i="10"/>
  <c r="BL149" i="10"/>
  <c r="BL136" i="10"/>
  <c r="BL140" i="10"/>
  <c r="BL137" i="10"/>
  <c r="BL135" i="10"/>
  <c r="FI135" i="10"/>
  <c r="EO52" i="10"/>
  <c r="EO54" i="10"/>
  <c r="EO53" i="10"/>
  <c r="BH8" i="10"/>
  <c r="BH221" i="10" s="1"/>
  <c r="BL52" i="10"/>
  <c r="BL58" i="10"/>
  <c r="EP53" i="10" s="1"/>
  <c r="BL57" i="10"/>
  <c r="BL59" i="10"/>
  <c r="BL54" i="10"/>
  <c r="BL53" i="10"/>
  <c r="HQ148" i="10" l="1"/>
  <c r="EP52" i="10"/>
  <c r="HQ149" i="10"/>
  <c r="FJ135" i="10"/>
  <c r="FJ137" i="10"/>
  <c r="BI103" i="10"/>
  <c r="BH222" i="10"/>
  <c r="BH217" i="10"/>
  <c r="BM152" i="10"/>
  <c r="BM141" i="10"/>
  <c r="BM154" i="10"/>
  <c r="BM149" i="10"/>
  <c r="BM148" i="10"/>
  <c r="BM147" i="10"/>
  <c r="BM142" i="10"/>
  <c r="BM136" i="10"/>
  <c r="BM140" i="10"/>
  <c r="BM153" i="10"/>
  <c r="BM137" i="10"/>
  <c r="BM135" i="10"/>
  <c r="HQ147" i="10"/>
  <c r="EP54" i="10"/>
  <c r="BI8" i="10"/>
  <c r="BI221" i="10" s="1"/>
  <c r="BM52" i="10"/>
  <c r="BM59" i="10"/>
  <c r="BM53" i="10"/>
  <c r="BM58" i="10"/>
  <c r="BM57" i="10"/>
  <c r="BM54" i="10"/>
  <c r="FK135" i="10" l="1"/>
  <c r="HR149" i="10"/>
  <c r="HR148" i="10"/>
  <c r="FK136" i="10"/>
  <c r="HR147" i="10"/>
  <c r="FK137" i="10"/>
  <c r="BJ103" i="10"/>
  <c r="BI222" i="10"/>
  <c r="BI217" i="10"/>
  <c r="BN149" i="10"/>
  <c r="BN141" i="10"/>
  <c r="BN154" i="10"/>
  <c r="BN152" i="10"/>
  <c r="BN148" i="10"/>
  <c r="BN153" i="10"/>
  <c r="BN147" i="10"/>
  <c r="BN142" i="10"/>
  <c r="BN140" i="10"/>
  <c r="BN135" i="10"/>
  <c r="BN136" i="10"/>
  <c r="BN137" i="10"/>
  <c r="EQ52" i="10"/>
  <c r="EQ54" i="10"/>
  <c r="BJ8" i="10"/>
  <c r="BJ221" i="10" s="1"/>
  <c r="BN54" i="10"/>
  <c r="BN52" i="10"/>
  <c r="BN59" i="10"/>
  <c r="BN57" i="10"/>
  <c r="BN53" i="10"/>
  <c r="BN58" i="10"/>
  <c r="EQ53" i="10"/>
  <c r="HS149" i="10" l="1"/>
  <c r="FL137" i="10"/>
  <c r="HS148" i="10"/>
  <c r="ER52" i="10"/>
  <c r="FL135" i="10"/>
  <c r="BK103" i="10"/>
  <c r="BJ222" i="10"/>
  <c r="BJ217" i="10"/>
  <c r="BO154" i="10"/>
  <c r="BO149" i="10"/>
  <c r="BO141" i="10"/>
  <c r="BO147" i="10"/>
  <c r="BO152" i="10"/>
  <c r="HT147" i="10" s="1"/>
  <c r="BO135" i="10"/>
  <c r="BO136" i="10"/>
  <c r="BO140" i="10"/>
  <c r="FM135" i="10" s="1"/>
  <c r="BO153" i="10"/>
  <c r="BO142" i="10"/>
  <c r="BO148" i="10"/>
  <c r="BO137" i="10"/>
  <c r="FL136" i="10"/>
  <c r="HS147" i="10"/>
  <c r="ER53" i="10"/>
  <c r="ER54" i="10"/>
  <c r="BK8" i="10"/>
  <c r="BK221" i="10" s="1"/>
  <c r="BO59" i="10"/>
  <c r="BO57" i="10"/>
  <c r="BO54" i="10"/>
  <c r="BO52" i="10"/>
  <c r="BO53" i="10"/>
  <c r="BO58" i="10"/>
  <c r="ES53" i="10" s="1"/>
  <c r="FM136" i="10" l="1"/>
  <c r="FM137" i="10"/>
  <c r="HT149" i="10"/>
  <c r="HT148" i="10"/>
  <c r="BL103" i="10"/>
  <c r="BK217" i="10"/>
  <c r="BK222" i="10"/>
  <c r="BP140" i="10"/>
  <c r="BP149" i="10"/>
  <c r="BP154" i="10"/>
  <c r="BP147" i="10"/>
  <c r="BP135" i="10"/>
  <c r="BP142" i="10"/>
  <c r="BP137" i="10"/>
  <c r="BP153" i="10"/>
  <c r="BP136" i="10"/>
  <c r="BP148" i="10"/>
  <c r="BP141" i="10"/>
  <c r="BP152" i="10"/>
  <c r="ES52" i="10"/>
  <c r="ES54" i="10"/>
  <c r="BL8" i="10"/>
  <c r="BL221" i="10" s="1"/>
  <c r="BP52" i="10"/>
  <c r="BP53" i="10"/>
  <c r="BP58" i="10"/>
  <c r="BP57" i="10"/>
  <c r="BP54" i="10"/>
  <c r="BP59" i="10"/>
  <c r="HU147" i="10" l="1"/>
  <c r="FN136" i="10"/>
  <c r="ET53" i="10"/>
  <c r="HU149" i="10"/>
  <c r="HU148" i="10"/>
  <c r="FN135" i="10"/>
  <c r="FN137" i="10"/>
  <c r="BM103" i="10"/>
  <c r="BL217" i="10"/>
  <c r="BL222" i="10"/>
  <c r="BQ154" i="10"/>
  <c r="BQ152" i="10"/>
  <c r="BQ141" i="10"/>
  <c r="BQ140" i="10"/>
  <c r="BQ153" i="10"/>
  <c r="BQ147" i="10"/>
  <c r="BQ137" i="10"/>
  <c r="BQ136" i="10"/>
  <c r="BQ148" i="10"/>
  <c r="BQ149" i="10"/>
  <c r="BQ142" i="10"/>
  <c r="BQ135" i="10"/>
  <c r="ET52" i="10"/>
  <c r="BM8" i="10"/>
  <c r="BM221" i="10" s="1"/>
  <c r="BQ57" i="10"/>
  <c r="BQ59" i="10"/>
  <c r="BQ52" i="10"/>
  <c r="BQ53" i="10"/>
  <c r="BQ58" i="10"/>
  <c r="BQ54" i="10"/>
  <c r="ET54" i="10"/>
  <c r="FO137" i="10" l="1"/>
  <c r="FO136" i="10"/>
  <c r="HV149" i="10"/>
  <c r="BN103" i="10"/>
  <c r="BM217" i="10"/>
  <c r="BM222" i="10"/>
  <c r="BR153" i="10"/>
  <c r="BR136" i="10"/>
  <c r="BR148" i="10"/>
  <c r="BR154" i="10"/>
  <c r="BR149" i="10"/>
  <c r="BR135" i="10"/>
  <c r="BR140" i="10"/>
  <c r="FP135" i="10" s="1"/>
  <c r="BR137" i="10"/>
  <c r="BR141" i="10"/>
  <c r="BR147" i="10"/>
  <c r="BR152" i="10"/>
  <c r="BR142" i="10"/>
  <c r="HV148" i="10"/>
  <c r="FO135" i="10"/>
  <c r="HV147" i="10"/>
  <c r="EU54" i="10"/>
  <c r="BN8" i="10"/>
  <c r="BN221" i="10" s="1"/>
  <c r="BR59" i="10"/>
  <c r="BR52" i="10"/>
  <c r="BR54" i="10"/>
  <c r="BR58" i="10"/>
  <c r="BR57" i="10"/>
  <c r="BR53" i="10"/>
  <c r="EU52" i="10"/>
  <c r="EU53" i="10"/>
  <c r="FP136" i="10" l="1"/>
  <c r="FP137" i="10"/>
  <c r="HW147" i="10"/>
  <c r="HW149" i="10"/>
  <c r="HW148" i="10"/>
  <c r="BO103" i="10"/>
  <c r="BN217" i="10"/>
  <c r="BN222" i="10"/>
  <c r="BS152" i="10"/>
  <c r="BS154" i="10"/>
  <c r="BS148" i="10"/>
  <c r="BS153" i="10"/>
  <c r="BS141" i="10"/>
  <c r="BS149" i="10"/>
  <c r="BS135" i="10"/>
  <c r="BS142" i="10"/>
  <c r="FQ137" i="10" s="1"/>
  <c r="BS137" i="10"/>
  <c r="BS147" i="10"/>
  <c r="BS140" i="10"/>
  <c r="BS136" i="10"/>
  <c r="EV52" i="10"/>
  <c r="EV53" i="10"/>
  <c r="EV54" i="10"/>
  <c r="BO8" i="10"/>
  <c r="BO221" i="10" s="1"/>
  <c r="BS52" i="10"/>
  <c r="BS57" i="10"/>
  <c r="BS59" i="10"/>
  <c r="BS53" i="10"/>
  <c r="BS58" i="10"/>
  <c r="BS54" i="10"/>
  <c r="FQ135" i="10" l="1"/>
  <c r="EW52" i="10"/>
  <c r="HX149" i="10"/>
  <c r="HX147" i="10"/>
  <c r="BP103" i="10"/>
  <c r="BO217" i="10"/>
  <c r="BO222" i="10"/>
  <c r="BT153" i="10"/>
  <c r="HY148" i="10" s="1"/>
  <c r="BT152" i="10"/>
  <c r="BT147" i="10"/>
  <c r="BT154" i="10"/>
  <c r="BT142" i="10"/>
  <c r="BT141" i="10"/>
  <c r="BT149" i="10"/>
  <c r="BT136" i="10"/>
  <c r="BT148" i="10"/>
  <c r="BT135" i="10"/>
  <c r="BT140" i="10"/>
  <c r="FR135" i="10" s="1"/>
  <c r="BT137" i="10"/>
  <c r="FQ136" i="10"/>
  <c r="HX148" i="10"/>
  <c r="EW53" i="10"/>
  <c r="EW54" i="10"/>
  <c r="BP8" i="10"/>
  <c r="BP221" i="10" s="1"/>
  <c r="BT54" i="10"/>
  <c r="BT52" i="10"/>
  <c r="BT58" i="10"/>
  <c r="BT57" i="10"/>
  <c r="BT59" i="10"/>
  <c r="BT53" i="10"/>
  <c r="EX53" i="10" l="1"/>
  <c r="HY149" i="10"/>
  <c r="HY147" i="10"/>
  <c r="FR136" i="10"/>
  <c r="BQ103" i="10"/>
  <c r="BP222" i="10"/>
  <c r="BP217" i="10"/>
  <c r="BU149" i="10"/>
  <c r="BU154" i="10"/>
  <c r="BU147" i="10"/>
  <c r="BU142" i="10"/>
  <c r="BU140" i="10"/>
  <c r="BU153" i="10"/>
  <c r="BU152" i="10"/>
  <c r="HZ147" i="10" s="1"/>
  <c r="BU136" i="10"/>
  <c r="BU141" i="10"/>
  <c r="FS136" i="10" s="1"/>
  <c r="BU135" i="10"/>
  <c r="BU148" i="10"/>
  <c r="BU137" i="10"/>
  <c r="EX52" i="10"/>
  <c r="FR137" i="10"/>
  <c r="EX54" i="10"/>
  <c r="BQ8" i="10"/>
  <c r="BQ221" i="10" s="1"/>
  <c r="BU58" i="10"/>
  <c r="BU52" i="10"/>
  <c r="BU54" i="10"/>
  <c r="BU59" i="10"/>
  <c r="BU57" i="10"/>
  <c r="BU53" i="10"/>
  <c r="HZ149" i="10" l="1"/>
  <c r="HZ148" i="10"/>
  <c r="BR103" i="10"/>
  <c r="BQ222" i="10"/>
  <c r="BQ217" i="10"/>
  <c r="BV149" i="10"/>
  <c r="BV141" i="10"/>
  <c r="BV154" i="10"/>
  <c r="IA149" i="10" s="1"/>
  <c r="BV148" i="10"/>
  <c r="BV152" i="10"/>
  <c r="BV147" i="10"/>
  <c r="BV142" i="10"/>
  <c r="BV136" i="10"/>
  <c r="BV137" i="10"/>
  <c r="BV135" i="10"/>
  <c r="BV153" i="10"/>
  <c r="BV140" i="10"/>
  <c r="EY52" i="10"/>
  <c r="FS135" i="10"/>
  <c r="FS137" i="10"/>
  <c r="EY54" i="10"/>
  <c r="BR8" i="10"/>
  <c r="BR221" i="10" s="1"/>
  <c r="BV54" i="10"/>
  <c r="BV58" i="10"/>
  <c r="BV52" i="10"/>
  <c r="BV57" i="10"/>
  <c r="BV53" i="10"/>
  <c r="BV59" i="10"/>
  <c r="EY53" i="10"/>
  <c r="FT135" i="10" l="1"/>
  <c r="FT136" i="10"/>
  <c r="IA148" i="10"/>
  <c r="FT137" i="10"/>
  <c r="BS103" i="10"/>
  <c r="BR222" i="10"/>
  <c r="BR217" i="10"/>
  <c r="BW148" i="10"/>
  <c r="BW154" i="10"/>
  <c r="BW149" i="10"/>
  <c r="BW141" i="10"/>
  <c r="BW147" i="10"/>
  <c r="BW152" i="10"/>
  <c r="BW135" i="10"/>
  <c r="BW142" i="10"/>
  <c r="BW140" i="10"/>
  <c r="BW153" i="10"/>
  <c r="BW137" i="10"/>
  <c r="BW136" i="10"/>
  <c r="EZ52" i="10"/>
  <c r="IA147" i="10"/>
  <c r="EZ53" i="10"/>
  <c r="BS8" i="10"/>
  <c r="BS221" i="10" s="1"/>
  <c r="BW58" i="10"/>
  <c r="BW52" i="10"/>
  <c r="BW54" i="10"/>
  <c r="BW59" i="10"/>
  <c r="BW57" i="10"/>
  <c r="BW53" i="10"/>
  <c r="EZ54" i="10"/>
  <c r="IB147" i="10" l="1"/>
  <c r="IB148" i="10"/>
  <c r="FU135" i="10"/>
  <c r="FU137" i="10"/>
  <c r="BT103" i="10"/>
  <c r="BS217" i="10"/>
  <c r="BS222" i="10"/>
  <c r="BX153" i="10"/>
  <c r="IC148" i="10" s="1"/>
  <c r="BX147" i="10"/>
  <c r="BX149" i="10"/>
  <c r="BX154" i="10"/>
  <c r="BX152" i="10"/>
  <c r="BX141" i="10"/>
  <c r="BX136" i="10"/>
  <c r="BX137" i="10"/>
  <c r="BX135" i="10"/>
  <c r="BX140" i="10"/>
  <c r="BX142" i="10"/>
  <c r="BX148" i="10"/>
  <c r="IB149" i="10"/>
  <c r="FA54" i="10"/>
  <c r="FU136" i="10"/>
  <c r="FA53" i="10"/>
  <c r="BT8" i="10"/>
  <c r="BT221" i="10" s="1"/>
  <c r="BX59" i="10"/>
  <c r="BX52" i="10"/>
  <c r="BX53" i="10"/>
  <c r="BX58" i="10"/>
  <c r="FB53" i="10" s="1"/>
  <c r="BX54" i="10"/>
  <c r="BX57" i="10"/>
  <c r="FA52" i="10"/>
  <c r="FV137" i="10" l="1"/>
  <c r="FV135" i="10"/>
  <c r="BU103" i="10"/>
  <c r="BT217" i="10"/>
  <c r="BT222" i="10"/>
  <c r="BY154" i="10"/>
  <c r="ID149" i="10" s="1"/>
  <c r="BY141" i="10"/>
  <c r="BY140" i="10"/>
  <c r="FW135" i="10" s="1"/>
  <c r="BY152" i="10"/>
  <c r="BY148" i="10"/>
  <c r="BY149" i="10"/>
  <c r="BY135" i="10"/>
  <c r="BY147" i="10"/>
  <c r="BY137" i="10"/>
  <c r="BY136" i="10"/>
  <c r="BY142" i="10"/>
  <c r="FW137" i="10" s="1"/>
  <c r="BY153" i="10"/>
  <c r="IC147" i="10"/>
  <c r="FV136" i="10"/>
  <c r="IC149" i="10"/>
  <c r="FB52" i="10"/>
  <c r="FB54" i="10"/>
  <c r="BU8" i="10"/>
  <c r="BU221" i="10" s="1"/>
  <c r="BY54" i="10"/>
  <c r="BY59" i="10"/>
  <c r="BY52" i="10"/>
  <c r="BY57" i="10"/>
  <c r="BY53" i="10"/>
  <c r="BY58" i="10"/>
  <c r="ID147" i="10" l="1"/>
  <c r="ID148" i="10"/>
  <c r="FW136" i="10"/>
  <c r="FC53" i="10"/>
  <c r="BV103" i="10"/>
  <c r="BU217" i="10"/>
  <c r="BU222" i="10"/>
  <c r="BZ149" i="10"/>
  <c r="BZ140" i="10"/>
  <c r="BZ136" i="10"/>
  <c r="BZ148" i="10"/>
  <c r="BZ153" i="10"/>
  <c r="IE148" i="10" s="1"/>
  <c r="BZ152" i="10"/>
  <c r="BZ135" i="10"/>
  <c r="BZ141" i="10"/>
  <c r="BZ142" i="10"/>
  <c r="FX137" i="10" s="1"/>
  <c r="BZ154" i="10"/>
  <c r="BZ147" i="10"/>
  <c r="BZ137" i="10"/>
  <c r="FC54" i="10"/>
  <c r="BV8" i="10"/>
  <c r="BV221" i="10" s="1"/>
  <c r="BZ58" i="10"/>
  <c r="BZ54" i="10"/>
  <c r="BZ52" i="10"/>
  <c r="BZ59" i="10"/>
  <c r="BZ53" i="10"/>
  <c r="BZ57" i="10"/>
  <c r="FC52" i="10"/>
  <c r="FX136" i="10" l="1"/>
  <c r="IE147" i="10"/>
  <c r="FD54" i="10"/>
  <c r="IE149" i="10"/>
  <c r="FX135" i="10"/>
  <c r="BW103" i="10"/>
  <c r="BV217" i="10"/>
  <c r="BV222" i="10"/>
  <c r="CA149" i="10"/>
  <c r="CA147" i="10"/>
  <c r="CA148" i="10"/>
  <c r="CA141" i="10"/>
  <c r="CA153" i="10"/>
  <c r="IF148" i="10" s="1"/>
  <c r="CA142" i="10"/>
  <c r="CA152" i="10"/>
  <c r="CA136" i="10"/>
  <c r="CA140" i="10"/>
  <c r="CA137" i="10"/>
  <c r="CA154" i="10"/>
  <c r="IF149" i="10" s="1"/>
  <c r="CA135" i="10"/>
  <c r="FD52" i="10"/>
  <c r="FD53" i="10"/>
  <c r="BW8" i="10"/>
  <c r="BW221" i="10" s="1"/>
  <c r="CA54" i="10"/>
  <c r="CA52" i="10"/>
  <c r="CA59" i="10"/>
  <c r="CA57" i="10"/>
  <c r="CA53" i="10"/>
  <c r="CA58" i="10"/>
  <c r="FY136" i="10" l="1"/>
  <c r="FE54" i="10"/>
  <c r="IF147" i="10"/>
  <c r="FY135" i="10"/>
  <c r="FY137" i="10"/>
  <c r="BX103" i="10"/>
  <c r="BW217" i="10"/>
  <c r="BW222" i="10"/>
  <c r="CB141" i="10"/>
  <c r="CB153" i="10"/>
  <c r="CB142" i="10"/>
  <c r="CB136" i="10"/>
  <c r="CB154" i="10"/>
  <c r="CB148" i="10"/>
  <c r="CB149" i="10"/>
  <c r="CB147" i="10"/>
  <c r="CB140" i="10"/>
  <c r="FZ135" i="10" s="1"/>
  <c r="CB137" i="10"/>
  <c r="CB135" i="10"/>
  <c r="CB152" i="10"/>
  <c r="BX8" i="10"/>
  <c r="BX221" i="10" s="1"/>
  <c r="CB57" i="10"/>
  <c r="CB54" i="10"/>
  <c r="CB59" i="10"/>
  <c r="CB52" i="10"/>
  <c r="CB58" i="10"/>
  <c r="CB53" i="10"/>
  <c r="FE52" i="10"/>
  <c r="FE53" i="10"/>
  <c r="IG148" i="10" l="1"/>
  <c r="FZ136" i="10"/>
  <c r="BY103" i="10"/>
  <c r="BX222" i="10"/>
  <c r="BX217" i="10"/>
  <c r="CC153" i="10"/>
  <c r="CC142" i="10"/>
  <c r="GA137" i="10" s="1"/>
  <c r="CC140" i="10"/>
  <c r="GA135" i="10" s="1"/>
  <c r="CC154" i="10"/>
  <c r="CC141" i="10"/>
  <c r="CC147" i="10"/>
  <c r="CC137" i="10"/>
  <c r="CC148" i="10"/>
  <c r="CC135" i="10"/>
  <c r="CC136" i="10"/>
  <c r="CC152" i="10"/>
  <c r="IH147" i="10" s="1"/>
  <c r="CC149" i="10"/>
  <c r="IG149" i="10"/>
  <c r="IG147" i="10"/>
  <c r="FZ137" i="10"/>
  <c r="FF54" i="10"/>
  <c r="FF52" i="10"/>
  <c r="FF53" i="10"/>
  <c r="BY8" i="10"/>
  <c r="BY221" i="10" s="1"/>
  <c r="CC53" i="10"/>
  <c r="CC58" i="10"/>
  <c r="CC54" i="10"/>
  <c r="CC57" i="10"/>
  <c r="CC59" i="10"/>
  <c r="CC52" i="10"/>
  <c r="IH148" i="10" l="1"/>
  <c r="GA136" i="10"/>
  <c r="IH149" i="10"/>
  <c r="BZ103" i="10"/>
  <c r="BY222" i="10"/>
  <c r="BY217" i="10"/>
  <c r="CD149" i="10"/>
  <c r="CD141" i="10"/>
  <c r="GB136" i="10" s="1"/>
  <c r="CD154" i="10"/>
  <c r="CD152" i="10"/>
  <c r="CD142" i="10"/>
  <c r="CD148" i="10"/>
  <c r="CD136" i="10"/>
  <c r="CD137" i="10"/>
  <c r="CD140" i="10"/>
  <c r="CD135" i="10"/>
  <c r="CD147" i="10"/>
  <c r="CD153" i="10"/>
  <c r="FG53" i="10"/>
  <c r="FG54" i="10"/>
  <c r="FG52" i="10"/>
  <c r="BZ8" i="10"/>
  <c r="BZ221" i="10" s="1"/>
  <c r="CD53" i="10"/>
  <c r="CD54" i="10"/>
  <c r="CD52" i="10"/>
  <c r="CD59" i="10"/>
  <c r="CD57" i="10"/>
  <c r="CD58" i="10"/>
  <c r="II149" i="10" l="1"/>
  <c r="II148" i="10"/>
  <c r="II147" i="10"/>
  <c r="CA103" i="10"/>
  <c r="BZ222" i="10"/>
  <c r="BZ217" i="10"/>
  <c r="CE153" i="10"/>
  <c r="CE148" i="10"/>
  <c r="CE154" i="10"/>
  <c r="CE149" i="10"/>
  <c r="CE141" i="10"/>
  <c r="CE142" i="10"/>
  <c r="CE140" i="10"/>
  <c r="CE152" i="10"/>
  <c r="CE135" i="10"/>
  <c r="CE137" i="10"/>
  <c r="CE136" i="10"/>
  <c r="CE147" i="10"/>
  <c r="GB135" i="10"/>
  <c r="GB137" i="10"/>
  <c r="FH54" i="10"/>
  <c r="FH53" i="10"/>
  <c r="FH52" i="10"/>
  <c r="CA8" i="10"/>
  <c r="CA221" i="10" s="1"/>
  <c r="CE58" i="10"/>
  <c r="CE57" i="10"/>
  <c r="CE52" i="10"/>
  <c r="CE53" i="10"/>
  <c r="CE59" i="10"/>
  <c r="CE54" i="10"/>
  <c r="IJ148" i="10" l="1"/>
  <c r="IJ149" i="10"/>
  <c r="IJ147" i="10"/>
  <c r="GC135" i="10"/>
  <c r="GC137" i="10"/>
  <c r="CB103" i="10"/>
  <c r="CA217" i="10"/>
  <c r="CA222" i="10"/>
  <c r="CF152" i="10"/>
  <c r="CF148" i="10"/>
  <c r="CF153" i="10"/>
  <c r="CF147" i="10"/>
  <c r="CF140" i="10"/>
  <c r="CF136" i="10"/>
  <c r="CF149" i="10"/>
  <c r="CF154" i="10"/>
  <c r="IK149" i="10" s="1"/>
  <c r="CF137" i="10"/>
  <c r="CF141" i="10"/>
  <c r="CF142" i="10"/>
  <c r="CF135" i="10"/>
  <c r="GC136" i="10"/>
  <c r="FI54" i="10"/>
  <c r="FI52" i="10"/>
  <c r="FI53" i="10"/>
  <c r="CB8" i="10"/>
  <c r="CB221" i="10" s="1"/>
  <c r="CF54" i="10"/>
  <c r="CF58" i="10"/>
  <c r="CF52" i="10"/>
  <c r="CF59" i="10"/>
  <c r="CF57" i="10"/>
  <c r="CF53" i="10"/>
  <c r="IK148" i="10" l="1"/>
  <c r="IK147" i="10"/>
  <c r="CC103" i="10"/>
  <c r="CB217" i="10"/>
  <c r="CB222" i="10"/>
  <c r="CG147" i="10"/>
  <c r="CG141" i="10"/>
  <c r="GE136" i="10" s="1"/>
  <c r="CG148" i="10"/>
  <c r="CG154" i="10"/>
  <c r="CG140" i="10"/>
  <c r="CG153" i="10"/>
  <c r="CG135" i="10"/>
  <c r="CG149" i="10"/>
  <c r="CG136" i="10"/>
  <c r="CG137" i="10"/>
  <c r="CG152" i="10"/>
  <c r="IL147" i="10" s="1"/>
  <c r="CG142" i="10"/>
  <c r="GD135" i="10"/>
  <c r="GD137" i="10"/>
  <c r="FJ53" i="10"/>
  <c r="GD136" i="10"/>
  <c r="CC8" i="10"/>
  <c r="CC221" i="10" s="1"/>
  <c r="CG54" i="10"/>
  <c r="CG57" i="10"/>
  <c r="CG52" i="10"/>
  <c r="CG53" i="10"/>
  <c r="CG59" i="10"/>
  <c r="CG58" i="10"/>
  <c r="FJ52" i="10"/>
  <c r="FJ54" i="10"/>
  <c r="GE135" i="10" l="1"/>
  <c r="GE137" i="10"/>
  <c r="IL149" i="10"/>
  <c r="FK54" i="10"/>
  <c r="IL148" i="10"/>
  <c r="CD103" i="10"/>
  <c r="CC217" i="10"/>
  <c r="CC222" i="10"/>
  <c r="CH147" i="10"/>
  <c r="CH136" i="10"/>
  <c r="CH137" i="10"/>
  <c r="CH149" i="10"/>
  <c r="CH140" i="10"/>
  <c r="CH148" i="10"/>
  <c r="CH142" i="10"/>
  <c r="CH152" i="10"/>
  <c r="CH135" i="10"/>
  <c r="CH153" i="10"/>
  <c r="CH154" i="10"/>
  <c r="CH141" i="10"/>
  <c r="FK53" i="10"/>
  <c r="FK52" i="10"/>
  <c r="CD8" i="10"/>
  <c r="CD221" i="10" s="1"/>
  <c r="CH59" i="10"/>
  <c r="CH52" i="10"/>
  <c r="CH53" i="10"/>
  <c r="CH54" i="10"/>
  <c r="CH58" i="10"/>
  <c r="CH57" i="10"/>
  <c r="IM149" i="10" l="1"/>
  <c r="IM147" i="10"/>
  <c r="IM148" i="10"/>
  <c r="GF137" i="10"/>
  <c r="FL54" i="10"/>
  <c r="CE103" i="10"/>
  <c r="CD217" i="10"/>
  <c r="CD222" i="10"/>
  <c r="CI149" i="10"/>
  <c r="CI153" i="10"/>
  <c r="CI148" i="10"/>
  <c r="CI141" i="10"/>
  <c r="CI136" i="10"/>
  <c r="CI154" i="10"/>
  <c r="CI152" i="10"/>
  <c r="CI140" i="10"/>
  <c r="CI137" i="10"/>
  <c r="CI135" i="10"/>
  <c r="CI147" i="10"/>
  <c r="CI142" i="10"/>
  <c r="GF135" i="10"/>
  <c r="GF136" i="10"/>
  <c r="CI54" i="10"/>
  <c r="CI52" i="10"/>
  <c r="CI58" i="10"/>
  <c r="CI59" i="10"/>
  <c r="CI57" i="10"/>
  <c r="CI53" i="10"/>
  <c r="FL52" i="10"/>
  <c r="FL53" i="10"/>
  <c r="IN148" i="10" l="1"/>
  <c r="IN147" i="10"/>
  <c r="IN149" i="10"/>
  <c r="CF103" i="10"/>
  <c r="CE217" i="10"/>
  <c r="CE222" i="10"/>
  <c r="CJ147" i="10"/>
  <c r="CJ153" i="10"/>
  <c r="CJ152" i="10"/>
  <c r="CJ141" i="10"/>
  <c r="CJ149" i="10"/>
  <c r="CJ142" i="10"/>
  <c r="CJ135" i="10"/>
  <c r="CJ154" i="10"/>
  <c r="IO149" i="10" s="1"/>
  <c r="CJ148" i="10"/>
  <c r="CJ137" i="10"/>
  <c r="CJ136" i="10"/>
  <c r="CJ140" i="10"/>
  <c r="GG135" i="10"/>
  <c r="GG137" i="10"/>
  <c r="GG136" i="10"/>
  <c r="CK11" i="10"/>
  <c r="FM52" i="10"/>
  <c r="CK13" i="10"/>
  <c r="FM54" i="10"/>
  <c r="CK12" i="10"/>
  <c r="FM53" i="10"/>
  <c r="IO148" i="10" l="1"/>
  <c r="GH135" i="10"/>
  <c r="IO147" i="10"/>
  <c r="GH137" i="10"/>
  <c r="CG103" i="10"/>
  <c r="CF222" i="10"/>
  <c r="CF217" i="10"/>
  <c r="CK153" i="10"/>
  <c r="IP148" i="10" s="1"/>
  <c r="CK142" i="10"/>
  <c r="CK152" i="10"/>
  <c r="IP147" i="10" s="1"/>
  <c r="CK147" i="10"/>
  <c r="CK154" i="10"/>
  <c r="CK141" i="10"/>
  <c r="CK140" i="10"/>
  <c r="CK149" i="10"/>
  <c r="CK136" i="10"/>
  <c r="CK137" i="10"/>
  <c r="CK135" i="10"/>
  <c r="CK148" i="10"/>
  <c r="GH136" i="10"/>
  <c r="GI137" i="10" l="1"/>
  <c r="GI135" i="10"/>
  <c r="CH103" i="10"/>
  <c r="CG222" i="10"/>
  <c r="CG217" i="10"/>
  <c r="CL153" i="10"/>
  <c r="CL149" i="10"/>
  <c r="CL141" i="10"/>
  <c r="GJ136" i="10" s="1"/>
  <c r="CL154" i="10"/>
  <c r="CL142" i="10"/>
  <c r="CL152" i="10"/>
  <c r="CL136" i="10"/>
  <c r="CL148" i="10"/>
  <c r="CL140" i="10"/>
  <c r="CL137" i="10"/>
  <c r="CL135" i="10"/>
  <c r="CL147" i="10"/>
  <c r="IP149" i="10"/>
  <c r="GI136" i="10"/>
  <c r="IQ148" i="10" l="1"/>
  <c r="IQ149" i="10"/>
  <c r="GJ135" i="10"/>
  <c r="IQ147" i="10"/>
  <c r="CI103" i="10"/>
  <c r="CH222" i="10"/>
  <c r="CH217" i="10"/>
  <c r="CM152" i="10"/>
  <c r="CM153" i="10"/>
  <c r="CM141" i="10"/>
  <c r="CM148" i="10"/>
  <c r="CM154" i="10"/>
  <c r="CM147" i="10"/>
  <c r="CM142" i="10"/>
  <c r="CM149" i="10"/>
  <c r="CM136" i="10"/>
  <c r="CM140" i="10"/>
  <c r="CM137" i="10"/>
  <c r="CM135" i="10"/>
  <c r="GJ137" i="10"/>
  <c r="IR147" i="10" l="1"/>
  <c r="GK136" i="10"/>
  <c r="GK135" i="10"/>
  <c r="IR148" i="10"/>
  <c r="CJ103" i="10"/>
  <c r="CI222" i="10"/>
  <c r="CI217" i="10"/>
  <c r="CN142" i="10"/>
  <c r="CN152" i="10"/>
  <c r="CN148" i="10"/>
  <c r="CN153" i="10"/>
  <c r="CN147" i="10"/>
  <c r="CN140" i="10"/>
  <c r="CN149" i="10"/>
  <c r="CN154" i="10"/>
  <c r="IS149" i="10" s="1"/>
  <c r="CN141" i="10"/>
  <c r="CN135" i="10"/>
  <c r="CN137" i="10"/>
  <c r="CN136" i="10"/>
  <c r="IR149" i="10"/>
  <c r="GK137" i="10"/>
  <c r="IS148" i="10" l="1"/>
  <c r="GL137" i="10"/>
  <c r="GL136" i="10"/>
  <c r="IS147" i="10"/>
  <c r="GL135" i="10"/>
  <c r="CK103" i="10"/>
  <c r="CJ222" i="10"/>
  <c r="CJ217" i="10"/>
  <c r="CO153" i="10"/>
  <c r="CO147" i="10"/>
  <c r="CO152" i="10"/>
  <c r="CO154" i="10"/>
  <c r="CO142" i="10"/>
  <c r="GM137" i="10" s="1"/>
  <c r="CO148" i="10"/>
  <c r="CO149" i="10"/>
  <c r="CO141" i="10"/>
  <c r="GM136" i="10" s="1"/>
  <c r="CO135" i="10"/>
  <c r="CO136" i="10"/>
  <c r="CO140" i="10"/>
  <c r="CO137" i="10"/>
  <c r="IT147" i="10" l="1"/>
  <c r="IT148" i="10"/>
  <c r="CL103" i="10"/>
  <c r="CK222" i="10"/>
  <c r="CK217" i="10"/>
  <c r="CP136" i="10"/>
  <c r="CP154" i="10"/>
  <c r="IU149" i="10" s="1"/>
  <c r="CP152" i="10"/>
  <c r="CP148" i="10"/>
  <c r="CP149" i="10"/>
  <c r="CP142" i="10"/>
  <c r="CP140" i="10"/>
  <c r="CP153" i="10"/>
  <c r="CP137" i="10"/>
  <c r="CP141" i="10"/>
  <c r="GN136" i="10" s="1"/>
  <c r="CP135" i="10"/>
  <c r="CP147" i="10"/>
  <c r="IT149" i="10"/>
  <c r="GM135" i="10"/>
  <c r="IU148" i="10" l="1"/>
  <c r="IU147" i="10"/>
  <c r="GN135" i="10"/>
  <c r="GN137" i="10"/>
  <c r="CM103" i="10"/>
  <c r="CL222" i="10"/>
  <c r="CL217" i="10"/>
  <c r="CQ152" i="10"/>
  <c r="IV147" i="10" s="1"/>
  <c r="CQ153" i="10"/>
  <c r="CQ154" i="10"/>
  <c r="CQ141" i="10"/>
  <c r="CQ148" i="10"/>
  <c r="CQ149" i="10"/>
  <c r="CQ147" i="10"/>
  <c r="CQ140" i="10"/>
  <c r="GO135" i="10" s="1"/>
  <c r="CQ142" i="10"/>
  <c r="GO137" i="10" s="1"/>
  <c r="CQ136" i="10"/>
  <c r="CQ135" i="10"/>
  <c r="CQ137" i="10"/>
  <c r="GO136" i="10" l="1"/>
  <c r="CN103" i="10"/>
  <c r="CM222" i="10"/>
  <c r="CM217" i="10"/>
  <c r="CR154" i="10"/>
  <c r="CR148" i="10"/>
  <c r="CR142" i="10"/>
  <c r="GP137" i="10" s="1"/>
  <c r="CR149" i="10"/>
  <c r="CR153" i="10"/>
  <c r="CR140" i="10"/>
  <c r="CR137" i="10"/>
  <c r="CR141" i="10"/>
  <c r="CR152" i="10"/>
  <c r="CR147" i="10"/>
  <c r="CR136" i="10"/>
  <c r="CR135" i="10"/>
  <c r="IV149" i="10"/>
  <c r="IV148" i="10"/>
  <c r="IW148" i="10" l="1"/>
  <c r="IW147" i="10"/>
  <c r="GP136" i="10"/>
  <c r="IW149" i="10"/>
  <c r="GP135" i="10"/>
  <c r="CO103" i="10"/>
  <c r="CN222" i="10"/>
  <c r="CN217" i="10"/>
  <c r="CS147" i="10"/>
  <c r="CS153" i="10"/>
  <c r="CS141" i="10"/>
  <c r="CS154" i="10"/>
  <c r="CS148" i="10"/>
  <c r="CS149" i="10"/>
  <c r="CS136" i="10"/>
  <c r="CS135" i="10"/>
  <c r="CS142" i="10"/>
  <c r="CS152" i="10"/>
  <c r="CS137" i="10"/>
  <c r="CS140" i="10"/>
  <c r="GQ137" i="10" l="1"/>
  <c r="CP103" i="10"/>
  <c r="CO222" i="10"/>
  <c r="CO217" i="10"/>
  <c r="CT148" i="10"/>
  <c r="CT153" i="10"/>
  <c r="CT149" i="10"/>
  <c r="CT141" i="10"/>
  <c r="GR136" i="10" s="1"/>
  <c r="CT152" i="10"/>
  <c r="CT154" i="10"/>
  <c r="CT147" i="10"/>
  <c r="CT135" i="10"/>
  <c r="CT142" i="10"/>
  <c r="CT140" i="10"/>
  <c r="GR135" i="10" s="1"/>
  <c r="CT137" i="10"/>
  <c r="CT136" i="10"/>
  <c r="IX149" i="10"/>
  <c r="GQ136" i="10"/>
  <c r="GQ135" i="10"/>
  <c r="IX147" i="10"/>
  <c r="IX148" i="10"/>
  <c r="IY148" i="10" l="1"/>
  <c r="IY147" i="10"/>
  <c r="GR137" i="10"/>
  <c r="IY149" i="10"/>
  <c r="CQ103" i="10"/>
  <c r="CP222" i="10"/>
  <c r="CP217" i="10"/>
  <c r="CU147" i="10"/>
  <c r="CU152" i="10"/>
  <c r="CU153" i="10"/>
  <c r="CU148" i="10"/>
  <c r="CU137" i="10"/>
  <c r="CU140" i="10"/>
  <c r="CU154" i="10"/>
  <c r="CU135" i="10"/>
  <c r="CU149" i="10"/>
  <c r="CU141" i="10"/>
  <c r="CU142" i="10"/>
  <c r="CU136" i="10"/>
  <c r="GS137" i="10" l="1"/>
  <c r="IZ148" i="10"/>
  <c r="GS136" i="10"/>
  <c r="IZ147" i="10"/>
  <c r="IZ149" i="10"/>
  <c r="CR103" i="10"/>
  <c r="CQ222" i="10"/>
  <c r="CQ217" i="10"/>
  <c r="CV152" i="10"/>
  <c r="CV148" i="10"/>
  <c r="CV153" i="10"/>
  <c r="JA148" i="10" s="1"/>
  <c r="CV147" i="10"/>
  <c r="CV140" i="10"/>
  <c r="CV154" i="10"/>
  <c r="CV149" i="10"/>
  <c r="CV136" i="10"/>
  <c r="CV141" i="10"/>
  <c r="CV142" i="10"/>
  <c r="CV135" i="10"/>
  <c r="CV137" i="10"/>
  <c r="GS135" i="10"/>
  <c r="GT136" i="10" l="1"/>
  <c r="JA147" i="10"/>
  <c r="JA149" i="10"/>
  <c r="CS103" i="10"/>
  <c r="CR222" i="10"/>
  <c r="CR217" i="10"/>
  <c r="CW148" i="10"/>
  <c r="CW141" i="10"/>
  <c r="CW153" i="10"/>
  <c r="CW147" i="10"/>
  <c r="CW152" i="10"/>
  <c r="CW154" i="10"/>
  <c r="CW142" i="10"/>
  <c r="CW149" i="10"/>
  <c r="CW137" i="10"/>
  <c r="CW136" i="10"/>
  <c r="CW135" i="10"/>
  <c r="CW140" i="10"/>
  <c r="GU135" i="10" s="1"/>
  <c r="GT137" i="10"/>
  <c r="GT135" i="10"/>
  <c r="JB148" i="10" l="1"/>
  <c r="GU136" i="10"/>
  <c r="GU137" i="10"/>
  <c r="CT103" i="10"/>
  <c r="CS222" i="10"/>
  <c r="CS217" i="10"/>
  <c r="CX153" i="10"/>
  <c r="CX152" i="10"/>
  <c r="CX147" i="10"/>
  <c r="CX149" i="10"/>
  <c r="CX154" i="10"/>
  <c r="JC149" i="10" s="1"/>
  <c r="CX142" i="10"/>
  <c r="CX148" i="10"/>
  <c r="CX136" i="10"/>
  <c r="CX140" i="10"/>
  <c r="CX135" i="10"/>
  <c r="CX137" i="10"/>
  <c r="CX141" i="10"/>
  <c r="JB149" i="10"/>
  <c r="JB147" i="10"/>
  <c r="GV135" i="10" l="1"/>
  <c r="JC148" i="10"/>
  <c r="JC147" i="10"/>
  <c r="GV137" i="10"/>
  <c r="CU103" i="10"/>
  <c r="CT222" i="10"/>
  <c r="CT217" i="10"/>
  <c r="CY149" i="10"/>
  <c r="CY136" i="10"/>
  <c r="CY152" i="10"/>
  <c r="CY147" i="10"/>
  <c r="CY153" i="10"/>
  <c r="CY137" i="10"/>
  <c r="CY142" i="10"/>
  <c r="CY154" i="10"/>
  <c r="CY135" i="10"/>
  <c r="CY148" i="10"/>
  <c r="CY140" i="10"/>
  <c r="CY141" i="10"/>
  <c r="GV136" i="10"/>
  <c r="GW137" i="10" l="1"/>
  <c r="JD149" i="10"/>
  <c r="JD148" i="10"/>
  <c r="CV103" i="10"/>
  <c r="CU222" i="10"/>
  <c r="CU217" i="10"/>
  <c r="CZ154" i="10"/>
  <c r="CZ142" i="10"/>
  <c r="GX137" i="10" s="1"/>
  <c r="CZ148" i="10"/>
  <c r="CZ153" i="10"/>
  <c r="CZ147" i="10"/>
  <c r="CZ140" i="10"/>
  <c r="CZ137" i="10"/>
  <c r="CZ149" i="10"/>
  <c r="CZ135" i="10"/>
  <c r="CZ141" i="10"/>
  <c r="CZ152" i="10"/>
  <c r="JE147" i="10" s="1"/>
  <c r="CZ136" i="10"/>
  <c r="GW136" i="10"/>
  <c r="GW135" i="10"/>
  <c r="JD147" i="10"/>
  <c r="JE149" i="10" l="1"/>
  <c r="JE148" i="10"/>
  <c r="GX136" i="10"/>
  <c r="CW103" i="10"/>
  <c r="CV217" i="10"/>
  <c r="CV222" i="10"/>
  <c r="DA149" i="10"/>
  <c r="DA147" i="10"/>
  <c r="DA152" i="10"/>
  <c r="DA153" i="10"/>
  <c r="DA142" i="10"/>
  <c r="DA154" i="10"/>
  <c r="DA135" i="10"/>
  <c r="DA141" i="10"/>
  <c r="DA148" i="10"/>
  <c r="DA140" i="10"/>
  <c r="GY135" i="10" s="1"/>
  <c r="DA136" i="10"/>
  <c r="DA137" i="10"/>
  <c r="GX135" i="10"/>
  <c r="JF147" i="10" l="1"/>
  <c r="GY136" i="10"/>
  <c r="JF148" i="10"/>
  <c r="JF149" i="10"/>
  <c r="CX103" i="10"/>
  <c r="CW217" i="10"/>
  <c r="CW222" i="10"/>
  <c r="DB152" i="10"/>
  <c r="DB148" i="10"/>
  <c r="DB153" i="10"/>
  <c r="DB149" i="10"/>
  <c r="DB141" i="10"/>
  <c r="DB137" i="10"/>
  <c r="DB135" i="10"/>
  <c r="DB140" i="10"/>
  <c r="GZ135" i="10" s="1"/>
  <c r="DB142" i="10"/>
  <c r="GZ137" i="10" s="1"/>
  <c r="DB136" i="10"/>
  <c r="DB154" i="10"/>
  <c r="DB147" i="10"/>
  <c r="GY137" i="10"/>
  <c r="JG149" i="10" l="1"/>
  <c r="JG148" i="10"/>
  <c r="GZ136" i="10"/>
  <c r="JG147" i="10"/>
  <c r="CY103" i="10"/>
  <c r="CX222" i="10"/>
  <c r="CX217" i="10"/>
  <c r="DC149" i="10"/>
  <c r="DC135" i="10"/>
  <c r="DC136" i="10"/>
  <c r="DC140" i="10"/>
  <c r="DC147" i="10"/>
  <c r="DC152" i="10"/>
  <c r="DC153" i="10"/>
  <c r="DC148" i="10"/>
  <c r="DC141" i="10"/>
  <c r="DC142" i="10"/>
  <c r="DC154" i="10"/>
  <c r="DC137" i="10"/>
  <c r="JH149" i="10" l="1"/>
  <c r="HA137" i="10"/>
  <c r="JH148" i="10"/>
  <c r="HA136" i="10"/>
  <c r="HA135" i="10"/>
  <c r="JH147" i="10"/>
  <c r="CZ103" i="10"/>
  <c r="CY222" i="10"/>
  <c r="DD154" i="10"/>
  <c r="DD152" i="10"/>
  <c r="DD148" i="10"/>
  <c r="DD153" i="10"/>
  <c r="DD147" i="10"/>
  <c r="DD149" i="10"/>
  <c r="JI149" i="10" l="1"/>
  <c r="JI148" i="10"/>
  <c r="JI147" i="10"/>
  <c r="DA103" i="10"/>
  <c r="CZ222" i="10"/>
  <c r="DE153" i="10"/>
  <c r="JJ148" i="10" s="1"/>
  <c r="DE147" i="10"/>
  <c r="DE152" i="10"/>
  <c r="DE149" i="10"/>
  <c r="DE148" i="10"/>
  <c r="DE154" i="10"/>
  <c r="JJ147" i="10" l="1"/>
  <c r="DB103" i="10"/>
  <c r="DA222" i="10"/>
  <c r="DF148" i="10"/>
  <c r="DF154" i="10"/>
  <c r="DF149" i="10"/>
  <c r="DF152" i="10"/>
  <c r="DF147" i="10"/>
  <c r="DF153" i="10"/>
  <c r="JK148" i="10" s="1"/>
  <c r="JJ149" i="10"/>
  <c r="JK149" i="10" l="1"/>
  <c r="JK147" i="10"/>
  <c r="DC103" i="10"/>
  <c r="DB222" i="10"/>
  <c r="DG148" i="10"/>
  <c r="DG154" i="10"/>
  <c r="DG149" i="10"/>
  <c r="DG152" i="10"/>
  <c r="DG153" i="10"/>
  <c r="JL148" i="10" s="1"/>
  <c r="DG147" i="10"/>
  <c r="JL147" i="10" l="1"/>
  <c r="JL149" i="10"/>
  <c r="DD103" i="10"/>
  <c r="DC222" i="10"/>
  <c r="DH147" i="10"/>
  <c r="DH149" i="10"/>
  <c r="DH152" i="10"/>
  <c r="JM147" i="10" s="1"/>
  <c r="DH154" i="10"/>
  <c r="JM149" i="10" s="1"/>
  <c r="DH153" i="10"/>
  <c r="JM148" i="10" s="1"/>
  <c r="DH148" i="10"/>
  <c r="DE103" i="10" l="1"/>
  <c r="DD222" i="10"/>
  <c r="DI154" i="10"/>
  <c r="DI153" i="10"/>
  <c r="DI149" i="10"/>
  <c r="DI147" i="10"/>
  <c r="DI148" i="10"/>
  <c r="DI152" i="10"/>
  <c r="JN147" i="10" l="1"/>
  <c r="JN148" i="10"/>
  <c r="DF103" i="10"/>
  <c r="DE222" i="10"/>
  <c r="DJ148" i="10"/>
  <c r="DJ153" i="10"/>
  <c r="DJ152" i="10"/>
  <c r="DJ149" i="10"/>
  <c r="DJ154" i="10"/>
  <c r="DJ147" i="10"/>
  <c r="JN149" i="10"/>
  <c r="JO148" i="10" l="1"/>
  <c r="JO149" i="10"/>
  <c r="JO147" i="10"/>
  <c r="DG103" i="10"/>
  <c r="DF222" i="10"/>
  <c r="DK154" i="10"/>
  <c r="DK149" i="10"/>
  <c r="DK147" i="10"/>
  <c r="DK152" i="10"/>
  <c r="DK153" i="10"/>
  <c r="DK148" i="10"/>
  <c r="JP147" i="10" l="1"/>
  <c r="JP148" i="10"/>
  <c r="JP149" i="10"/>
  <c r="DH103" i="10"/>
  <c r="DG222" i="10"/>
  <c r="DL149" i="10"/>
  <c r="DL154" i="10"/>
  <c r="JQ149" i="10" s="1"/>
  <c r="DL152" i="10"/>
  <c r="DL148" i="10"/>
  <c r="DL153" i="10"/>
  <c r="JQ148" i="10" s="1"/>
  <c r="DL147" i="10"/>
  <c r="JQ147" i="10" l="1"/>
  <c r="DI103" i="10"/>
  <c r="DH222" i="10"/>
  <c r="DM148" i="10"/>
  <c r="DM152" i="10"/>
  <c r="DM153" i="10"/>
  <c r="JR148" i="10" s="1"/>
  <c r="DM147" i="10"/>
  <c r="DM149" i="10"/>
  <c r="DM154" i="10"/>
  <c r="JR147" i="10" l="1"/>
  <c r="JR149" i="10"/>
  <c r="DJ103" i="10"/>
  <c r="DI222" i="10"/>
  <c r="DN153" i="10"/>
  <c r="DN152" i="10"/>
  <c r="DN148" i="10"/>
  <c r="DN149" i="10"/>
  <c r="DN147" i="10"/>
  <c r="DN154" i="10"/>
  <c r="JS149" i="10" l="1"/>
  <c r="JS147" i="10"/>
  <c r="JS148" i="10"/>
  <c r="DK103" i="10"/>
  <c r="DJ222" i="10"/>
  <c r="DO148" i="10"/>
  <c r="DO149" i="10"/>
  <c r="DO147" i="10"/>
  <c r="DO154" i="10"/>
  <c r="DO153" i="10"/>
  <c r="DO152" i="10"/>
  <c r="JT148" i="10" l="1"/>
  <c r="JT149" i="10"/>
  <c r="DL103" i="10"/>
  <c r="DK222" i="10"/>
  <c r="DP154" i="10"/>
  <c r="DP148" i="10"/>
  <c r="DP149" i="10"/>
  <c r="DP152" i="10"/>
  <c r="DP147" i="10"/>
  <c r="DP153" i="10"/>
  <c r="JT147" i="10"/>
  <c r="JU147" i="10" l="1"/>
  <c r="JU149" i="10"/>
  <c r="DM103" i="10"/>
  <c r="DL222" i="10"/>
  <c r="DQ154" i="10"/>
  <c r="DQ148" i="10"/>
  <c r="DQ153" i="10"/>
  <c r="DQ152" i="10"/>
  <c r="DQ147" i="10"/>
  <c r="DQ149" i="10"/>
  <c r="JU148" i="10"/>
  <c r="JV147" i="10" l="1"/>
  <c r="JV148" i="10"/>
  <c r="JV149" i="10"/>
  <c r="DN103" i="10"/>
  <c r="DM222" i="10"/>
  <c r="DR154" i="10"/>
  <c r="DR148" i="10"/>
  <c r="DR147" i="10"/>
  <c r="DR153" i="10"/>
  <c r="JW148" i="10" s="1"/>
  <c r="DR149" i="10"/>
  <c r="DR152" i="10"/>
  <c r="JW147" i="10" l="1"/>
  <c r="JW149" i="10"/>
  <c r="DO103" i="10"/>
  <c r="DN222" i="10"/>
  <c r="DS154" i="10"/>
  <c r="DS149" i="10"/>
  <c r="DS147" i="10"/>
  <c r="DS152" i="10"/>
  <c r="DS153" i="10"/>
  <c r="DS148" i="10"/>
  <c r="JX148" i="10" l="1"/>
  <c r="JX147" i="10"/>
  <c r="JX149" i="10"/>
  <c r="DP103" i="10"/>
  <c r="DO222" i="10"/>
  <c r="DT149" i="10"/>
  <c r="DT154" i="10"/>
  <c r="DT152" i="10"/>
  <c r="JY147" i="10" s="1"/>
  <c r="DT148" i="10"/>
  <c r="DT147" i="10"/>
  <c r="DT153" i="10"/>
  <c r="JY149" i="10" l="1"/>
  <c r="DQ103" i="10"/>
  <c r="DP222" i="10"/>
  <c r="DU154" i="10"/>
  <c r="DU152" i="10"/>
  <c r="DU153" i="10"/>
  <c r="DU147" i="10"/>
  <c r="DU148" i="10"/>
  <c r="DU149" i="10"/>
  <c r="JY148" i="10"/>
  <c r="JZ148" i="10" l="1"/>
  <c r="DR103" i="10"/>
  <c r="DQ222" i="10"/>
  <c r="DV153" i="10"/>
  <c r="DV152" i="10"/>
  <c r="DV147" i="10"/>
  <c r="DV154" i="10"/>
  <c r="DV149" i="10"/>
  <c r="DV148" i="10"/>
  <c r="JZ147" i="10"/>
  <c r="JZ149" i="10"/>
  <c r="KA148" i="10" l="1"/>
  <c r="DS103" i="10"/>
  <c r="DR222" i="10"/>
  <c r="DW154" i="10"/>
  <c r="DW153" i="10"/>
  <c r="DW152" i="10"/>
  <c r="DW147" i="10"/>
  <c r="DW149" i="10"/>
  <c r="DW148" i="10"/>
  <c r="KA149" i="10"/>
  <c r="KA147" i="10"/>
  <c r="DT103" i="10" l="1"/>
  <c r="DS222" i="10"/>
  <c r="DX153" i="10"/>
  <c r="DX149" i="10"/>
  <c r="DX152" i="10"/>
  <c r="DX154" i="10"/>
  <c r="DX147" i="10"/>
  <c r="DX148" i="10"/>
  <c r="KB148" i="10"/>
  <c r="KB147" i="10"/>
  <c r="KB149" i="10"/>
  <c r="KC149" i="10" l="1"/>
  <c r="KC147" i="10"/>
  <c r="KC148" i="10"/>
  <c r="DU103" i="10"/>
  <c r="DT222" i="10"/>
  <c r="DY148" i="10"/>
  <c r="DY154" i="10"/>
  <c r="DY147" i="10"/>
  <c r="DY153" i="10"/>
  <c r="DY149" i="10"/>
  <c r="DY152" i="10"/>
  <c r="KD148" i="10" l="1"/>
  <c r="KD147" i="10"/>
  <c r="KD149" i="10"/>
  <c r="DV103" i="10"/>
  <c r="DU222" i="10"/>
  <c r="DZ149" i="10"/>
  <c r="DZ154" i="10"/>
  <c r="KE149" i="10" s="1"/>
  <c r="DZ148" i="10"/>
  <c r="DZ153" i="10"/>
  <c r="DZ147" i="10"/>
  <c r="DZ152" i="10"/>
  <c r="KE148" i="10" l="1"/>
  <c r="DW103" i="10"/>
  <c r="DV222" i="10"/>
  <c r="EA154" i="10"/>
  <c r="EA149" i="10"/>
  <c r="EA147" i="10"/>
  <c r="EA152" i="10"/>
  <c r="EA148" i="10"/>
  <c r="EA153" i="10"/>
  <c r="KE147" i="10"/>
  <c r="KF148" i="10" l="1"/>
  <c r="KF147" i="10"/>
  <c r="KF149" i="10"/>
  <c r="DX103" i="10"/>
  <c r="DW222" i="10"/>
  <c r="EB149" i="10"/>
  <c r="EB154" i="10"/>
  <c r="EB148" i="10"/>
  <c r="EB152" i="10"/>
  <c r="EB147" i="10"/>
  <c r="EB153" i="10"/>
  <c r="KG147" i="10" l="1"/>
  <c r="KG148" i="10"/>
  <c r="KG149" i="10"/>
  <c r="DY103" i="10"/>
  <c r="DX222" i="10"/>
  <c r="EC154" i="10"/>
  <c r="EC149" i="10"/>
  <c r="EC153" i="10"/>
  <c r="KH148" i="10" s="1"/>
  <c r="EC147" i="10"/>
  <c r="EC152" i="10"/>
  <c r="EC148" i="10"/>
  <c r="KH149" i="10" l="1"/>
  <c r="DZ103" i="10"/>
  <c r="DY222" i="10"/>
  <c r="ED153" i="10"/>
  <c r="ED148" i="10"/>
  <c r="ED154" i="10"/>
  <c r="ED152" i="10"/>
  <c r="ED149" i="10"/>
  <c r="ED147" i="10"/>
  <c r="KH147" i="10"/>
  <c r="KI149" i="10" l="1"/>
  <c r="KI147" i="10"/>
  <c r="KI148" i="10"/>
  <c r="EA103" i="10"/>
  <c r="DZ222" i="10"/>
  <c r="EE148" i="10"/>
  <c r="EE154" i="10"/>
  <c r="KJ149" i="10" s="1"/>
  <c r="EE153" i="10"/>
  <c r="EE152" i="10"/>
  <c r="EE147" i="10"/>
  <c r="EE149" i="10"/>
  <c r="KJ147" i="10" l="1"/>
  <c r="EB103" i="10"/>
  <c r="EA222" i="10"/>
  <c r="EF153" i="10"/>
  <c r="EF152" i="10"/>
  <c r="EF154" i="10"/>
  <c r="EF147" i="10"/>
  <c r="EF149" i="10"/>
  <c r="EF148" i="10"/>
  <c r="KJ148" i="10"/>
  <c r="KK147" i="10" l="1"/>
  <c r="KK149" i="10"/>
  <c r="KK148" i="10"/>
  <c r="EC103" i="10"/>
  <c r="EB222" i="10"/>
  <c r="EG154" i="10"/>
  <c r="EG152" i="10"/>
  <c r="EG148" i="10"/>
  <c r="EG147" i="10"/>
  <c r="EG149" i="10"/>
  <c r="EG153" i="10"/>
  <c r="KL147" i="10" l="1"/>
  <c r="KL149" i="10"/>
  <c r="KL148" i="10"/>
  <c r="ED103" i="10"/>
  <c r="EC222" i="10"/>
  <c r="EH149" i="10"/>
  <c r="EH154" i="10"/>
  <c r="EH152" i="10"/>
  <c r="EH147" i="10"/>
  <c r="EH148" i="10"/>
  <c r="EH153" i="10"/>
  <c r="KM149" i="10" l="1"/>
  <c r="KM147" i="10"/>
  <c r="EE103" i="10"/>
  <c r="ED222" i="10"/>
  <c r="EI148" i="10"/>
  <c r="EI154" i="10"/>
  <c r="EI149" i="10"/>
  <c r="EI147" i="10"/>
  <c r="EI153" i="10"/>
  <c r="EI152" i="10"/>
  <c r="KM148" i="10"/>
  <c r="KN148" i="10" l="1"/>
  <c r="KN149" i="10"/>
  <c r="EF103" i="10"/>
  <c r="EE222" i="10"/>
  <c r="EJ153" i="10"/>
  <c r="EJ147" i="10"/>
  <c r="EJ149" i="10"/>
  <c r="EJ154" i="10"/>
  <c r="EJ148" i="10"/>
  <c r="EJ152" i="10"/>
  <c r="KN147" i="10"/>
  <c r="KO149" i="10" l="1"/>
  <c r="EG103" i="10"/>
  <c r="EF222" i="10"/>
  <c r="EK148" i="10"/>
  <c r="EK149" i="10"/>
  <c r="EK152" i="10"/>
  <c r="EK154" i="10"/>
  <c r="EK153" i="10"/>
  <c r="KP148" i="10" s="1"/>
  <c r="EK147" i="10"/>
  <c r="KO148" i="10"/>
  <c r="KO147" i="10"/>
  <c r="KP149" i="10" l="1"/>
  <c r="KP147" i="10"/>
  <c r="EH103" i="10"/>
  <c r="EG222" i="10"/>
  <c r="EL152" i="10"/>
  <c r="EL149" i="10"/>
  <c r="EL147" i="10"/>
  <c r="EL148" i="10"/>
  <c r="EL154" i="10"/>
  <c r="EL153" i="10"/>
  <c r="KQ149" i="10" l="1"/>
  <c r="EI103" i="10"/>
  <c r="EH222" i="10"/>
  <c r="EM152" i="10"/>
  <c r="EM149" i="10"/>
  <c r="EM148" i="10"/>
  <c r="EM147" i="10"/>
  <c r="EM154" i="10"/>
  <c r="KR149" i="10" s="1"/>
  <c r="EM153" i="10"/>
  <c r="KQ147" i="10"/>
  <c r="KQ148" i="10"/>
  <c r="KR148" i="10" l="1"/>
  <c r="KR147" i="10"/>
  <c r="EJ103" i="10"/>
  <c r="EI222" i="10"/>
  <c r="EN153" i="10"/>
  <c r="EN154" i="10"/>
  <c r="EN148" i="10"/>
  <c r="EN147" i="10"/>
  <c r="EN149" i="10"/>
  <c r="EN152" i="10"/>
  <c r="KS149" i="10" l="1"/>
  <c r="EK103" i="10"/>
  <c r="EJ222" i="10"/>
  <c r="EO153" i="10"/>
  <c r="EO147" i="10"/>
  <c r="EO154" i="10"/>
  <c r="EO152" i="10"/>
  <c r="KT147" i="10" s="1"/>
  <c r="EO149" i="10"/>
  <c r="EO148" i="10"/>
  <c r="KS148" i="10"/>
  <c r="KS147" i="10"/>
  <c r="KT148" i="10" l="1"/>
  <c r="KT149" i="10"/>
  <c r="EL103" i="10"/>
  <c r="EK222" i="10"/>
  <c r="EP152" i="10"/>
  <c r="EP149" i="10"/>
  <c r="EP154" i="10"/>
  <c r="EP153" i="10"/>
  <c r="KU148" i="10" s="1"/>
  <c r="EP147" i="10"/>
  <c r="EP148" i="10"/>
  <c r="KU149" i="10" l="1"/>
  <c r="KU147" i="10"/>
  <c r="EM103" i="10"/>
  <c r="EL222" i="10"/>
  <c r="EQ153" i="10"/>
  <c r="EQ148" i="10"/>
  <c r="EQ154" i="10"/>
  <c r="EQ152" i="10"/>
  <c r="KV147" i="10" s="1"/>
  <c r="EQ149" i="10"/>
  <c r="EQ147" i="10"/>
  <c r="KV148" i="10" l="1"/>
  <c r="KV149" i="10"/>
  <c r="EN103" i="10"/>
  <c r="EM222" i="10"/>
  <c r="ER148" i="10"/>
  <c r="ER153" i="10"/>
  <c r="ER147" i="10"/>
  <c r="ER152" i="10"/>
  <c r="ER149" i="10"/>
  <c r="ER154" i="10"/>
  <c r="KW147" i="10" l="1"/>
  <c r="KW148" i="10"/>
  <c r="EO103" i="10"/>
  <c r="EN222" i="10"/>
  <c r="ES147" i="10"/>
  <c r="ES154" i="10"/>
  <c r="ES152" i="10"/>
  <c r="KX147" i="10" s="1"/>
  <c r="ES153" i="10"/>
  <c r="ES149" i="10"/>
  <c r="ES148" i="10"/>
  <c r="KW149" i="10"/>
  <c r="KX148" i="10" l="1"/>
  <c r="KX149" i="10"/>
  <c r="EP103" i="10"/>
  <c r="EO222" i="10"/>
  <c r="ET152" i="10"/>
  <c r="ET149" i="10"/>
  <c r="ET148" i="10"/>
  <c r="ET147" i="10"/>
  <c r="ET153" i="10"/>
  <c r="ET154" i="10"/>
  <c r="KY149" i="10" l="1"/>
  <c r="KY147" i="10"/>
  <c r="EQ103" i="10"/>
  <c r="EP222" i="10"/>
  <c r="EU153" i="10"/>
  <c r="KZ148" i="10" s="1"/>
  <c r="EU154" i="10"/>
  <c r="EU152" i="10"/>
  <c r="KZ147" i="10" s="1"/>
  <c r="EU149" i="10"/>
  <c r="EU147" i="10"/>
  <c r="EU148" i="10"/>
  <c r="KY148" i="10"/>
  <c r="KZ149" i="10" l="1"/>
  <c r="ER103" i="10"/>
  <c r="EQ222" i="10"/>
  <c r="EV154" i="10"/>
  <c r="EV149" i="10"/>
  <c r="EV152" i="10"/>
  <c r="EV148" i="10"/>
  <c r="EV153" i="10"/>
  <c r="LA148" i="10" s="1"/>
  <c r="EV147" i="10"/>
  <c r="LA147" i="10" l="1"/>
  <c r="LA149" i="10"/>
  <c r="ES103" i="10"/>
  <c r="ER222" i="10"/>
  <c r="EW153" i="10"/>
  <c r="LB148" i="10" s="1"/>
  <c r="EW147" i="10"/>
  <c r="EW152" i="10"/>
  <c r="LB147" i="10" s="1"/>
  <c r="EW154" i="10"/>
  <c r="LB149" i="10" s="1"/>
  <c r="EW149" i="10"/>
  <c r="EW148" i="10"/>
  <c r="ET103" i="10" l="1"/>
  <c r="ES222" i="10"/>
  <c r="EX153" i="10"/>
  <c r="EX152" i="10"/>
  <c r="EX149" i="10"/>
  <c r="EX154" i="10"/>
  <c r="LC149" i="10" s="1"/>
  <c r="EX147" i="10"/>
  <c r="EX148" i="10"/>
  <c r="LC148" i="10" l="1"/>
  <c r="LC147" i="10"/>
  <c r="EU103" i="10"/>
  <c r="ET222" i="10"/>
  <c r="EY153" i="10"/>
  <c r="EY148" i="10"/>
  <c r="EY154" i="10"/>
  <c r="EY147" i="10"/>
  <c r="EY152" i="10"/>
  <c r="EY149" i="10"/>
  <c r="LD148" i="10" l="1"/>
  <c r="LD149" i="10"/>
  <c r="EV103" i="10"/>
  <c r="EU222" i="10"/>
  <c r="EZ148" i="10"/>
  <c r="EZ153" i="10"/>
  <c r="EZ147" i="10"/>
  <c r="EZ152" i="10"/>
  <c r="LE147" i="10" s="1"/>
  <c r="EZ149" i="10"/>
  <c r="EZ154" i="10"/>
  <c r="LE149" i="10" s="1"/>
  <c r="LD147" i="10"/>
  <c r="LE148" i="10" l="1"/>
  <c r="EW103" i="10"/>
  <c r="EV222" i="10"/>
  <c r="FA153" i="10"/>
  <c r="FA147" i="10"/>
  <c r="FA154" i="10"/>
  <c r="FA148" i="10"/>
  <c r="FA149" i="10"/>
  <c r="FA152" i="10"/>
  <c r="LF147" i="10" l="1"/>
  <c r="LF148" i="10"/>
  <c r="LF149" i="10"/>
  <c r="EX103" i="10"/>
  <c r="EW222" i="10"/>
  <c r="FB154" i="10"/>
  <c r="LG149" i="10" s="1"/>
  <c r="FB153" i="10"/>
  <c r="LG148" i="10" s="1"/>
  <c r="FB147" i="10"/>
  <c r="FB152" i="10"/>
  <c r="FB148" i="10"/>
  <c r="FB149" i="10"/>
  <c r="LG147" i="10" l="1"/>
  <c r="EY103" i="10"/>
  <c r="EX222" i="10"/>
  <c r="FC153" i="10"/>
  <c r="FC154" i="10"/>
  <c r="FC152" i="10"/>
  <c r="FC148" i="10"/>
  <c r="FC149" i="10"/>
  <c r="FC147" i="10"/>
  <c r="LH147" i="10" l="1"/>
  <c r="LH148" i="10"/>
  <c r="LH149" i="10"/>
  <c r="EZ103" i="10"/>
  <c r="EY222" i="10"/>
  <c r="FD148" i="10"/>
  <c r="FD153" i="10"/>
  <c r="FD154" i="10"/>
  <c r="LI149" i="10" s="1"/>
  <c r="FD152" i="10"/>
  <c r="FD147" i="10"/>
  <c r="FD149" i="10"/>
  <c r="LI148" i="10" l="1"/>
  <c r="EZ222" i="10"/>
  <c r="FA103" i="10"/>
  <c r="FE148" i="10"/>
  <c r="FE153" i="10"/>
  <c r="LJ148" i="10" s="1"/>
  <c r="FE152" i="10"/>
  <c r="FE154" i="10"/>
  <c r="FE149" i="10"/>
  <c r="FE147" i="10"/>
  <c r="LI147" i="10"/>
  <c r="LJ149" i="10" l="1"/>
  <c r="FB103" i="10"/>
  <c r="FA222" i="10"/>
  <c r="FF148" i="10"/>
  <c r="FF153" i="10"/>
  <c r="FF152" i="10"/>
  <c r="FF149" i="10"/>
  <c r="FF147" i="10"/>
  <c r="FF154" i="10"/>
  <c r="LJ147" i="10"/>
  <c r="LK147" i="10" l="1"/>
  <c r="LK148" i="10"/>
  <c r="LK149" i="10"/>
  <c r="FC103" i="10"/>
  <c r="FB222" i="10"/>
  <c r="FG147" i="10"/>
  <c r="FG153" i="10"/>
  <c r="FG148" i="10"/>
  <c r="FG154" i="10"/>
  <c r="FG152" i="10"/>
  <c r="FG149" i="10"/>
  <c r="LL147" i="10" l="1"/>
  <c r="LL149" i="10"/>
  <c r="LL148" i="10"/>
  <c r="FD103" i="10"/>
  <c r="FC222" i="10"/>
  <c r="FH148" i="10"/>
  <c r="FH153" i="10"/>
  <c r="FH147" i="10"/>
  <c r="FH154" i="10"/>
  <c r="FH152" i="10"/>
  <c r="FH149" i="10"/>
  <c r="LM148" i="10" l="1"/>
  <c r="LM147" i="10"/>
  <c r="LM149" i="10"/>
  <c r="FE103" i="10"/>
  <c r="FD222" i="10"/>
  <c r="FI153" i="10"/>
  <c r="FI147" i="10"/>
  <c r="FI148" i="10"/>
  <c r="FI154" i="10"/>
  <c r="FI152" i="10"/>
  <c r="FI149" i="10"/>
  <c r="LN147" i="10" l="1"/>
  <c r="LN148" i="10"/>
  <c r="LN149" i="10"/>
  <c r="FE222" i="10"/>
  <c r="FJ153" i="10"/>
  <c r="FJ149" i="10"/>
  <c r="FJ154" i="10"/>
  <c r="FJ147" i="10"/>
  <c r="FJ148" i="10"/>
  <c r="FJ152" i="10"/>
  <c r="LO147" i="10" l="1"/>
  <c r="LO149" i="10"/>
  <c r="LO148" i="10"/>
</calcChain>
</file>

<file path=xl/sharedStrings.xml><?xml version="1.0" encoding="utf-8"?>
<sst xmlns="http://schemas.openxmlformats.org/spreadsheetml/2006/main" count="680" uniqueCount="231">
  <si>
    <t>-</t>
  </si>
  <si>
    <t>frames initial</t>
  </si>
  <si>
    <t>frames cut top</t>
  </si>
  <si>
    <t>frames cut bottom</t>
  </si>
  <si>
    <t>frames final</t>
  </si>
  <si>
    <t>edge frame start</t>
  </si>
  <si>
    <t>edge 1 frame end</t>
  </si>
  <si>
    <t xml:space="preserve">in between </t>
  </si>
  <si>
    <t xml:space="preserve">edge 2 start </t>
  </si>
  <si>
    <t>edge 2 end</t>
  </si>
  <si>
    <t>skin estimate 1</t>
  </si>
  <si>
    <t>skin estimate 2</t>
  </si>
  <si>
    <t xml:space="preserve">core estimate 1 </t>
  </si>
  <si>
    <t>core estimate 2</t>
  </si>
  <si>
    <t>462 (2)</t>
  </si>
  <si>
    <t>510 (2)</t>
  </si>
  <si>
    <t>503 (2)</t>
  </si>
  <si>
    <t>496 (2)</t>
  </si>
  <si>
    <t>442 (3)</t>
  </si>
  <si>
    <t>505 (3)</t>
  </si>
  <si>
    <t>499 (3)</t>
  </si>
  <si>
    <t>472 (3)</t>
  </si>
  <si>
    <t>453 (4)</t>
  </si>
  <si>
    <t>508 (4)</t>
  </si>
  <si>
    <t>501 (4)</t>
  </si>
  <si>
    <t>639 (5)</t>
  </si>
  <si>
    <t>484 (4)</t>
  </si>
  <si>
    <t>650 (5)</t>
  </si>
  <si>
    <t>661 (5)</t>
  </si>
  <si>
    <t>685 (5)</t>
  </si>
  <si>
    <t>514 (8)</t>
  </si>
  <si>
    <t>523 (8)</t>
  </si>
  <si>
    <t>532 (8)</t>
  </si>
  <si>
    <t>542 (8)</t>
  </si>
  <si>
    <t>517 (9)</t>
  </si>
  <si>
    <t>525 (9)</t>
  </si>
  <si>
    <t>534 (9)</t>
  </si>
  <si>
    <t>546 (9)</t>
  </si>
  <si>
    <t>520 (10)</t>
  </si>
  <si>
    <t>530 (10)</t>
  </si>
  <si>
    <t>536(10)</t>
  </si>
  <si>
    <t>553 (10)</t>
  </si>
  <si>
    <t>584 (11)</t>
  </si>
  <si>
    <t>602 (11)</t>
  </si>
  <si>
    <t>614 (11)</t>
  </si>
  <si>
    <t>560(11)</t>
  </si>
  <si>
    <t>588 (12)</t>
  </si>
  <si>
    <t>607(12)</t>
  </si>
  <si>
    <t>617 (12)</t>
  </si>
  <si>
    <t>565 (12)</t>
  </si>
  <si>
    <t>sample and files (from polar integration)</t>
  </si>
  <si>
    <t>sample and files (from azimuthal integration)</t>
  </si>
  <si>
    <t xml:space="preserve">frames cut top </t>
  </si>
  <si>
    <t>Total skin</t>
  </si>
  <si>
    <t>Total core</t>
  </si>
  <si>
    <t>635 (7)</t>
  </si>
  <si>
    <t>642 (6)</t>
  </si>
  <si>
    <t>654 (6)</t>
  </si>
  <si>
    <t>666 (6)</t>
  </si>
  <si>
    <t>689 (6)</t>
  </si>
  <si>
    <t>646 (7)</t>
  </si>
  <si>
    <t>657 (7)</t>
  </si>
  <si>
    <t>672 (7)</t>
  </si>
  <si>
    <t>596 (14)</t>
  </si>
  <si>
    <t>610 (14)</t>
  </si>
  <si>
    <t>631 (14)</t>
  </si>
  <si>
    <t>577 (14)</t>
  </si>
  <si>
    <t>core estimate 3</t>
  </si>
  <si>
    <t>CORE ESTIMATE 3</t>
  </si>
  <si>
    <t>DATA MANIPULATION</t>
  </si>
  <si>
    <t>TOTAL CORE POLAR</t>
  </si>
  <si>
    <t>TOTAL CORE AZIMUTHAL</t>
  </si>
  <si>
    <t>DIFFERENCE</t>
  </si>
  <si>
    <t>FRACTIONAL DIFEFRENCE</t>
  </si>
  <si>
    <t>TOTAL SKIN POLAR</t>
  </si>
  <si>
    <t>TOTAL SKIN AZIMUTHAL</t>
  </si>
  <si>
    <t>AVG</t>
  </si>
  <si>
    <t>SEPS 22 wt % sample number</t>
  </si>
  <si>
    <t>Injection rate mm / s</t>
  </si>
  <si>
    <t>Thickness / mm</t>
  </si>
  <si>
    <t>Processing Temperature / degrees celsius</t>
  </si>
  <si>
    <t>Post extrusion conditions</t>
  </si>
  <si>
    <t>NA</t>
  </si>
  <si>
    <t>annealing for 30 min at 180 degrees</t>
  </si>
  <si>
    <t>cooling at 180 degrees</t>
  </si>
  <si>
    <t>annealing for 60 min at 180 degrees</t>
  </si>
  <si>
    <t>SAMPLE DATA</t>
  </si>
  <si>
    <t>Perpendicular orientation analysis</t>
  </si>
  <si>
    <t xml:space="preserve">sample and files </t>
  </si>
  <si>
    <t>skin fraction total</t>
  </si>
  <si>
    <t>PROCESSING CONDITION</t>
  </si>
  <si>
    <t>Thickness position</t>
  </si>
  <si>
    <t>Distance from injection point</t>
  </si>
  <si>
    <t>FOR THICKNESS</t>
  </si>
  <si>
    <t>12mm</t>
  </si>
  <si>
    <t>27mm</t>
  </si>
  <si>
    <t>42mm</t>
  </si>
  <si>
    <t xml:space="preserve">             distance from injection point</t>
  </si>
  <si>
    <t>thickness</t>
  </si>
  <si>
    <t>annealing</t>
  </si>
  <si>
    <t>Sample</t>
  </si>
  <si>
    <t>perp</t>
  </si>
  <si>
    <t>mm</t>
  </si>
  <si>
    <t>minutes</t>
  </si>
  <si>
    <t>565+566</t>
  </si>
  <si>
    <t>596+597+598</t>
  </si>
  <si>
    <t>core fraction</t>
  </si>
  <si>
    <t>skin fraction</t>
  </si>
  <si>
    <t>sample files from polar</t>
  </si>
  <si>
    <t>sample number</t>
  </si>
  <si>
    <t>annealing time</t>
  </si>
  <si>
    <t>cooling</t>
  </si>
  <si>
    <t>3 &amp; 4 frames core</t>
  </si>
  <si>
    <t>annealing at 180 degrees 60 min</t>
  </si>
  <si>
    <t>annealing at 180 degrees 30 min</t>
  </si>
  <si>
    <t>annealing at 180 degrees 60 min and cooling</t>
  </si>
  <si>
    <t>sample</t>
  </si>
  <si>
    <t>core fraction total</t>
  </si>
  <si>
    <t>plot thickness of skin layer combined top and bottom</t>
  </si>
  <si>
    <t>calculate nominal shear rate</t>
  </si>
  <si>
    <t>2014 paper jacob on shear rate and fractions</t>
  </si>
  <si>
    <t>Plots at different injection points</t>
  </si>
  <si>
    <t>0 annealing</t>
  </si>
  <si>
    <t xml:space="preserve">12 mm </t>
  </si>
  <si>
    <t xml:space="preserve">27 mm </t>
  </si>
  <si>
    <t>42 mm</t>
  </si>
  <si>
    <t>30 annealing</t>
  </si>
  <si>
    <t>60 annealing</t>
  </si>
  <si>
    <t>compare perpendicular with 42 mm</t>
  </si>
  <si>
    <t>perpendicular</t>
  </si>
  <si>
    <t>parallel</t>
  </si>
  <si>
    <t>Piston diameter</t>
  </si>
  <si>
    <t>injection rate</t>
  </si>
  <si>
    <t>Entrance gap</t>
  </si>
  <si>
    <t>Brubert  thesis 2016</t>
  </si>
  <si>
    <t>CASE 1 (ASSUME NEWTONIAN)</t>
  </si>
  <si>
    <t>Q</t>
  </si>
  <si>
    <t>Thicknesses</t>
  </si>
  <si>
    <t>Distances from injection pt</t>
  </si>
  <si>
    <t>strain rate</t>
  </si>
  <si>
    <t>extension rate</t>
  </si>
  <si>
    <t>0.3 mm</t>
  </si>
  <si>
    <t>z range</t>
  </si>
  <si>
    <t>0.5 mm</t>
  </si>
  <si>
    <t>1 mm</t>
  </si>
  <si>
    <t>1.6 mm</t>
  </si>
  <si>
    <t>ratio</t>
  </si>
  <si>
    <t>Power  law case</t>
  </si>
  <si>
    <t>Q/4PI</t>
  </si>
  <si>
    <t>2n+1</t>
  </si>
  <si>
    <t>n+1</t>
  </si>
  <si>
    <t>2n+1/n+1</t>
  </si>
  <si>
    <t>1+n/n</t>
  </si>
  <si>
    <t>1/n</t>
  </si>
  <si>
    <t xml:space="preserve">CASE 1 </t>
  </si>
  <si>
    <t>CASE 1</t>
  </si>
  <si>
    <t>REVERSE SKIN AND CORE</t>
  </si>
  <si>
    <t>SKIN fraction total</t>
  </si>
  <si>
    <t>CORE fraction total</t>
  </si>
  <si>
    <t>transition z</t>
  </si>
  <si>
    <t>core thickness</t>
  </si>
  <si>
    <t>Transition z</t>
  </si>
  <si>
    <t>Actual core fraction</t>
  </si>
  <si>
    <t>actual core fraction</t>
  </si>
  <si>
    <t>Transition</t>
  </si>
  <si>
    <t>cor efraction</t>
  </si>
  <si>
    <t>shear rate at wall</t>
  </si>
  <si>
    <t>SAMPLES PARALLEL</t>
  </si>
  <si>
    <t>2 NA</t>
  </si>
  <si>
    <t>4 30 MIN</t>
  </si>
  <si>
    <t>3 60 MIN</t>
  </si>
  <si>
    <t>7 30 MIN</t>
  </si>
  <si>
    <t>6 60 MIN</t>
  </si>
  <si>
    <t>5 NA</t>
  </si>
  <si>
    <t>8 NA</t>
  </si>
  <si>
    <t>10 30 MIN</t>
  </si>
  <si>
    <t>9 60 MIN</t>
  </si>
  <si>
    <t>fractions of thickness</t>
  </si>
  <si>
    <t xml:space="preserve"> DIFFERENCE</t>
  </si>
  <si>
    <t>dpiston</t>
  </si>
  <si>
    <t>Apiston</t>
  </si>
  <si>
    <t>Ratio</t>
  </si>
  <si>
    <t>normalise for 0.3</t>
  </si>
  <si>
    <t>for  0.5</t>
  </si>
  <si>
    <t>for 1 mm</t>
  </si>
  <si>
    <t>FOR 1,6 MM</t>
  </si>
  <si>
    <t>psi</t>
  </si>
  <si>
    <t>r</t>
  </si>
  <si>
    <t>b</t>
  </si>
  <si>
    <t>estimated core fractions</t>
  </si>
  <si>
    <t>z</t>
  </si>
  <si>
    <t>experimental</t>
  </si>
  <si>
    <t>square errors</t>
  </si>
  <si>
    <t>sum square errors</t>
  </si>
  <si>
    <t>find critical psi for all newtonian</t>
  </si>
  <si>
    <t>1mm</t>
  </si>
  <si>
    <t>samples 5 8 2 and 12</t>
  </si>
  <si>
    <t>for all samples</t>
  </si>
  <si>
    <t>sample 6</t>
  </si>
  <si>
    <t>sample 10</t>
  </si>
  <si>
    <t>sample 3</t>
  </si>
  <si>
    <t>sample 11</t>
  </si>
  <si>
    <t>sample 5</t>
  </si>
  <si>
    <t>sample 8</t>
  </si>
  <si>
    <t>sample 2</t>
  </si>
  <si>
    <t>sample 12</t>
  </si>
  <si>
    <t>sample 7</t>
  </si>
  <si>
    <t>sample 9</t>
  </si>
  <si>
    <t>sample 4</t>
  </si>
  <si>
    <t>sample 14</t>
  </si>
  <si>
    <t>core fraction estimates</t>
  </si>
  <si>
    <t>MSE</t>
  </si>
  <si>
    <t>mse sum</t>
  </si>
  <si>
    <t>ALL SAMPLES</t>
  </si>
  <si>
    <t>SAMPLES 5, 8, 2 12</t>
  </si>
  <si>
    <t>SAMPLES 6, 10, 3 11</t>
  </si>
  <si>
    <t>SAMPLES 7, 9, 4 14</t>
  </si>
  <si>
    <t>SAMPLES</t>
  </si>
  <si>
    <t>PSI OPTIMAL</t>
  </si>
  <si>
    <t>OUTLIERS</t>
  </si>
  <si>
    <t>STDV</t>
  </si>
  <si>
    <t>Ptimisation for all</t>
  </si>
  <si>
    <t>thickness psi</t>
  </si>
  <si>
    <t>including outliers</t>
  </si>
  <si>
    <t>clear trend for psi to increase with thickness despite outliers</t>
  </si>
  <si>
    <t>30 MIN</t>
  </si>
  <si>
    <t>60 MIN</t>
  </si>
  <si>
    <t>AVERAGE</t>
  </si>
  <si>
    <t>stdv</t>
  </si>
  <si>
    <t>average no outliers</t>
  </si>
  <si>
    <t>stdve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</si>
</sst>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3" fillId="0" borderId="0" xfId="0" applyFont="1" applyBorder="1"/>
    <xf numFmtId="0" fontId="0" fillId="0" borderId="0" xfId="0" applyBorder="1"/>
    <xf numFmtId="16" fontId="0" fillId="0" borderId="0" xfId="0" applyNumberFormat="1"/>
    <xf numFmtId="0" fontId="9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quenching and thickness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2"/>
          <c:order val="0"/>
          <c:tx>
            <c:v>Core fraction, 1.6 mm , quenched (12)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'estimates new'!$AT$85:$AT$87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new'!$AU$85:$AU$87</c:f>
              <c:numCache>
                <c:formatCode>General</c:formatCode>
                <c:ptCount val="3"/>
                <c:pt idx="0">
                  <c:v>0.58857142857142852</c:v>
                </c:pt>
                <c:pt idx="1">
                  <c:v>0.62962962962962965</c:v>
                </c:pt>
                <c:pt idx="2">
                  <c:v>0.60509554140127386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C-459A-97F2-2E91ACC8B45A}"/>
            </c:ext>
          </c:extLst>
        </c:ser>
        <c:ser>
          <c:idx val="4"/>
          <c:order val="1"/>
          <c:tx>
            <c:v>Core fraction, 0.5 mm, annealed 60 min &amp; quenched (9)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new'!$AT$76:$AT$78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new'!$AU$76:$AU$78</c:f>
              <c:numCache>
                <c:formatCode>General</c:formatCode>
                <c:ptCount val="3"/>
                <c:pt idx="0">
                  <c:v>0.56164383561643838</c:v>
                </c:pt>
                <c:pt idx="1">
                  <c:v>0.46969696969696972</c:v>
                </c:pt>
                <c:pt idx="2">
                  <c:v>0.2537313432835821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C-459A-97F2-2E91ACC8B45A}"/>
            </c:ext>
          </c:extLst>
        </c:ser>
        <c:ser>
          <c:idx val="3"/>
          <c:order val="2"/>
          <c:tx>
            <c:v>Skin fraction, 1.6 mm, quenched (12)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'estimates new'!$AT$85:$AT$87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new'!$AV$85:$AV$87</c:f>
              <c:numCache>
                <c:formatCode>General</c:formatCode>
                <c:ptCount val="3"/>
                <c:pt idx="0">
                  <c:v>0.41142857142857137</c:v>
                </c:pt>
                <c:pt idx="1">
                  <c:v>0.37037037037037035</c:v>
                </c:pt>
                <c:pt idx="2">
                  <c:v>0.39490445859872614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C-459A-97F2-2E91ACC8B45A}"/>
            </c:ext>
          </c:extLst>
        </c:ser>
        <c:ser>
          <c:idx val="5"/>
          <c:order val="3"/>
          <c:tx>
            <c:v>Skin fraction, 0.5 mm, annealed 60 min &amp; quenched (9)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new'!$AT$76:$AT$78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new'!$AV$76:$AV$78</c:f>
              <c:numCache>
                <c:formatCode>General</c:formatCode>
                <c:ptCount val="3"/>
                <c:pt idx="0">
                  <c:v>0.43835616438356162</c:v>
                </c:pt>
                <c:pt idx="1">
                  <c:v>0.53030303030303028</c:v>
                </c:pt>
                <c:pt idx="2">
                  <c:v>0.74626865671641784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C-459A-97F2-2E91ACC8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9380633603340943E-2"/>
          <c:y val="9.3348885476697327E-2"/>
          <c:w val="0.30853285323193463"/>
          <c:h val="0.272280081211302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60 min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Skin fraction perpendicular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new'!$BK$5:$BK$8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'estimates new'!$BJ$5:$BJ$8</c:f>
              <c:numCache>
                <c:formatCode>General</c:formatCode>
                <c:ptCount val="4"/>
                <c:pt idx="0">
                  <c:v>0.64835164835164827</c:v>
                </c:pt>
                <c:pt idx="1">
                  <c:v>0.7857142857142857</c:v>
                </c:pt>
                <c:pt idx="2">
                  <c:v>0.68292682926829262</c:v>
                </c:pt>
                <c:pt idx="3">
                  <c:v>9.8837209302325535E-2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5-49DC-BF29-540F1EFF616A}"/>
            </c:ext>
          </c:extLst>
        </c:ser>
        <c:ser>
          <c:idx val="0"/>
          <c:order val="1"/>
          <c:tx>
            <c:v>Skin fraction 42 mm parallel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new'!$BK$14:$BK$17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'estimates new'!$BJ$14:$BJ$17</c:f>
              <c:numCache>
                <c:formatCode>General</c:formatCode>
                <c:ptCount val="4"/>
                <c:pt idx="0">
                  <c:v>0.68493150684931503</c:v>
                </c:pt>
                <c:pt idx="1">
                  <c:v>0.74626865671641784</c:v>
                </c:pt>
                <c:pt idx="2">
                  <c:v>0.66292134831460681</c:v>
                </c:pt>
                <c:pt idx="3">
                  <c:v>9.5238095238095233E-2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5-49DC-BF29-540F1EFF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96981310485414"/>
          <c:y val="6.1134118517230378E-2"/>
          <c:w val="0.14618814771919963"/>
          <c:h val="0.189679730434603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No</a:t>
            </a:r>
            <a:r>
              <a:rPr lang="en-GB" baseline="0">
                <a:solidFill>
                  <a:sysClr val="windowText" lastClr="000000"/>
                </a:solidFill>
              </a:rPr>
              <a:t>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Skin fraction 12 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'Plots for injection pts'!$L$8:$L$11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pts'!$K$8:$K$11</c:f>
              <c:numCache>
                <c:formatCode>General</c:formatCode>
                <c:ptCount val="4"/>
                <c:pt idx="0">
                  <c:v>0.68</c:v>
                </c:pt>
                <c:pt idx="1">
                  <c:v>0.64473684210526316</c:v>
                </c:pt>
                <c:pt idx="2">
                  <c:v>0.5977011494252874</c:v>
                </c:pt>
                <c:pt idx="3">
                  <c:v>0.41142857142857137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3-4672-8C7D-29A7655B23B4}"/>
            </c:ext>
          </c:extLst>
        </c:ser>
        <c:ser>
          <c:idx val="0"/>
          <c:order val="1"/>
          <c:tx>
            <c:v>Skin fraction 27 mm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'Plots for injection pts'!$O$8:$O$11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pts'!$N$8:$N$11</c:f>
              <c:numCache>
                <c:formatCode>General</c:formatCode>
                <c:ptCount val="4"/>
                <c:pt idx="0">
                  <c:v>0.9</c:v>
                </c:pt>
                <c:pt idx="1">
                  <c:v>0.69696969696969702</c:v>
                </c:pt>
                <c:pt idx="2">
                  <c:v>0.58888888888888891</c:v>
                </c:pt>
                <c:pt idx="3">
                  <c:v>0.37037037037037035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C3-4672-8C7D-29A7655B23B4}"/>
            </c:ext>
          </c:extLst>
        </c:ser>
        <c:ser>
          <c:idx val="1"/>
          <c:order val="2"/>
          <c:tx>
            <c:v>Skin fraction 42 mm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'Plots for injection pts'!$R$8:$R$11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pts'!$Q$8:$Q$11</c:f>
              <c:numCache>
                <c:formatCode>General</c:formatCode>
                <c:ptCount val="4"/>
                <c:pt idx="0">
                  <c:v>1</c:v>
                </c:pt>
                <c:pt idx="1">
                  <c:v>0.95774647887323949</c:v>
                </c:pt>
                <c:pt idx="2">
                  <c:v>0.60919540229885061</c:v>
                </c:pt>
                <c:pt idx="3">
                  <c:v>0.39490445859872614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C3-4672-8C7D-29A7655B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46678437431032"/>
          <c:y val="6.6841459090241806E-2"/>
          <c:w val="0.14786422999050022"/>
          <c:h val="0.17257503410838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30 min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Skin fraction 12 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'Plots for injection pts'!$V$3:$V$6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pts'!$U$3:$U$6</c:f>
              <c:numCache>
                <c:formatCode>General</c:formatCode>
                <c:ptCount val="4"/>
                <c:pt idx="0">
                  <c:v>1</c:v>
                </c:pt>
                <c:pt idx="1">
                  <c:v>0.60526315789473684</c:v>
                </c:pt>
                <c:pt idx="2">
                  <c:v>0.3932584269662921</c:v>
                </c:pt>
                <c:pt idx="3">
                  <c:v>0.2484472049689441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2-4CCE-BC94-9680A588D3A0}"/>
            </c:ext>
          </c:extLst>
        </c:ser>
        <c:ser>
          <c:idx val="0"/>
          <c:order val="1"/>
          <c:tx>
            <c:v>Skin fraction 27 mm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'Plots for injection pts'!$Y$3:$Y$6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pts'!$X$3:$X$6</c:f>
              <c:numCache>
                <c:formatCode>General</c:formatCode>
                <c:ptCount val="4"/>
                <c:pt idx="0">
                  <c:v>0.69230769230769229</c:v>
                </c:pt>
                <c:pt idx="1">
                  <c:v>0.68421052631578949</c:v>
                </c:pt>
                <c:pt idx="2">
                  <c:v>0.6067415730337079</c:v>
                </c:pt>
                <c:pt idx="3">
                  <c:v>0.42690058479532161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2-4CCE-BC94-9680A588D3A0}"/>
            </c:ext>
          </c:extLst>
        </c:ser>
        <c:ser>
          <c:idx val="1"/>
          <c:order val="2"/>
          <c:tx>
            <c:v>Skin fraction 42 mm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'Plots for injection pts'!$AB$3:$AB$6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pts'!$AA$3:$AA$6</c:f>
              <c:numCache>
                <c:formatCode>General</c:formatCode>
                <c:ptCount val="4"/>
                <c:pt idx="0">
                  <c:v>1</c:v>
                </c:pt>
                <c:pt idx="1">
                  <c:v>0.71641791044776126</c:v>
                </c:pt>
                <c:pt idx="2">
                  <c:v>0.67777777777777781</c:v>
                </c:pt>
                <c:pt idx="3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2-4CCE-BC94-9680A588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13567765058102157"/>
          <c:h val="0.189679730434603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60 min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Skin fraction 12 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'Plots for injection pts'!$V$11:$V$14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pts'!$U$11:$U$14</c:f>
              <c:numCache>
                <c:formatCode>General</c:formatCode>
                <c:ptCount val="4"/>
                <c:pt idx="0">
                  <c:v>1</c:v>
                </c:pt>
                <c:pt idx="1">
                  <c:v>0.43835616438356162</c:v>
                </c:pt>
                <c:pt idx="2">
                  <c:v>0.43181818181818182</c:v>
                </c:pt>
                <c:pt idx="3">
                  <c:v>0.19892473118279569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E-4B69-BC0A-8F10CBF5E8B5}"/>
            </c:ext>
          </c:extLst>
        </c:ser>
        <c:ser>
          <c:idx val="0"/>
          <c:order val="1"/>
          <c:tx>
            <c:v>Skin fraction 27 mm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'Plots for injection pts'!$Y$11:$Y$14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pts'!$X$11:$X$14</c:f>
              <c:numCache>
                <c:formatCode>General</c:formatCode>
                <c:ptCount val="4"/>
                <c:pt idx="0">
                  <c:v>0.70370370370370372</c:v>
                </c:pt>
                <c:pt idx="1">
                  <c:v>0.53030303030303028</c:v>
                </c:pt>
                <c:pt idx="2">
                  <c:v>0.62222222222222223</c:v>
                </c:pt>
                <c:pt idx="3">
                  <c:v>8.9285714285714288E-2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E-4B69-BC0A-8F10CBF5E8B5}"/>
            </c:ext>
          </c:extLst>
        </c:ser>
        <c:ser>
          <c:idx val="1"/>
          <c:order val="2"/>
          <c:tx>
            <c:v>Skin fraction 42 mm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'Plots for injection pts'!$AB$11:$AB$14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pts'!$AA$11:$AA$14</c:f>
              <c:numCache>
                <c:formatCode>General</c:formatCode>
                <c:ptCount val="4"/>
                <c:pt idx="0">
                  <c:v>0.68493150684931503</c:v>
                </c:pt>
                <c:pt idx="1">
                  <c:v>0.74626865671641784</c:v>
                </c:pt>
                <c:pt idx="2">
                  <c:v>0.66292134831460681</c:v>
                </c:pt>
                <c:pt idx="3">
                  <c:v>9.5238095238095233E-2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E-4B69-BC0A-8F10CBF5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</a:t>
                </a:r>
                <a:r>
                  <a:rPr lang="en-GB" sz="1600">
                    <a:solidFill>
                      <a:schemeClr val="tx1"/>
                    </a:solidFill>
                  </a:rPr>
                  <a:t>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13567765058102157"/>
          <c:h val="0.189679730434603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12 mm distance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Skin fraction 30 min annealing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'Plots for injection pts'!$V$3:$V$6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pts'!$U$3:$U$6</c:f>
              <c:numCache>
                <c:formatCode>General</c:formatCode>
                <c:ptCount val="4"/>
                <c:pt idx="0">
                  <c:v>1</c:v>
                </c:pt>
                <c:pt idx="1">
                  <c:v>0.60526315789473684</c:v>
                </c:pt>
                <c:pt idx="2">
                  <c:v>0.3932584269662921</c:v>
                </c:pt>
                <c:pt idx="3">
                  <c:v>0.2484472049689441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0-444D-B2E9-32BFCBA64A8A}"/>
            </c:ext>
          </c:extLst>
        </c:ser>
        <c:ser>
          <c:idx val="1"/>
          <c:order val="1"/>
          <c:tx>
            <c:v>Skin fraction 60 min annealing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'Plots for injection pts'!$V$11:$V$14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pts'!$U$11:$U$14</c:f>
              <c:numCache>
                <c:formatCode>General</c:formatCode>
                <c:ptCount val="4"/>
                <c:pt idx="0">
                  <c:v>1</c:v>
                </c:pt>
                <c:pt idx="1">
                  <c:v>0.43835616438356162</c:v>
                </c:pt>
                <c:pt idx="2">
                  <c:v>0.43181818181818182</c:v>
                </c:pt>
                <c:pt idx="3">
                  <c:v>0.19892473118279569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0-444D-B2E9-32BFCBA64A8A}"/>
            </c:ext>
          </c:extLst>
        </c:ser>
        <c:ser>
          <c:idx val="2"/>
          <c:order val="2"/>
          <c:tx>
            <c:v>Skin fraction no annealing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'Plots for injection pts'!$L$8:$L$11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pts'!$K$8:$K$11</c:f>
              <c:numCache>
                <c:formatCode>General</c:formatCode>
                <c:ptCount val="4"/>
                <c:pt idx="0">
                  <c:v>0.68</c:v>
                </c:pt>
                <c:pt idx="1">
                  <c:v>0.64473684210526316</c:v>
                </c:pt>
                <c:pt idx="2">
                  <c:v>0.5977011494252874</c:v>
                </c:pt>
                <c:pt idx="3">
                  <c:v>0.41142857142857137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0-444D-B2E9-32BFCBA6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21332467299220728"/>
          <c:h val="0.1326201042162146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27 mm distance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Skin fraction 30 min annealing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'Plots for injection pts'!$Y$3:$Y$6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pts'!$X$3:$X$6</c:f>
              <c:numCache>
                <c:formatCode>General</c:formatCode>
                <c:ptCount val="4"/>
                <c:pt idx="0">
                  <c:v>0.69230769230769229</c:v>
                </c:pt>
                <c:pt idx="1">
                  <c:v>0.68421052631578949</c:v>
                </c:pt>
                <c:pt idx="2">
                  <c:v>0.6067415730337079</c:v>
                </c:pt>
                <c:pt idx="3">
                  <c:v>0.42690058479532161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E-43F8-A0FB-D0AB7D214B77}"/>
            </c:ext>
          </c:extLst>
        </c:ser>
        <c:ser>
          <c:idx val="1"/>
          <c:order val="1"/>
          <c:tx>
            <c:v>Skin fraction 60 min annealing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'Plots for injection pts'!$Y$11:$Y$14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pts'!$X$11:$X$14</c:f>
              <c:numCache>
                <c:formatCode>General</c:formatCode>
                <c:ptCount val="4"/>
                <c:pt idx="0">
                  <c:v>0.70370370370370372</c:v>
                </c:pt>
                <c:pt idx="1">
                  <c:v>0.53030303030303028</c:v>
                </c:pt>
                <c:pt idx="2">
                  <c:v>0.62222222222222223</c:v>
                </c:pt>
                <c:pt idx="3">
                  <c:v>8.9285714285714288E-2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E-43F8-A0FB-D0AB7D214B77}"/>
            </c:ext>
          </c:extLst>
        </c:ser>
        <c:ser>
          <c:idx val="2"/>
          <c:order val="2"/>
          <c:tx>
            <c:v>Skin fraction no annealing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'Plots for injection pts'!$O$8:$O$11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pts'!$N$8:$N$11</c:f>
              <c:numCache>
                <c:formatCode>General</c:formatCode>
                <c:ptCount val="4"/>
                <c:pt idx="0">
                  <c:v>0.9</c:v>
                </c:pt>
                <c:pt idx="1">
                  <c:v>0.69696969696969702</c:v>
                </c:pt>
                <c:pt idx="2">
                  <c:v>0.58888888888888891</c:v>
                </c:pt>
                <c:pt idx="3">
                  <c:v>0.37037037037037035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E-43F8-A0FB-D0AB7D21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19169591142037942"/>
          <c:h val="0.197259829890720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42 mm distance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Skin fraction 30 min annealing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'Plots for injection pts'!$AB$3:$AB$6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pts'!$AA$3:$AA$6</c:f>
              <c:numCache>
                <c:formatCode>General</c:formatCode>
                <c:ptCount val="4"/>
                <c:pt idx="0">
                  <c:v>1</c:v>
                </c:pt>
                <c:pt idx="1">
                  <c:v>0.71641791044776126</c:v>
                </c:pt>
                <c:pt idx="2">
                  <c:v>0.67777777777777781</c:v>
                </c:pt>
                <c:pt idx="3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6-4967-B2B4-21E697047EC4}"/>
            </c:ext>
          </c:extLst>
        </c:ser>
        <c:ser>
          <c:idx val="1"/>
          <c:order val="1"/>
          <c:tx>
            <c:v>Skin fraction 60 min annealing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'Plots for injection pts'!$AB$11:$AB$14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pts'!$AA$11:$AA$14</c:f>
              <c:numCache>
                <c:formatCode>General</c:formatCode>
                <c:ptCount val="4"/>
                <c:pt idx="0">
                  <c:v>0.68493150684931503</c:v>
                </c:pt>
                <c:pt idx="1">
                  <c:v>0.74626865671641784</c:v>
                </c:pt>
                <c:pt idx="2">
                  <c:v>0.66292134831460681</c:v>
                </c:pt>
                <c:pt idx="3">
                  <c:v>9.5238095238095233E-2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6-4967-B2B4-21E697047EC4}"/>
            </c:ext>
          </c:extLst>
        </c:ser>
        <c:ser>
          <c:idx val="2"/>
          <c:order val="2"/>
          <c:tx>
            <c:v>Skin fraction no annealing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'Plots for injection pts'!$R$8:$R$11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'Plots for injection pts'!$Q$8:$Q$11</c:f>
              <c:numCache>
                <c:formatCode>General</c:formatCode>
                <c:ptCount val="4"/>
                <c:pt idx="0">
                  <c:v>1</c:v>
                </c:pt>
                <c:pt idx="1">
                  <c:v>0.95774647887323949</c:v>
                </c:pt>
                <c:pt idx="2">
                  <c:v>0.60919540229885061</c:v>
                </c:pt>
                <c:pt idx="3">
                  <c:v>0.39490445859872614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6-4967-B2B4-21E69704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19169591142037942"/>
          <c:h val="0.217367640967211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12 mm distance from injection pt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Extension rate 0.3 mm Newtonian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rates'!$B$8:$Q$8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</c:numCache>
            </c:numRef>
          </c:xVal>
          <c:yVal>
            <c:numRef>
              <c:f>'shear rates'!$G$14:$V$14</c:f>
              <c:numCache>
                <c:formatCode>General</c:formatCode>
                <c:ptCount val="16"/>
                <c:pt idx="0">
                  <c:v>2.7621358640099518</c:v>
                </c:pt>
                <c:pt idx="1">
                  <c:v>2.749859704614352</c:v>
                </c:pt>
                <c:pt idx="2">
                  <c:v>2.7130312264275527</c:v>
                </c:pt>
                <c:pt idx="3">
                  <c:v>2.6516504294495538</c:v>
                </c:pt>
                <c:pt idx="4">
                  <c:v>2.5657173136803553</c:v>
                </c:pt>
                <c:pt idx="5">
                  <c:v>2.4552318791199572</c:v>
                </c:pt>
                <c:pt idx="6">
                  <c:v>2.3201941257683596</c:v>
                </c:pt>
                <c:pt idx="7">
                  <c:v>2.160604053625562</c:v>
                </c:pt>
                <c:pt idx="8">
                  <c:v>1.9764616626915654</c:v>
                </c:pt>
                <c:pt idx="9">
                  <c:v>1.7677669529663689</c:v>
                </c:pt>
                <c:pt idx="10">
                  <c:v>1.534519924449973</c:v>
                </c:pt>
                <c:pt idx="11">
                  <c:v>1.2767205771423773</c:v>
                </c:pt>
                <c:pt idx="12">
                  <c:v>0.99436891104358227</c:v>
                </c:pt>
                <c:pt idx="13">
                  <c:v>0.68746492615358723</c:v>
                </c:pt>
                <c:pt idx="14">
                  <c:v>0.35600862247239301</c:v>
                </c:pt>
                <c:pt idx="15">
                  <c:v>6.1331736667334975E-16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1-4F64-8E0E-57B0ACB8FF8A}"/>
            </c:ext>
          </c:extLst>
        </c:ser>
        <c:ser>
          <c:idx val="1"/>
          <c:order val="1"/>
          <c:tx>
            <c:v>Extension rate 0.5 mm Newtonian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rates'!$B$8:$AA$8</c:f>
              <c:numCache>
                <c:formatCode>General</c:formatCode>
                <c:ptCount val="2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</c:numCache>
            </c:numRef>
          </c:xVal>
          <c:yVal>
            <c:numRef>
              <c:f>'shear rates'!$G$27:$AF$27</c:f>
              <c:numCache>
                <c:formatCode>General</c:formatCode>
                <c:ptCount val="26"/>
                <c:pt idx="0">
                  <c:v>1.6572815184059708</c:v>
                </c:pt>
                <c:pt idx="1">
                  <c:v>1.6546298679765212</c:v>
                </c:pt>
                <c:pt idx="2">
                  <c:v>1.6466749166881727</c:v>
                </c:pt>
                <c:pt idx="3">
                  <c:v>1.6334166645409249</c:v>
                </c:pt>
                <c:pt idx="4">
                  <c:v>1.614855111534778</c:v>
                </c:pt>
                <c:pt idx="5">
                  <c:v>1.5909902576697319</c:v>
                </c:pt>
                <c:pt idx="6">
                  <c:v>1.5618221029457868</c:v>
                </c:pt>
                <c:pt idx="7">
                  <c:v>1.5273506473629426</c:v>
                </c:pt>
                <c:pt idx="8">
                  <c:v>1.4875758909211994</c:v>
                </c:pt>
                <c:pt idx="9">
                  <c:v>1.4424978336205569</c:v>
                </c:pt>
                <c:pt idx="10">
                  <c:v>1.3921164754610154</c:v>
                </c:pt>
                <c:pt idx="11">
                  <c:v>1.3364318164425748</c:v>
                </c:pt>
                <c:pt idx="12">
                  <c:v>1.2754438565652351</c:v>
                </c:pt>
                <c:pt idx="13">
                  <c:v>1.2091525958289964</c:v>
                </c:pt>
                <c:pt idx="14">
                  <c:v>1.1375580342338583</c:v>
                </c:pt>
                <c:pt idx="15">
                  <c:v>1.0606601717798212</c:v>
                </c:pt>
                <c:pt idx="16">
                  <c:v>0.97845900846688505</c:v>
                </c:pt>
                <c:pt idx="17">
                  <c:v>0.89095454429504972</c:v>
                </c:pt>
                <c:pt idx="18">
                  <c:v>0.79814677926431543</c:v>
                </c:pt>
                <c:pt idx="19">
                  <c:v>0.70003571337468184</c:v>
                </c:pt>
                <c:pt idx="20">
                  <c:v>0.59662134662614952</c:v>
                </c:pt>
                <c:pt idx="21">
                  <c:v>0.48790367901871762</c:v>
                </c:pt>
                <c:pt idx="22">
                  <c:v>0.37388271055238687</c:v>
                </c:pt>
                <c:pt idx="23">
                  <c:v>0.25455844122715687</c:v>
                </c:pt>
                <c:pt idx="24">
                  <c:v>0.12993087104302797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1-4F64-8E0E-57B0ACB8FF8A}"/>
            </c:ext>
          </c:extLst>
        </c:ser>
        <c:ser>
          <c:idx val="2"/>
          <c:order val="2"/>
          <c:tx>
            <c:v>Extension rate 1mm Newtonian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rates'!$B$8:$AZ$8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  <c:pt idx="41">
                  <c:v>4.1000000000000042E-4</c:v>
                </c:pt>
                <c:pt idx="42">
                  <c:v>4.2000000000000045E-4</c:v>
                </c:pt>
                <c:pt idx="43">
                  <c:v>4.3000000000000048E-4</c:v>
                </c:pt>
                <c:pt idx="44">
                  <c:v>4.400000000000005E-4</c:v>
                </c:pt>
                <c:pt idx="45">
                  <c:v>4.5000000000000053E-4</c:v>
                </c:pt>
                <c:pt idx="46">
                  <c:v>4.6000000000000056E-4</c:v>
                </c:pt>
                <c:pt idx="47">
                  <c:v>4.7000000000000058E-4</c:v>
                </c:pt>
                <c:pt idx="48">
                  <c:v>4.8000000000000061E-4</c:v>
                </c:pt>
                <c:pt idx="49">
                  <c:v>4.9000000000000063E-4</c:v>
                </c:pt>
                <c:pt idx="50">
                  <c:v>5.0000000000000066E-4</c:v>
                </c:pt>
              </c:numCache>
            </c:numRef>
          </c:xVal>
          <c:yVal>
            <c:numRef>
              <c:f>'shear rates'!$G$40:$BE$40</c:f>
              <c:numCache>
                <c:formatCode>General</c:formatCode>
                <c:ptCount val="51"/>
                <c:pt idx="0">
                  <c:v>0.82864075920298541</c:v>
                </c:pt>
                <c:pt idx="1">
                  <c:v>0.82830930289930427</c:v>
                </c:pt>
                <c:pt idx="2">
                  <c:v>0.82731493398826061</c:v>
                </c:pt>
                <c:pt idx="3">
                  <c:v>0.82565765246985467</c:v>
                </c:pt>
                <c:pt idx="4">
                  <c:v>0.82333745834408634</c:v>
                </c:pt>
                <c:pt idx="5">
                  <c:v>0.8203543516109556</c:v>
                </c:pt>
                <c:pt idx="6">
                  <c:v>0.81670833227046247</c:v>
                </c:pt>
                <c:pt idx="7">
                  <c:v>0.81239940032260693</c:v>
                </c:pt>
                <c:pt idx="8">
                  <c:v>0.807427555767389</c:v>
                </c:pt>
                <c:pt idx="9">
                  <c:v>0.80179279860480868</c:v>
                </c:pt>
                <c:pt idx="10">
                  <c:v>0.79549512883486595</c:v>
                </c:pt>
                <c:pt idx="11">
                  <c:v>0.78853454645756094</c:v>
                </c:pt>
                <c:pt idx="12">
                  <c:v>0.78091105147289341</c:v>
                </c:pt>
                <c:pt idx="13">
                  <c:v>0.7726246438808636</c:v>
                </c:pt>
                <c:pt idx="14">
                  <c:v>0.76367532368147129</c:v>
                </c:pt>
                <c:pt idx="15">
                  <c:v>0.75406309087471679</c:v>
                </c:pt>
                <c:pt idx="16">
                  <c:v>0.74378794546059968</c:v>
                </c:pt>
                <c:pt idx="17">
                  <c:v>0.73284988743912027</c:v>
                </c:pt>
                <c:pt idx="18">
                  <c:v>0.72124891681027847</c:v>
                </c:pt>
                <c:pt idx="19">
                  <c:v>0.70898503357407427</c:v>
                </c:pt>
                <c:pt idx="20">
                  <c:v>0.69605823773050768</c:v>
                </c:pt>
                <c:pt idx="21">
                  <c:v>0.68246852927957879</c:v>
                </c:pt>
                <c:pt idx="22">
                  <c:v>0.6682159082212874</c:v>
                </c:pt>
                <c:pt idx="23">
                  <c:v>0.65330037455563372</c:v>
                </c:pt>
                <c:pt idx="24">
                  <c:v>0.63772192828261753</c:v>
                </c:pt>
                <c:pt idx="25">
                  <c:v>0.62148056940223906</c:v>
                </c:pt>
                <c:pt idx="26">
                  <c:v>0.60457629791449818</c:v>
                </c:pt>
                <c:pt idx="27">
                  <c:v>0.5870091138193948</c:v>
                </c:pt>
                <c:pt idx="28">
                  <c:v>0.56877901711692902</c:v>
                </c:pt>
                <c:pt idx="29">
                  <c:v>0.54988600780710095</c:v>
                </c:pt>
                <c:pt idx="30">
                  <c:v>0.53033008588991037</c:v>
                </c:pt>
                <c:pt idx="31">
                  <c:v>0.51011125136535751</c:v>
                </c:pt>
                <c:pt idx="32">
                  <c:v>0.48922950423344214</c:v>
                </c:pt>
                <c:pt idx="33">
                  <c:v>0.46768484449416442</c:v>
                </c:pt>
                <c:pt idx="34">
                  <c:v>0.44547727214752447</c:v>
                </c:pt>
                <c:pt idx="35">
                  <c:v>0.42260678719352202</c:v>
                </c:pt>
                <c:pt idx="36">
                  <c:v>0.39907338963215705</c:v>
                </c:pt>
                <c:pt idx="37">
                  <c:v>0.3748770794634298</c:v>
                </c:pt>
                <c:pt idx="38">
                  <c:v>0.35001785668734009</c:v>
                </c:pt>
                <c:pt idx="39">
                  <c:v>0.32449572130388815</c:v>
                </c:pt>
                <c:pt idx="40">
                  <c:v>0.29831067331307365</c:v>
                </c:pt>
                <c:pt idx="41">
                  <c:v>0.2714627127148968</c:v>
                </c:pt>
                <c:pt idx="42">
                  <c:v>0.24395183950935762</c:v>
                </c:pt>
                <c:pt idx="43">
                  <c:v>0.215778053696456</c:v>
                </c:pt>
                <c:pt idx="44">
                  <c:v>0.18694135527619204</c:v>
                </c:pt>
                <c:pt idx="45">
                  <c:v>0.15744174424856561</c:v>
                </c:pt>
                <c:pt idx="46">
                  <c:v>0.12727922061357677</c:v>
                </c:pt>
                <c:pt idx="47">
                  <c:v>9.645378437122562E-2</c:v>
                </c:pt>
                <c:pt idx="48">
                  <c:v>6.4965435521512058E-2</c:v>
                </c:pt>
                <c:pt idx="49">
                  <c:v>3.2814174064436173E-2</c:v>
                </c:pt>
                <c:pt idx="50">
                  <c:v>2.2079425200240588E-15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1-4F64-8E0E-57B0ACB8FF8A}"/>
            </c:ext>
          </c:extLst>
        </c:ser>
        <c:ser>
          <c:idx val="3"/>
          <c:order val="3"/>
          <c:tx>
            <c:v>Extension 0.3 mm shear thinning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rates'!$B$103:$AF$103</c:f>
              <c:numCache>
                <c:formatCode>General</c:formatCode>
                <c:ptCount val="3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  <c:pt idx="30">
                  <c:v>1.5000000000000007E-4</c:v>
                </c:pt>
              </c:numCache>
            </c:numRef>
          </c:xVal>
          <c:yVal>
            <c:numRef>
              <c:f>'shear rates'!$G$109:$AK$109</c:f>
              <c:numCache>
                <c:formatCode>General</c:formatCode>
                <c:ptCount val="31"/>
                <c:pt idx="0">
                  <c:v>1.9996449765044617</c:v>
                </c:pt>
                <c:pt idx="1">
                  <c:v>1.9996449765044617</c:v>
                </c:pt>
                <c:pt idx="2">
                  <c:v>1.9996449765044206</c:v>
                </c:pt>
                <c:pt idx="3">
                  <c:v>1.9996449764998629</c:v>
                </c:pt>
                <c:pt idx="4">
                  <c:v>1.9996449763736253</c:v>
                </c:pt>
                <c:pt idx="5">
                  <c:v>1.999644974748169</c:v>
                </c:pt>
                <c:pt idx="6">
                  <c:v>1.9996449618445356</c:v>
                </c:pt>
                <c:pt idx="7">
                  <c:v>1.9996448883430651</c:v>
                </c:pt>
                <c:pt idx="8">
                  <c:v>1.9996445594372825</c:v>
                </c:pt>
                <c:pt idx="9">
                  <c:v>1.9996433338950468</c:v>
                </c:pt>
                <c:pt idx="10">
                  <c:v>1.9996393779795789</c:v>
                </c:pt>
                <c:pt idx="11">
                  <c:v>1.999628001339147</c:v>
                </c:pt>
                <c:pt idx="12">
                  <c:v>1.9995982451315568</c:v>
                </c:pt>
                <c:pt idx="13">
                  <c:v>1.999526350394923</c:v>
                </c:pt>
                <c:pt idx="14">
                  <c:v>1.9993639448633385</c:v>
                </c:pt>
                <c:pt idx="15">
                  <c:v>1.9990176752754625</c:v>
                </c:pt>
                <c:pt idx="16">
                  <c:v>1.9983154935527354</c:v>
                </c:pt>
                <c:pt idx="17">
                  <c:v>1.9969527797016711</c:v>
                </c:pt>
                <c:pt idx="18">
                  <c:v>1.9944088387237133</c:v>
                </c:pt>
                <c:pt idx="19">
                  <c:v>1.9898209154314801</c:v>
                </c:pt>
                <c:pt idx="20">
                  <c:v>1.9817985868585721</c:v>
                </c:pt>
                <c:pt idx="21">
                  <c:v>1.9681560579858499</c:v>
                </c:pt>
                <c:pt idx="22">
                  <c:v>1.945533327303488</c:v>
                </c:pt>
                <c:pt idx="23">
                  <c:v>1.9088692116027417</c:v>
                </c:pt>
                <c:pt idx="24">
                  <c:v>1.8506796138446828</c:v>
                </c:pt>
                <c:pt idx="25">
                  <c:v>1.7600829550589236</c:v>
                </c:pt>
                <c:pt idx="26">
                  <c:v>1.6215011230324856</c:v>
                </c:pt>
                <c:pt idx="27">
                  <c:v>1.4129483494939321</c:v>
                </c:pt>
                <c:pt idx="28">
                  <c:v>1.1038018258265814</c:v>
                </c:pt>
                <c:pt idx="29">
                  <c:v>0.65192629654410283</c:v>
                </c:pt>
                <c:pt idx="30">
                  <c:v>1.0212238712359905E-14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1-4335-BD4E-C0F8689E6623}"/>
            </c:ext>
          </c:extLst>
        </c:ser>
        <c:ser>
          <c:idx val="4"/>
          <c:order val="4"/>
          <c:tx>
            <c:v>Extension rate 0.5 mm shear thinning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rgbClr val="00B050"/>
                </a:solidFill>
                <a:ln w="25400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F-40DA-9941-B755A5E95EB4}"/>
              </c:ext>
            </c:extLst>
          </c:dPt>
          <c:xVal>
            <c:numRef>
              <c:f>'shear rates'!$B$103:$AZ$103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  <c:pt idx="30">
                  <c:v>1.5000000000000007E-4</c:v>
                </c:pt>
                <c:pt idx="31">
                  <c:v>1.5500000000000008E-4</c:v>
                </c:pt>
                <c:pt idx="32">
                  <c:v>1.6000000000000009E-4</c:v>
                </c:pt>
                <c:pt idx="33">
                  <c:v>1.6500000000000011E-4</c:v>
                </c:pt>
                <c:pt idx="34">
                  <c:v>1.7000000000000012E-4</c:v>
                </c:pt>
                <c:pt idx="35">
                  <c:v>1.7500000000000013E-4</c:v>
                </c:pt>
                <c:pt idx="36">
                  <c:v>1.8000000000000015E-4</c:v>
                </c:pt>
                <c:pt idx="37">
                  <c:v>1.8500000000000016E-4</c:v>
                </c:pt>
                <c:pt idx="38">
                  <c:v>1.9000000000000017E-4</c:v>
                </c:pt>
                <c:pt idx="39">
                  <c:v>1.9500000000000019E-4</c:v>
                </c:pt>
                <c:pt idx="40">
                  <c:v>2.000000000000002E-4</c:v>
                </c:pt>
                <c:pt idx="41">
                  <c:v>2.0500000000000021E-4</c:v>
                </c:pt>
                <c:pt idx="42">
                  <c:v>2.1000000000000023E-4</c:v>
                </c:pt>
                <c:pt idx="43">
                  <c:v>2.1500000000000024E-4</c:v>
                </c:pt>
                <c:pt idx="44">
                  <c:v>2.2000000000000025E-4</c:v>
                </c:pt>
                <c:pt idx="45">
                  <c:v>2.2500000000000026E-4</c:v>
                </c:pt>
                <c:pt idx="46">
                  <c:v>2.3000000000000028E-4</c:v>
                </c:pt>
                <c:pt idx="47">
                  <c:v>2.3500000000000029E-4</c:v>
                </c:pt>
                <c:pt idx="48">
                  <c:v>2.400000000000003E-4</c:v>
                </c:pt>
                <c:pt idx="49">
                  <c:v>2.4500000000000032E-4</c:v>
                </c:pt>
                <c:pt idx="50">
                  <c:v>2.5000000000000033E-4</c:v>
                </c:pt>
              </c:numCache>
            </c:numRef>
          </c:xVal>
          <c:yVal>
            <c:numRef>
              <c:f>'shear rates'!$G$122:$BE$122</c:f>
              <c:numCache>
                <c:formatCode>General</c:formatCode>
                <c:ptCount val="51"/>
                <c:pt idx="0">
                  <c:v>1.1997869859026766</c:v>
                </c:pt>
                <c:pt idx="1">
                  <c:v>1.1997869859026766</c:v>
                </c:pt>
                <c:pt idx="2">
                  <c:v>1.1997869859026766</c:v>
                </c:pt>
                <c:pt idx="3">
                  <c:v>1.1997869859026695</c:v>
                </c:pt>
                <c:pt idx="4">
                  <c:v>1.199786985902471</c:v>
                </c:pt>
                <c:pt idx="5">
                  <c:v>1.1997869858999173</c:v>
                </c:pt>
                <c:pt idx="6">
                  <c:v>1.1997869858796442</c:v>
                </c:pt>
                <c:pt idx="7">
                  <c:v>1.1997869857641645</c:v>
                </c:pt>
                <c:pt idx="8">
                  <c:v>1.1997869852474139</c:v>
                </c:pt>
                <c:pt idx="9">
                  <c:v>1.1997869833219397</c:v>
                </c:pt>
                <c:pt idx="10">
                  <c:v>1.1997869771067209</c:v>
                </c:pt>
                <c:pt idx="11">
                  <c:v>1.1997869592326511</c:v>
                </c:pt>
                <c:pt idx="12">
                  <c:v>1.1997869124820715</c:v>
                </c:pt>
                <c:pt idx="13">
                  <c:v>1.1997867995267966</c:v>
                </c:pt>
                <c:pt idx="14">
                  <c:v>1.199786544368181</c:v>
                </c:pt>
                <c:pt idx="15">
                  <c:v>1.1997860003370278</c:v>
                </c:pt>
                <c:pt idx="16">
                  <c:v>1.1997848971251204</c:v>
                </c:pt>
                <c:pt idx="17">
                  <c:v>1.199782756137826</c:v>
                </c:pt>
                <c:pt idx="18">
                  <c:v>1.1997787593007003</c:v>
                </c:pt>
                <c:pt idx="19">
                  <c:v>1.1997715511216183</c:v>
                </c:pt>
                <c:pt idx="20">
                  <c:v>1.1997589470789336</c:v>
                </c:pt>
                <c:pt idx="21">
                  <c:v>1.1997375130258807</c:v>
                </c:pt>
                <c:pt idx="22">
                  <c:v>1.1997019699961264</c:v>
                </c:pt>
                <c:pt idx="23">
                  <c:v>1.1996443662623615</c:v>
                </c:pt>
                <c:pt idx="24">
                  <c:v>1.1995529434083507</c:v>
                </c:pt>
                <c:pt idx="25">
                  <c:v>1.1994106051652771</c:v>
                </c:pt>
                <c:pt idx="26">
                  <c:v>1.1991928764459518</c:v>
                </c:pt>
                <c:pt idx="27">
                  <c:v>1.1988652149651482</c:v>
                </c:pt>
                <c:pt idx="28">
                  <c:v>1.1983795086088556</c:v>
                </c:pt>
                <c:pt idx="29">
                  <c:v>1.1976695578249295</c:v>
                </c:pt>
                <c:pt idx="30">
                  <c:v>1.1966453032342275</c:v>
                </c:pt>
                <c:pt idx="31">
                  <c:v>1.1951855138523007</c:v>
                </c:pt>
                <c:pt idx="32">
                  <c:v>1.1931286001792818</c:v>
                </c:pt>
                <c:pt idx="33">
                  <c:v>1.1902611583359197</c:v>
                </c:pt>
                <c:pt idx="34">
                  <c:v>1.186303785736029</c:v>
                </c:pt>
                <c:pt idx="35">
                  <c:v>1.1808936347915093</c:v>
                </c:pt>
                <c:pt idx="36">
                  <c:v>1.1735630881085779</c:v>
                </c:pt>
                <c:pt idx="37">
                  <c:v>1.1637138457766327</c:v>
                </c:pt>
                <c:pt idx="38">
                  <c:v>1.1505856118578512</c:v>
                </c:pt>
                <c:pt idx="39">
                  <c:v>1.1332184521988804</c:v>
                </c:pt>
                <c:pt idx="40">
                  <c:v>1.1104077683068083</c:v>
                </c:pt>
                <c:pt idx="41">
                  <c:v>1.0806506913186156</c:v>
                </c:pt>
                <c:pt idx="42">
                  <c:v>1.0420825450617919</c:v>
                </c:pt>
                <c:pt idx="43">
                  <c:v>0.99240185682524329</c:v>
                </c:pt>
                <c:pt idx="44">
                  <c:v>0.92878220766064845</c:v>
                </c:pt>
                <c:pt idx="45">
                  <c:v>0.84776900969635516</c:v>
                </c:pt>
                <c:pt idx="46">
                  <c:v>0.7451590749038286</c:v>
                </c:pt>
                <c:pt idx="47">
                  <c:v>0.61586059679874772</c:v>
                </c:pt>
                <c:pt idx="48">
                  <c:v>0.45373090242573338</c:v>
                </c:pt>
                <c:pt idx="49">
                  <c:v>0.25138904535956846</c:v>
                </c:pt>
                <c:pt idx="50">
                  <c:v>1.8648435909526775E-14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1-4335-BD4E-C0F8689E6623}"/>
            </c:ext>
          </c:extLst>
        </c:ser>
        <c:ser>
          <c:idx val="5"/>
          <c:order val="5"/>
          <c:tx>
            <c:v>Extension rate 1 mm shear thinning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rates'!$B$103:$CX$103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  <c:pt idx="30">
                  <c:v>1.5000000000000007E-4</c:v>
                </c:pt>
                <c:pt idx="31">
                  <c:v>1.5500000000000008E-4</c:v>
                </c:pt>
                <c:pt idx="32">
                  <c:v>1.6000000000000009E-4</c:v>
                </c:pt>
                <c:pt idx="33">
                  <c:v>1.6500000000000011E-4</c:v>
                </c:pt>
                <c:pt idx="34">
                  <c:v>1.7000000000000012E-4</c:v>
                </c:pt>
                <c:pt idx="35">
                  <c:v>1.7500000000000013E-4</c:v>
                </c:pt>
                <c:pt idx="36">
                  <c:v>1.8000000000000015E-4</c:v>
                </c:pt>
                <c:pt idx="37">
                  <c:v>1.8500000000000016E-4</c:v>
                </c:pt>
                <c:pt idx="38">
                  <c:v>1.9000000000000017E-4</c:v>
                </c:pt>
                <c:pt idx="39">
                  <c:v>1.9500000000000019E-4</c:v>
                </c:pt>
                <c:pt idx="40">
                  <c:v>2.000000000000002E-4</c:v>
                </c:pt>
                <c:pt idx="41">
                  <c:v>2.0500000000000021E-4</c:v>
                </c:pt>
                <c:pt idx="42">
                  <c:v>2.1000000000000023E-4</c:v>
                </c:pt>
                <c:pt idx="43">
                  <c:v>2.1500000000000024E-4</c:v>
                </c:pt>
                <c:pt idx="44">
                  <c:v>2.2000000000000025E-4</c:v>
                </c:pt>
                <c:pt idx="45">
                  <c:v>2.2500000000000026E-4</c:v>
                </c:pt>
                <c:pt idx="46">
                  <c:v>2.3000000000000028E-4</c:v>
                </c:pt>
                <c:pt idx="47">
                  <c:v>2.3500000000000029E-4</c:v>
                </c:pt>
                <c:pt idx="48">
                  <c:v>2.400000000000003E-4</c:v>
                </c:pt>
                <c:pt idx="49">
                  <c:v>2.4500000000000032E-4</c:v>
                </c:pt>
                <c:pt idx="50">
                  <c:v>2.5000000000000033E-4</c:v>
                </c:pt>
                <c:pt idx="51">
                  <c:v>2.5500000000000034E-4</c:v>
                </c:pt>
                <c:pt idx="52">
                  <c:v>2.6000000000000036E-4</c:v>
                </c:pt>
                <c:pt idx="53">
                  <c:v>2.6500000000000037E-4</c:v>
                </c:pt>
                <c:pt idx="54">
                  <c:v>2.7000000000000038E-4</c:v>
                </c:pt>
                <c:pt idx="55">
                  <c:v>2.750000000000004E-4</c:v>
                </c:pt>
                <c:pt idx="56">
                  <c:v>2.8000000000000041E-4</c:v>
                </c:pt>
                <c:pt idx="57">
                  <c:v>2.8500000000000042E-4</c:v>
                </c:pt>
                <c:pt idx="58">
                  <c:v>2.9000000000000044E-4</c:v>
                </c:pt>
                <c:pt idx="59">
                  <c:v>2.9500000000000045E-4</c:v>
                </c:pt>
                <c:pt idx="60">
                  <c:v>3.0000000000000046E-4</c:v>
                </c:pt>
                <c:pt idx="61">
                  <c:v>3.0500000000000047E-4</c:v>
                </c:pt>
                <c:pt idx="62">
                  <c:v>3.1000000000000049E-4</c:v>
                </c:pt>
                <c:pt idx="63">
                  <c:v>3.150000000000005E-4</c:v>
                </c:pt>
                <c:pt idx="64">
                  <c:v>3.2000000000000051E-4</c:v>
                </c:pt>
                <c:pt idx="65">
                  <c:v>3.2500000000000053E-4</c:v>
                </c:pt>
                <c:pt idx="66">
                  <c:v>3.3000000000000054E-4</c:v>
                </c:pt>
                <c:pt idx="67">
                  <c:v>3.3500000000000055E-4</c:v>
                </c:pt>
                <c:pt idx="68">
                  <c:v>3.4000000000000057E-4</c:v>
                </c:pt>
                <c:pt idx="69">
                  <c:v>3.4500000000000058E-4</c:v>
                </c:pt>
                <c:pt idx="70">
                  <c:v>3.5000000000000059E-4</c:v>
                </c:pt>
                <c:pt idx="71">
                  <c:v>3.5500000000000061E-4</c:v>
                </c:pt>
                <c:pt idx="72">
                  <c:v>3.6000000000000062E-4</c:v>
                </c:pt>
                <c:pt idx="73">
                  <c:v>3.6500000000000063E-4</c:v>
                </c:pt>
                <c:pt idx="74">
                  <c:v>3.7000000000000065E-4</c:v>
                </c:pt>
                <c:pt idx="75">
                  <c:v>3.7500000000000066E-4</c:v>
                </c:pt>
                <c:pt idx="76">
                  <c:v>3.8000000000000067E-4</c:v>
                </c:pt>
                <c:pt idx="77">
                  <c:v>3.8500000000000068E-4</c:v>
                </c:pt>
                <c:pt idx="78">
                  <c:v>3.900000000000007E-4</c:v>
                </c:pt>
                <c:pt idx="79">
                  <c:v>3.9500000000000071E-4</c:v>
                </c:pt>
                <c:pt idx="80">
                  <c:v>4.0000000000000072E-4</c:v>
                </c:pt>
                <c:pt idx="81">
                  <c:v>4.0500000000000074E-4</c:v>
                </c:pt>
                <c:pt idx="82">
                  <c:v>4.1000000000000075E-4</c:v>
                </c:pt>
                <c:pt idx="83">
                  <c:v>4.1500000000000076E-4</c:v>
                </c:pt>
                <c:pt idx="84">
                  <c:v>4.2000000000000078E-4</c:v>
                </c:pt>
                <c:pt idx="85">
                  <c:v>4.2500000000000079E-4</c:v>
                </c:pt>
                <c:pt idx="86">
                  <c:v>4.300000000000008E-4</c:v>
                </c:pt>
                <c:pt idx="87">
                  <c:v>4.3500000000000082E-4</c:v>
                </c:pt>
                <c:pt idx="88">
                  <c:v>4.4000000000000083E-4</c:v>
                </c:pt>
                <c:pt idx="89">
                  <c:v>4.4500000000000084E-4</c:v>
                </c:pt>
                <c:pt idx="90">
                  <c:v>4.5000000000000086E-4</c:v>
                </c:pt>
                <c:pt idx="91">
                  <c:v>4.5500000000000087E-4</c:v>
                </c:pt>
                <c:pt idx="92">
                  <c:v>4.6000000000000088E-4</c:v>
                </c:pt>
                <c:pt idx="93">
                  <c:v>4.6500000000000089E-4</c:v>
                </c:pt>
                <c:pt idx="94">
                  <c:v>4.7000000000000091E-4</c:v>
                </c:pt>
                <c:pt idx="95">
                  <c:v>4.7500000000000092E-4</c:v>
                </c:pt>
                <c:pt idx="96">
                  <c:v>4.8000000000000093E-4</c:v>
                </c:pt>
                <c:pt idx="97">
                  <c:v>4.8500000000000095E-4</c:v>
                </c:pt>
                <c:pt idx="98">
                  <c:v>4.9000000000000096E-4</c:v>
                </c:pt>
                <c:pt idx="99">
                  <c:v>4.9500000000000097E-4</c:v>
                </c:pt>
                <c:pt idx="100">
                  <c:v>5.0000000000000099E-4</c:v>
                </c:pt>
              </c:numCache>
            </c:numRef>
          </c:xVal>
          <c:yVal>
            <c:numRef>
              <c:f>'shear rates'!$G$135:$DC$135</c:f>
              <c:numCache>
                <c:formatCode>General</c:formatCode>
                <c:ptCount val="101"/>
                <c:pt idx="0">
                  <c:v>0.59989349295133831</c:v>
                </c:pt>
                <c:pt idx="1">
                  <c:v>0.59989349295133831</c:v>
                </c:pt>
                <c:pt idx="2">
                  <c:v>0.59989349295133831</c:v>
                </c:pt>
                <c:pt idx="3">
                  <c:v>0.59989349295133831</c:v>
                </c:pt>
                <c:pt idx="4">
                  <c:v>0.59989349295133831</c:v>
                </c:pt>
                <c:pt idx="5">
                  <c:v>0.59989349295133787</c:v>
                </c:pt>
                <c:pt idx="6">
                  <c:v>0.59989349295133476</c:v>
                </c:pt>
                <c:pt idx="7">
                  <c:v>0.59989349295131655</c:v>
                </c:pt>
                <c:pt idx="8">
                  <c:v>0.59989349295123551</c:v>
                </c:pt>
                <c:pt idx="9">
                  <c:v>0.59989349295093353</c:v>
                </c:pt>
                <c:pt idx="10">
                  <c:v>0.59989349294995864</c:v>
                </c:pt>
                <c:pt idx="11">
                  <c:v>0.59989349294715499</c:v>
                </c:pt>
                <c:pt idx="12">
                  <c:v>0.59989349293982208</c:v>
                </c:pt>
                <c:pt idx="13">
                  <c:v>0.5998934929221047</c:v>
                </c:pt>
                <c:pt idx="14">
                  <c:v>0.59989349288208227</c:v>
                </c:pt>
                <c:pt idx="15">
                  <c:v>0.59989349279674919</c:v>
                </c:pt>
                <c:pt idx="16">
                  <c:v>0.59989349262370695</c:v>
                </c:pt>
                <c:pt idx="17">
                  <c:v>0.59989349228788635</c:v>
                </c:pt>
                <c:pt idx="18">
                  <c:v>0.59989349166096984</c:v>
                </c:pt>
                <c:pt idx="19">
                  <c:v>0.59989349053034424</c:v>
                </c:pt>
                <c:pt idx="20">
                  <c:v>0.59989348855336044</c:v>
                </c:pt>
                <c:pt idx="21">
                  <c:v>0.59989348519136176</c:v>
                </c:pt>
                <c:pt idx="22">
                  <c:v>0.59989347961632555</c:v>
                </c:pt>
                <c:pt idx="23">
                  <c:v>0.5998934705809984</c:v>
                </c:pt>
                <c:pt idx="24">
                  <c:v>0.59989345624103574</c:v>
                </c:pt>
                <c:pt idx="25">
                  <c:v>0.59989343391483385</c:v>
                </c:pt>
                <c:pt idx="26">
                  <c:v>0.59989339976339828</c:v>
                </c:pt>
                <c:pt idx="27">
                  <c:v>0.5998933483686627</c:v>
                </c:pt>
                <c:pt idx="28">
                  <c:v>0.5998932721840905</c:v>
                </c:pt>
                <c:pt idx="29">
                  <c:v>0.59989316082607336</c:v>
                </c:pt>
                <c:pt idx="30">
                  <c:v>0.59989300016851388</c:v>
                </c:pt>
                <c:pt idx="31">
                  <c:v>0.59989277119595019</c:v>
                </c:pt>
                <c:pt idx="32">
                  <c:v>0.59989244856256019</c:v>
                </c:pt>
                <c:pt idx="33">
                  <c:v>0.59989199879527311</c:v>
                </c:pt>
                <c:pt idx="34">
                  <c:v>0.59989137806891302</c:v>
                </c:pt>
                <c:pt idx="35">
                  <c:v>0.59989052946969246</c:v>
                </c:pt>
                <c:pt idx="36">
                  <c:v>0.59988937965035016</c:v>
                </c:pt>
                <c:pt idx="37">
                  <c:v>0.59988783476566021</c:v>
                </c:pt>
                <c:pt idx="38">
                  <c:v>0.59988577556080913</c:v>
                </c:pt>
                <c:pt idx="39">
                  <c:v>0.59988305146710086</c:v>
                </c:pt>
                <c:pt idx="40">
                  <c:v>0.5998794735394668</c:v>
                </c:pt>
                <c:pt idx="41">
                  <c:v>0.59987480604819077</c:v>
                </c:pt>
                <c:pt idx="42">
                  <c:v>0.59986875651294036</c:v>
                </c:pt>
                <c:pt idx="43">
                  <c:v>0.59986096394047017</c:v>
                </c:pt>
                <c:pt idx="44">
                  <c:v>0.59985098499806322</c:v>
                </c:pt>
                <c:pt idx="45">
                  <c:v>0.59983827782272825</c:v>
                </c:pt>
                <c:pt idx="46">
                  <c:v>0.59982218313118074</c:v>
                </c:pt>
                <c:pt idx="47">
                  <c:v>0.59980190225753172</c:v>
                </c:pt>
                <c:pt idx="48">
                  <c:v>0.59977647170417536</c:v>
                </c:pt>
                <c:pt idx="49">
                  <c:v>0.59974473374641113</c:v>
                </c:pt>
                <c:pt idx="50">
                  <c:v>0.59970530258263854</c:v>
                </c:pt>
                <c:pt idx="51">
                  <c:v>0.59965652546930959</c:v>
                </c:pt>
                <c:pt idx="52">
                  <c:v>0.59959643822297592</c:v>
                </c:pt>
                <c:pt idx="53">
                  <c:v>0.5995227144105022</c:v>
                </c:pt>
                <c:pt idx="54">
                  <c:v>0.5994326074825741</c:v>
                </c:pt>
                <c:pt idx="55">
                  <c:v>0.59932288503477127</c:v>
                </c:pt>
                <c:pt idx="56">
                  <c:v>0.59918975430442778</c:v>
                </c:pt>
                <c:pt idx="57">
                  <c:v>0.59902877793000397</c:v>
                </c:pt>
                <c:pt idx="58">
                  <c:v>0.59883477891246473</c:v>
                </c:pt>
                <c:pt idx="59">
                  <c:v>0.59860173362490621</c:v>
                </c:pt>
                <c:pt idx="60">
                  <c:v>0.59832265161711373</c:v>
                </c:pt>
                <c:pt idx="61">
                  <c:v>0.59798944085554917</c:v>
                </c:pt>
                <c:pt idx="62">
                  <c:v>0.59759275692615021</c:v>
                </c:pt>
                <c:pt idx="63">
                  <c:v>0.59712183460695945</c:v>
                </c:pt>
                <c:pt idx="64">
                  <c:v>0.59656430008964079</c:v>
                </c:pt>
                <c:pt idx="65">
                  <c:v>0.59590596199306189</c:v>
                </c:pt>
                <c:pt idx="66">
                  <c:v>0.59513057916795986</c:v>
                </c:pt>
                <c:pt idx="67">
                  <c:v>0.59421960313890998</c:v>
                </c:pt>
                <c:pt idx="68">
                  <c:v>0.5931518928680144</c:v>
                </c:pt>
                <c:pt idx="69">
                  <c:v>0.59190339935353786</c:v>
                </c:pt>
                <c:pt idx="70">
                  <c:v>0.59044681739575466</c:v>
                </c:pt>
                <c:pt idx="71">
                  <c:v>0.58875120167113615</c:v>
                </c:pt>
                <c:pt idx="72">
                  <c:v>0.58678154405428884</c:v>
                </c:pt>
                <c:pt idx="73">
                  <c:v>0.58449830891433929</c:v>
                </c:pt>
                <c:pt idx="74">
                  <c:v>0.58185692288831614</c:v>
                </c:pt>
                <c:pt idx="75">
                  <c:v>0.57880721539806734</c:v>
                </c:pt>
                <c:pt idx="76">
                  <c:v>0.5752928059289254</c:v>
                </c:pt>
                <c:pt idx="77">
                  <c:v>0.57125043382722607</c:v>
                </c:pt>
                <c:pt idx="78">
                  <c:v>0.56660922609943987</c:v>
                </c:pt>
                <c:pt idx="79">
                  <c:v>0.56128989840759846</c:v>
                </c:pt>
                <c:pt idx="80">
                  <c:v>0.55520388415340383</c:v>
                </c:pt>
                <c:pt idx="81">
                  <c:v>0.54825238622639616</c:v>
                </c:pt>
                <c:pt idx="82">
                  <c:v>0.54032534565930723</c:v>
                </c:pt>
                <c:pt idx="83">
                  <c:v>0.53130032108572445</c:v>
                </c:pt>
                <c:pt idx="84">
                  <c:v>0.52104127253089516</c:v>
                </c:pt>
                <c:pt idx="85">
                  <c:v>0.50939724268536557</c:v>
                </c:pt>
                <c:pt idx="86">
                  <c:v>0.49620092841262087</c:v>
                </c:pt>
                <c:pt idx="87">
                  <c:v>0.4812671348254004</c:v>
                </c:pt>
                <c:pt idx="88">
                  <c:v>0.46439110383032306</c:v>
                </c:pt>
                <c:pt idx="89">
                  <c:v>0.44534670858628411</c:v>
                </c:pt>
                <c:pt idx="90">
                  <c:v>0.42388450484817614</c:v>
                </c:pt>
                <c:pt idx="91">
                  <c:v>0.39972962967321518</c:v>
                </c:pt>
                <c:pt idx="92">
                  <c:v>0.37257953745191236</c:v>
                </c:pt>
                <c:pt idx="93">
                  <c:v>0.34210156268885988</c:v>
                </c:pt>
                <c:pt idx="94">
                  <c:v>0.30793029839937147</c:v>
                </c:pt>
                <c:pt idx="95">
                  <c:v>0.26966477840594805</c:v>
                </c:pt>
                <c:pt idx="96">
                  <c:v>0.22686545121286369</c:v>
                </c:pt>
                <c:pt idx="97">
                  <c:v>0.17905093250721113</c:v>
                </c:pt>
                <c:pt idx="98">
                  <c:v>0.12569452267978051</c:v>
                </c:pt>
                <c:pt idx="99">
                  <c:v>6.6220475078487925E-2</c:v>
                </c:pt>
                <c:pt idx="100">
                  <c:v>1.3986326932145082E-14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1-4335-BD4E-C0F8689E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centre of symmetry 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Extension rate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24037042133916914"/>
          <c:h val="0.2683423776660767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No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1"/>
          <c:order val="0"/>
          <c:tx>
            <c:v>0.3 mm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'shear rates'!$CK$2:$CK$4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rates'!$CO$3:$CO$5</c:f>
              <c:numCache>
                <c:formatCode>General</c:formatCode>
                <c:ptCount val="3"/>
                <c:pt idx="0">
                  <c:v>0.68000000000000016</c:v>
                </c:pt>
                <c:pt idx="1">
                  <c:v>0.90000000000000013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B-48E2-BD8F-5ADA727190DA}"/>
            </c:ext>
          </c:extLst>
        </c:ser>
        <c:ser>
          <c:idx val="2"/>
          <c:order val="1"/>
          <c:tx>
            <c:v>0.5 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'shear rates'!$CK$5:$CK$7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rates'!$CO$8:$CO$10</c:f>
              <c:numCache>
                <c:formatCode>General</c:formatCode>
                <c:ptCount val="3"/>
                <c:pt idx="0">
                  <c:v>0.64473684210526316</c:v>
                </c:pt>
                <c:pt idx="1">
                  <c:v>0.69696969696969702</c:v>
                </c:pt>
                <c:pt idx="2">
                  <c:v>0.95774647887323949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B-48E2-BD8F-5ADA727190DA}"/>
            </c:ext>
          </c:extLst>
        </c:ser>
        <c:ser>
          <c:idx val="0"/>
          <c:order val="2"/>
          <c:tx>
            <c:v>1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rates'!$CK$8:$CK$10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rates'!$CO$13:$CO$15</c:f>
              <c:numCache>
                <c:formatCode>General</c:formatCode>
                <c:ptCount val="3"/>
                <c:pt idx="0">
                  <c:v>0.5977011494252874</c:v>
                </c:pt>
                <c:pt idx="1">
                  <c:v>0.58888888888888891</c:v>
                </c:pt>
                <c:pt idx="2">
                  <c:v>0.60919540229885061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B-48E2-BD8F-5ADA7271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Total skin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8.3601611321920399E-2"/>
          <c:h val="0.1370431313087440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12 mm distance from injection pt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Shear rate 0.3 mm Newtonian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rates'!$B$8:$Q$8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</c:numCache>
            </c:numRef>
          </c:xVal>
          <c:yVal>
            <c:numRef>
              <c:f>'shear rates'!$G$19:$V$19</c:f>
              <c:numCache>
                <c:formatCode>General</c:formatCode>
                <c:ptCount val="16"/>
                <c:pt idx="0">
                  <c:v>0</c:v>
                </c:pt>
                <c:pt idx="1">
                  <c:v>20.833333333333339</c:v>
                </c:pt>
                <c:pt idx="2">
                  <c:v>41.666666666666679</c:v>
                </c:pt>
                <c:pt idx="3">
                  <c:v>62.500000000000021</c:v>
                </c:pt>
                <c:pt idx="4">
                  <c:v>83.333333333333357</c:v>
                </c:pt>
                <c:pt idx="5">
                  <c:v>104.1666666666667</c:v>
                </c:pt>
                <c:pt idx="6">
                  <c:v>125.00000000000003</c:v>
                </c:pt>
                <c:pt idx="7">
                  <c:v>145.83333333333337</c:v>
                </c:pt>
                <c:pt idx="8">
                  <c:v>166.66666666666671</c:v>
                </c:pt>
                <c:pt idx="9">
                  <c:v>187.50000000000003</c:v>
                </c:pt>
                <c:pt idx="10">
                  <c:v>208.3333333333334</c:v>
                </c:pt>
                <c:pt idx="11">
                  <c:v>229.16666666666671</c:v>
                </c:pt>
                <c:pt idx="12">
                  <c:v>250.00000000000006</c:v>
                </c:pt>
                <c:pt idx="13">
                  <c:v>270.83333333333343</c:v>
                </c:pt>
                <c:pt idx="14">
                  <c:v>291.66666666666674</c:v>
                </c:pt>
                <c:pt idx="15">
                  <c:v>312.50000000000006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0-4AED-A534-31225157F968}"/>
            </c:ext>
          </c:extLst>
        </c:ser>
        <c:ser>
          <c:idx val="1"/>
          <c:order val="1"/>
          <c:tx>
            <c:v>Shear rate 0.5 mm Newtonian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rates'!$B$8:$AA$8</c:f>
              <c:numCache>
                <c:formatCode>General</c:formatCode>
                <c:ptCount val="2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</c:numCache>
            </c:numRef>
          </c:xVal>
          <c:yVal>
            <c:numRef>
              <c:f>'shear rates'!$G$32:$AF$32</c:f>
              <c:numCache>
                <c:formatCode>General</c:formatCode>
                <c:ptCount val="26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13.500000000000004</c:v>
                </c:pt>
                <c:pt idx="4">
                  <c:v>18</c:v>
                </c:pt>
                <c:pt idx="5">
                  <c:v>22.500000000000004</c:v>
                </c:pt>
                <c:pt idx="6">
                  <c:v>27.000000000000004</c:v>
                </c:pt>
                <c:pt idx="7">
                  <c:v>31.500000000000007</c:v>
                </c:pt>
                <c:pt idx="8">
                  <c:v>36</c:v>
                </c:pt>
                <c:pt idx="9">
                  <c:v>40.500000000000007</c:v>
                </c:pt>
                <c:pt idx="10">
                  <c:v>45.000000000000007</c:v>
                </c:pt>
                <c:pt idx="11">
                  <c:v>49.500000000000007</c:v>
                </c:pt>
                <c:pt idx="12">
                  <c:v>54.000000000000007</c:v>
                </c:pt>
                <c:pt idx="13">
                  <c:v>58.500000000000007</c:v>
                </c:pt>
                <c:pt idx="14">
                  <c:v>63.000000000000014</c:v>
                </c:pt>
                <c:pt idx="15">
                  <c:v>67.500000000000014</c:v>
                </c:pt>
                <c:pt idx="16">
                  <c:v>72</c:v>
                </c:pt>
                <c:pt idx="17">
                  <c:v>76.5</c:v>
                </c:pt>
                <c:pt idx="18">
                  <c:v>81.000000000000014</c:v>
                </c:pt>
                <c:pt idx="19">
                  <c:v>85.500000000000014</c:v>
                </c:pt>
                <c:pt idx="20">
                  <c:v>90.000000000000014</c:v>
                </c:pt>
                <c:pt idx="21">
                  <c:v>94.500000000000014</c:v>
                </c:pt>
                <c:pt idx="22">
                  <c:v>99.000000000000014</c:v>
                </c:pt>
                <c:pt idx="23">
                  <c:v>103.50000000000001</c:v>
                </c:pt>
                <c:pt idx="24">
                  <c:v>108.00000000000001</c:v>
                </c:pt>
                <c:pt idx="25">
                  <c:v>112.50000000000001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0-4AED-A534-31225157F968}"/>
            </c:ext>
          </c:extLst>
        </c:ser>
        <c:ser>
          <c:idx val="2"/>
          <c:order val="2"/>
          <c:tx>
            <c:v>Shear rate 1mm Newtonian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rates'!$B$8:$AZ$8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  <c:pt idx="41">
                  <c:v>4.1000000000000042E-4</c:v>
                </c:pt>
                <c:pt idx="42">
                  <c:v>4.2000000000000045E-4</c:v>
                </c:pt>
                <c:pt idx="43">
                  <c:v>4.3000000000000048E-4</c:v>
                </c:pt>
                <c:pt idx="44">
                  <c:v>4.400000000000005E-4</c:v>
                </c:pt>
                <c:pt idx="45">
                  <c:v>4.5000000000000053E-4</c:v>
                </c:pt>
                <c:pt idx="46">
                  <c:v>4.6000000000000056E-4</c:v>
                </c:pt>
                <c:pt idx="47">
                  <c:v>4.7000000000000058E-4</c:v>
                </c:pt>
                <c:pt idx="48">
                  <c:v>4.8000000000000061E-4</c:v>
                </c:pt>
                <c:pt idx="49">
                  <c:v>4.9000000000000063E-4</c:v>
                </c:pt>
                <c:pt idx="50">
                  <c:v>5.0000000000000066E-4</c:v>
                </c:pt>
              </c:numCache>
            </c:numRef>
          </c:xVal>
          <c:yVal>
            <c:numRef>
              <c:f>'shear rates'!$G$45:$BE$45</c:f>
              <c:numCache>
                <c:formatCode>General</c:formatCode>
                <c:ptCount val="51"/>
                <c:pt idx="0">
                  <c:v>0</c:v>
                </c:pt>
                <c:pt idx="1">
                  <c:v>0.5625</c:v>
                </c:pt>
                <c:pt idx="2">
                  <c:v>1.125</c:v>
                </c:pt>
                <c:pt idx="3">
                  <c:v>1.6875000000000004</c:v>
                </c:pt>
                <c:pt idx="4">
                  <c:v>2.25</c:v>
                </c:pt>
                <c:pt idx="5">
                  <c:v>2.8125000000000004</c:v>
                </c:pt>
                <c:pt idx="6">
                  <c:v>3.3750000000000004</c:v>
                </c:pt>
                <c:pt idx="7">
                  <c:v>3.9375000000000009</c:v>
                </c:pt>
                <c:pt idx="8">
                  <c:v>4.5</c:v>
                </c:pt>
                <c:pt idx="9">
                  <c:v>5.0625000000000009</c:v>
                </c:pt>
                <c:pt idx="10">
                  <c:v>5.6250000000000009</c:v>
                </c:pt>
                <c:pt idx="11">
                  <c:v>6.1875000000000009</c:v>
                </c:pt>
                <c:pt idx="12">
                  <c:v>6.7500000000000009</c:v>
                </c:pt>
                <c:pt idx="13">
                  <c:v>7.3125000000000009</c:v>
                </c:pt>
                <c:pt idx="14">
                  <c:v>7.8750000000000018</c:v>
                </c:pt>
                <c:pt idx="15">
                  <c:v>8.4375000000000018</c:v>
                </c:pt>
                <c:pt idx="16">
                  <c:v>9</c:v>
                </c:pt>
                <c:pt idx="17">
                  <c:v>9.5625</c:v>
                </c:pt>
                <c:pt idx="18">
                  <c:v>10.125000000000002</c:v>
                </c:pt>
                <c:pt idx="19">
                  <c:v>10.687500000000002</c:v>
                </c:pt>
                <c:pt idx="20">
                  <c:v>11.250000000000002</c:v>
                </c:pt>
                <c:pt idx="21">
                  <c:v>11.812500000000002</c:v>
                </c:pt>
                <c:pt idx="22">
                  <c:v>12.375000000000002</c:v>
                </c:pt>
                <c:pt idx="23">
                  <c:v>12.937500000000002</c:v>
                </c:pt>
                <c:pt idx="24">
                  <c:v>13.500000000000002</c:v>
                </c:pt>
                <c:pt idx="25">
                  <c:v>14.062500000000002</c:v>
                </c:pt>
                <c:pt idx="26">
                  <c:v>14.625000000000002</c:v>
                </c:pt>
                <c:pt idx="27">
                  <c:v>15.187500000000004</c:v>
                </c:pt>
                <c:pt idx="28">
                  <c:v>15.750000000000007</c:v>
                </c:pt>
                <c:pt idx="29">
                  <c:v>16.312500000000007</c:v>
                </c:pt>
                <c:pt idx="30">
                  <c:v>16.875000000000007</c:v>
                </c:pt>
                <c:pt idx="31">
                  <c:v>17.437500000000011</c:v>
                </c:pt>
                <c:pt idx="32">
                  <c:v>18.000000000000011</c:v>
                </c:pt>
                <c:pt idx="33">
                  <c:v>18.562500000000014</c:v>
                </c:pt>
                <c:pt idx="34">
                  <c:v>19.125000000000014</c:v>
                </c:pt>
                <c:pt idx="35">
                  <c:v>19.687500000000014</c:v>
                </c:pt>
                <c:pt idx="36">
                  <c:v>20.250000000000018</c:v>
                </c:pt>
                <c:pt idx="37">
                  <c:v>20.812500000000018</c:v>
                </c:pt>
                <c:pt idx="38">
                  <c:v>21.375000000000021</c:v>
                </c:pt>
                <c:pt idx="39">
                  <c:v>21.937500000000021</c:v>
                </c:pt>
                <c:pt idx="40">
                  <c:v>22.500000000000021</c:v>
                </c:pt>
                <c:pt idx="41">
                  <c:v>23.062500000000025</c:v>
                </c:pt>
                <c:pt idx="42">
                  <c:v>23.625000000000025</c:v>
                </c:pt>
                <c:pt idx="43">
                  <c:v>24.187500000000028</c:v>
                </c:pt>
                <c:pt idx="44">
                  <c:v>24.750000000000028</c:v>
                </c:pt>
                <c:pt idx="45">
                  <c:v>25.312500000000032</c:v>
                </c:pt>
                <c:pt idx="46">
                  <c:v>25.875000000000036</c:v>
                </c:pt>
                <c:pt idx="47">
                  <c:v>26.437500000000036</c:v>
                </c:pt>
                <c:pt idx="48">
                  <c:v>27.000000000000039</c:v>
                </c:pt>
                <c:pt idx="49">
                  <c:v>27.562500000000039</c:v>
                </c:pt>
                <c:pt idx="50">
                  <c:v>28.125000000000039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0-4AED-A534-31225157F968}"/>
            </c:ext>
          </c:extLst>
        </c:ser>
        <c:ser>
          <c:idx val="3"/>
          <c:order val="3"/>
          <c:tx>
            <c:v>Shear 0.3 mm shear thinning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rates'!$B$103:$AF$103</c:f>
              <c:numCache>
                <c:formatCode>General</c:formatCode>
                <c:ptCount val="3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  <c:pt idx="30">
                  <c:v>1.5000000000000007E-4</c:v>
                </c:pt>
              </c:numCache>
            </c:numRef>
          </c:xVal>
          <c:yVal>
            <c:numRef>
              <c:f>'shear rates'!$G$114:$AK$114</c:f>
              <c:numCache>
                <c:formatCode>General</c:formatCode>
                <c:ptCount val="31"/>
                <c:pt idx="0">
                  <c:v>0.19747340425531915</c:v>
                </c:pt>
                <c:pt idx="1">
                  <c:v>0.19747340425506482</c:v>
                </c:pt>
                <c:pt idx="2">
                  <c:v>0.19747340384998965</c:v>
                </c:pt>
                <c:pt idx="3">
                  <c:v>0.19747337397785616</c:v>
                </c:pt>
                <c:pt idx="4">
                  <c:v>0.19747275822191046</c:v>
                </c:pt>
                <c:pt idx="5">
                  <c:v>0.19746646660249947</c:v>
                </c:pt>
                <c:pt idx="6">
                  <c:v>0.19742514659701046</c:v>
                </c:pt>
                <c:pt idx="7">
                  <c:v>0.19722465251162505</c:v>
                </c:pt>
                <c:pt idx="8">
                  <c:v>0.19644372552949932</c:v>
                </c:pt>
                <c:pt idx="9">
                  <c:v>0.19386863466589324</c:v>
                </c:pt>
                <c:pt idx="10">
                  <c:v>0.18641584373394249</c:v>
                </c:pt>
                <c:pt idx="11">
                  <c:v>0.16699396031869906</c:v>
                </c:pt>
                <c:pt idx="12">
                  <c:v>0.12055805676846373</c:v>
                </c:pt>
                <c:pt idx="13">
                  <c:v>1.7245244838300852E-2</c:v>
                </c:pt>
                <c:pt idx="14">
                  <c:v>0.19899893764345147</c:v>
                </c:pt>
                <c:pt idx="15">
                  <c:v>0.62850861181620332</c:v>
                </c:pt>
                <c:pt idx="16">
                  <c:v>1.4436774466555284</c:v>
                </c:pt>
                <c:pt idx="17">
                  <c:v>2.9303598674386766</c:v>
                </c:pt>
                <c:pt idx="18">
                  <c:v>5.5479795517757138</c:v>
                </c:pt>
                <c:pt idx="19">
                  <c:v>10.014817206214566</c:v>
                </c:pt>
                <c:pt idx="20">
                  <c:v>17.426591659540922</c:v>
                </c:pt>
                <c:pt idx="21">
                  <c:v>29.418373928893558</c:v>
                </c:pt>
                <c:pt idx="22">
                  <c:v>48.382111759112895</c:v>
                </c:pt>
                <c:pt idx="23">
                  <c:v>77.75462191722437</c:v>
                </c:pt>
                <c:pt idx="24">
                  <c:v>122.39385999991157</c:v>
                </c:pt>
                <c:pt idx="25">
                  <c:v>189.06463446384558</c:v>
                </c:pt>
                <c:pt idx="26">
                  <c:v>287.05872580470725</c:v>
                </c:pt>
                <c:pt idx="27">
                  <c:v>428.97863706715111</c:v>
                </c:pt>
                <c:pt idx="28">
                  <c:v>631.71897291419407</c:v>
                </c:pt>
                <c:pt idx="29">
                  <c:v>917.68475702733326</c:v>
                </c:pt>
                <c:pt idx="30">
                  <c:v>1316.2918882979025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0-4AED-A534-31225157F968}"/>
            </c:ext>
          </c:extLst>
        </c:ser>
        <c:ser>
          <c:idx val="4"/>
          <c:order val="4"/>
          <c:tx>
            <c:v>Shear rate 0.5 mm shear thinning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rates'!$B$103:$AZ$103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  <c:pt idx="30">
                  <c:v>1.5000000000000007E-4</c:v>
                </c:pt>
                <c:pt idx="31">
                  <c:v>1.5500000000000008E-4</c:v>
                </c:pt>
                <c:pt idx="32">
                  <c:v>1.6000000000000009E-4</c:v>
                </c:pt>
                <c:pt idx="33">
                  <c:v>1.6500000000000011E-4</c:v>
                </c:pt>
                <c:pt idx="34">
                  <c:v>1.7000000000000012E-4</c:v>
                </c:pt>
                <c:pt idx="35">
                  <c:v>1.7500000000000013E-4</c:v>
                </c:pt>
                <c:pt idx="36">
                  <c:v>1.8000000000000015E-4</c:v>
                </c:pt>
                <c:pt idx="37">
                  <c:v>1.8500000000000016E-4</c:v>
                </c:pt>
                <c:pt idx="38">
                  <c:v>1.9000000000000017E-4</c:v>
                </c:pt>
                <c:pt idx="39">
                  <c:v>1.9500000000000019E-4</c:v>
                </c:pt>
                <c:pt idx="40">
                  <c:v>2.000000000000002E-4</c:v>
                </c:pt>
                <c:pt idx="41">
                  <c:v>2.0500000000000021E-4</c:v>
                </c:pt>
                <c:pt idx="42">
                  <c:v>2.1000000000000023E-4</c:v>
                </c:pt>
                <c:pt idx="43">
                  <c:v>2.1500000000000024E-4</c:v>
                </c:pt>
                <c:pt idx="44">
                  <c:v>2.2000000000000025E-4</c:v>
                </c:pt>
                <c:pt idx="45">
                  <c:v>2.2500000000000026E-4</c:v>
                </c:pt>
                <c:pt idx="46">
                  <c:v>2.3000000000000028E-4</c:v>
                </c:pt>
                <c:pt idx="47">
                  <c:v>2.3500000000000029E-4</c:v>
                </c:pt>
                <c:pt idx="48">
                  <c:v>2.400000000000003E-4</c:v>
                </c:pt>
                <c:pt idx="49">
                  <c:v>2.4500000000000032E-4</c:v>
                </c:pt>
                <c:pt idx="50">
                  <c:v>2.5000000000000033E-4</c:v>
                </c:pt>
              </c:numCache>
            </c:numRef>
          </c:xVal>
          <c:yVal>
            <c:numRef>
              <c:f>'shear rates'!$G$127:$BE$127</c:f>
              <c:numCache>
                <c:formatCode>General</c:formatCode>
                <c:ptCount val="51"/>
                <c:pt idx="0">
                  <c:v>0.11848404255319149</c:v>
                </c:pt>
                <c:pt idx="1">
                  <c:v>0.1184840425531911</c:v>
                </c:pt>
                <c:pt idx="2">
                  <c:v>0.11848404255255468</c:v>
                </c:pt>
                <c:pt idx="3">
                  <c:v>0.11848404250562196</c:v>
                </c:pt>
                <c:pt idx="4">
                  <c:v>0.11848404153819533</c:v>
                </c:pt>
                <c:pt idx="5">
                  <c:v>0.11848403165330482</c:v>
                </c:pt>
                <c:pt idx="6">
                  <c:v>0.11848396673460844</c:v>
                </c:pt>
                <c:pt idx="7">
                  <c:v>0.11848365173429559</c:v>
                </c:pt>
                <c:pt idx="8">
                  <c:v>0.11848242480411854</c:v>
                </c:pt>
                <c:pt idx="9">
                  <c:v>0.1184783790267776</c:v>
                </c:pt>
                <c:pt idx="10">
                  <c:v>0.11846666979620037</c:v>
                </c:pt>
                <c:pt idx="11">
                  <c:v>0.11843615568232953</c:v>
                </c:pt>
                <c:pt idx="12">
                  <c:v>0.11836319929502492</c:v>
                </c:pt>
                <c:pt idx="13">
                  <c:v>0.11820088244654259</c:v>
                </c:pt>
                <c:pt idx="14">
                  <c:v>0.11786113683757782</c:v>
                </c:pt>
                <c:pt idx="15">
                  <c:v>0.11718632550099818</c:v>
                </c:pt>
                <c:pt idx="16">
                  <c:v>0.11590559725655181</c:v>
                </c:pt>
                <c:pt idx="17">
                  <c:v>0.11356984043484482</c:v>
                </c:pt>
                <c:pt idx="18">
                  <c:v>0.10945724520344098</c:v>
                </c:pt>
                <c:pt idx="19">
                  <c:v>0.10243930621596238</c:v>
                </c:pt>
                <c:pt idx="20">
                  <c:v>9.0794517457922899E-2</c:v>
                </c:pt>
                <c:pt idx="21">
                  <c:v>7.1953985782496066E-2</c:v>
                </c:pt>
                <c:pt idx="22">
                  <c:v>4.2159673706979574E-2</c:v>
                </c:pt>
                <c:pt idx="23">
                  <c:v>3.9880711061498963E-3</c:v>
                </c:pt>
                <c:pt idx="24">
                  <c:v>7.4121680954387245E-2</c:v>
                </c:pt>
                <c:pt idx="25">
                  <c:v>0.17886948323255503</c:v>
                </c:pt>
                <c:pt idx="26">
                  <c:v>0.33282998221781918</c:v>
                </c:pt>
                <c:pt idx="27">
                  <c:v>0.55580322534844051</c:v>
                </c:pt>
                <c:pt idx="28">
                  <c:v>0.87433266772957652</c:v>
                </c:pt>
                <c:pt idx="29">
                  <c:v>1.32361929524293</c:v>
                </c:pt>
                <c:pt idx="30">
                  <c:v>1.9498790216179993</c:v>
                </c:pt>
                <c:pt idx="31">
                  <c:v>2.8132245971826033</c:v>
                </c:pt>
                <c:pt idx="32">
                  <c:v>3.9911645172323245</c:v>
                </c:pt>
                <c:pt idx="33">
                  <c:v>5.5828237579429159</c:v>
                </c:pt>
                <c:pt idx="34">
                  <c:v>7.7140046608054487</c:v>
                </c:pt>
                <c:pt idx="35">
                  <c:v>10.5432209973805</c:v>
                </c:pt>
                <c:pt idx="36">
                  <c:v>14.268854240800854</c:v>
                </c:pt>
                <c:pt idx="37">
                  <c:v>19.137598416323915</c:v>
                </c:pt>
                <c:pt idx="38">
                  <c:v>25.45437866908415</c:v>
                </c:pt>
                <c:pt idx="39">
                  <c:v>33.593948943100806</c:v>
                </c:pt>
                <c:pt idx="40">
                  <c:v>44.014395982947285</c:v>
                </c:pt>
                <c:pt idx="41">
                  <c:v>57.272800320931346</c:v>
                </c:pt>
                <c:pt idx="42">
                  <c:v>74.043330072191111</c:v>
                </c:pt>
                <c:pt idx="43">
                  <c:v>95.138070302918422</c:v>
                </c:pt>
                <c:pt idx="44">
                  <c:v>121.53091953958285</c:v>
                </c:pt>
                <c:pt idx="45">
                  <c:v>154.38491572715668</c:v>
                </c:pt>
                <c:pt idx="46">
                  <c:v>195.08338670101205</c:v>
                </c:pt>
                <c:pt idx="47">
                  <c:v>245.26535509047687</c:v>
                </c:pt>
                <c:pt idx="48">
                  <c:v>306.86566460350929</c:v>
                </c:pt>
                <c:pt idx="49">
                  <c:v>382.1603339340395</c:v>
                </c:pt>
                <c:pt idx="50">
                  <c:v>473.81768617022789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60-4AED-A534-31225157F968}"/>
            </c:ext>
          </c:extLst>
        </c:ser>
        <c:ser>
          <c:idx val="5"/>
          <c:order val="5"/>
          <c:tx>
            <c:v>Shear rate 1 mm shear thinning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rates'!$B$103:$CX$103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  <c:pt idx="30">
                  <c:v>1.5000000000000007E-4</c:v>
                </c:pt>
                <c:pt idx="31">
                  <c:v>1.5500000000000008E-4</c:v>
                </c:pt>
                <c:pt idx="32">
                  <c:v>1.6000000000000009E-4</c:v>
                </c:pt>
                <c:pt idx="33">
                  <c:v>1.6500000000000011E-4</c:v>
                </c:pt>
                <c:pt idx="34">
                  <c:v>1.7000000000000012E-4</c:v>
                </c:pt>
                <c:pt idx="35">
                  <c:v>1.7500000000000013E-4</c:v>
                </c:pt>
                <c:pt idx="36">
                  <c:v>1.8000000000000015E-4</c:v>
                </c:pt>
                <c:pt idx="37">
                  <c:v>1.8500000000000016E-4</c:v>
                </c:pt>
                <c:pt idx="38">
                  <c:v>1.9000000000000017E-4</c:v>
                </c:pt>
                <c:pt idx="39">
                  <c:v>1.9500000000000019E-4</c:v>
                </c:pt>
                <c:pt idx="40">
                  <c:v>2.000000000000002E-4</c:v>
                </c:pt>
                <c:pt idx="41">
                  <c:v>2.0500000000000021E-4</c:v>
                </c:pt>
                <c:pt idx="42">
                  <c:v>2.1000000000000023E-4</c:v>
                </c:pt>
                <c:pt idx="43">
                  <c:v>2.1500000000000024E-4</c:v>
                </c:pt>
                <c:pt idx="44">
                  <c:v>2.2000000000000025E-4</c:v>
                </c:pt>
                <c:pt idx="45">
                  <c:v>2.2500000000000026E-4</c:v>
                </c:pt>
                <c:pt idx="46">
                  <c:v>2.3000000000000028E-4</c:v>
                </c:pt>
                <c:pt idx="47">
                  <c:v>2.3500000000000029E-4</c:v>
                </c:pt>
                <c:pt idx="48">
                  <c:v>2.400000000000003E-4</c:v>
                </c:pt>
                <c:pt idx="49">
                  <c:v>2.4500000000000032E-4</c:v>
                </c:pt>
                <c:pt idx="50">
                  <c:v>2.5000000000000033E-4</c:v>
                </c:pt>
                <c:pt idx="51">
                  <c:v>2.5500000000000034E-4</c:v>
                </c:pt>
                <c:pt idx="52">
                  <c:v>2.6000000000000036E-4</c:v>
                </c:pt>
                <c:pt idx="53">
                  <c:v>2.6500000000000037E-4</c:v>
                </c:pt>
                <c:pt idx="54">
                  <c:v>2.7000000000000038E-4</c:v>
                </c:pt>
                <c:pt idx="55">
                  <c:v>2.750000000000004E-4</c:v>
                </c:pt>
                <c:pt idx="56">
                  <c:v>2.8000000000000041E-4</c:v>
                </c:pt>
                <c:pt idx="57">
                  <c:v>2.8500000000000042E-4</c:v>
                </c:pt>
                <c:pt idx="58">
                  <c:v>2.9000000000000044E-4</c:v>
                </c:pt>
                <c:pt idx="59">
                  <c:v>2.9500000000000045E-4</c:v>
                </c:pt>
                <c:pt idx="60">
                  <c:v>3.0000000000000046E-4</c:v>
                </c:pt>
                <c:pt idx="61">
                  <c:v>3.0500000000000047E-4</c:v>
                </c:pt>
                <c:pt idx="62">
                  <c:v>3.1000000000000049E-4</c:v>
                </c:pt>
                <c:pt idx="63">
                  <c:v>3.150000000000005E-4</c:v>
                </c:pt>
                <c:pt idx="64">
                  <c:v>3.2000000000000051E-4</c:v>
                </c:pt>
                <c:pt idx="65">
                  <c:v>3.2500000000000053E-4</c:v>
                </c:pt>
                <c:pt idx="66">
                  <c:v>3.3000000000000054E-4</c:v>
                </c:pt>
                <c:pt idx="67">
                  <c:v>3.3500000000000055E-4</c:v>
                </c:pt>
                <c:pt idx="68">
                  <c:v>3.4000000000000057E-4</c:v>
                </c:pt>
                <c:pt idx="69">
                  <c:v>3.4500000000000058E-4</c:v>
                </c:pt>
                <c:pt idx="70">
                  <c:v>3.5000000000000059E-4</c:v>
                </c:pt>
                <c:pt idx="71">
                  <c:v>3.5500000000000061E-4</c:v>
                </c:pt>
                <c:pt idx="72">
                  <c:v>3.6000000000000062E-4</c:v>
                </c:pt>
                <c:pt idx="73">
                  <c:v>3.6500000000000063E-4</c:v>
                </c:pt>
                <c:pt idx="74">
                  <c:v>3.7000000000000065E-4</c:v>
                </c:pt>
                <c:pt idx="75">
                  <c:v>3.7500000000000066E-4</c:v>
                </c:pt>
                <c:pt idx="76">
                  <c:v>3.8000000000000067E-4</c:v>
                </c:pt>
                <c:pt idx="77">
                  <c:v>3.8500000000000068E-4</c:v>
                </c:pt>
                <c:pt idx="78">
                  <c:v>3.900000000000007E-4</c:v>
                </c:pt>
                <c:pt idx="79">
                  <c:v>3.9500000000000071E-4</c:v>
                </c:pt>
                <c:pt idx="80">
                  <c:v>4.0000000000000072E-4</c:v>
                </c:pt>
                <c:pt idx="81">
                  <c:v>4.0500000000000074E-4</c:v>
                </c:pt>
                <c:pt idx="82">
                  <c:v>4.1000000000000075E-4</c:v>
                </c:pt>
                <c:pt idx="83">
                  <c:v>4.1500000000000076E-4</c:v>
                </c:pt>
                <c:pt idx="84">
                  <c:v>4.2000000000000078E-4</c:v>
                </c:pt>
                <c:pt idx="85">
                  <c:v>4.2500000000000079E-4</c:v>
                </c:pt>
                <c:pt idx="86">
                  <c:v>4.300000000000008E-4</c:v>
                </c:pt>
                <c:pt idx="87">
                  <c:v>4.3500000000000082E-4</c:v>
                </c:pt>
                <c:pt idx="88">
                  <c:v>4.4000000000000083E-4</c:v>
                </c:pt>
                <c:pt idx="89">
                  <c:v>4.4500000000000084E-4</c:v>
                </c:pt>
                <c:pt idx="90">
                  <c:v>4.5000000000000086E-4</c:v>
                </c:pt>
                <c:pt idx="91">
                  <c:v>4.5500000000000087E-4</c:v>
                </c:pt>
                <c:pt idx="92">
                  <c:v>4.6000000000000088E-4</c:v>
                </c:pt>
                <c:pt idx="93">
                  <c:v>4.6500000000000089E-4</c:v>
                </c:pt>
                <c:pt idx="94">
                  <c:v>4.7000000000000091E-4</c:v>
                </c:pt>
                <c:pt idx="95">
                  <c:v>4.7500000000000092E-4</c:v>
                </c:pt>
                <c:pt idx="96">
                  <c:v>4.8000000000000093E-4</c:v>
                </c:pt>
                <c:pt idx="97">
                  <c:v>4.8500000000000095E-4</c:v>
                </c:pt>
                <c:pt idx="98">
                  <c:v>4.9000000000000096E-4</c:v>
                </c:pt>
                <c:pt idx="99">
                  <c:v>4.9500000000000097E-4</c:v>
                </c:pt>
                <c:pt idx="100">
                  <c:v>5.0000000000000099E-4</c:v>
                </c:pt>
              </c:numCache>
            </c:numRef>
          </c:xVal>
          <c:yVal>
            <c:numRef>
              <c:f>'shear rates'!$G$140:$DC$140</c:f>
              <c:numCache>
                <c:formatCode>General</c:formatCode>
                <c:ptCount val="101"/>
                <c:pt idx="0">
                  <c:v>5.9242021276595745E-2</c:v>
                </c:pt>
                <c:pt idx="1">
                  <c:v>5.9242021276595745E-2</c:v>
                </c:pt>
                <c:pt idx="2">
                  <c:v>5.9242021276595648E-2</c:v>
                </c:pt>
                <c:pt idx="3">
                  <c:v>5.9242021276588286E-2</c:v>
                </c:pt>
                <c:pt idx="4">
                  <c:v>5.9242021276436539E-2</c:v>
                </c:pt>
                <c:pt idx="5">
                  <c:v>5.9242021274886064E-2</c:v>
                </c:pt>
                <c:pt idx="6">
                  <c:v>5.9242021264703355E-2</c:v>
                </c:pt>
                <c:pt idx="7">
                  <c:v>5.9242021215294573E-2</c:v>
                </c:pt>
                <c:pt idx="8">
                  <c:v>5.924202102284671E-2</c:v>
                </c:pt>
                <c:pt idx="9">
                  <c:v>5.9242020388253783E-2</c:v>
                </c:pt>
                <c:pt idx="10">
                  <c:v>5.9242018551624073E-2</c:v>
                </c:pt>
                <c:pt idx="11">
                  <c:v>5.9242013765389186E-2</c:v>
                </c:pt>
                <c:pt idx="12">
                  <c:v>5.9242002321949983E-2</c:v>
                </c:pt>
                <c:pt idx="13">
                  <c:v>5.9241976862040913E-2</c:v>
                </c:pt>
                <c:pt idx="14">
                  <c:v>5.9241923571871767E-2</c:v>
                </c:pt>
                <c:pt idx="15">
                  <c:v>5.924181772558762E-2</c:v>
                </c:pt>
                <c:pt idx="16">
                  <c:v>5.9241616839327507E-2</c:v>
                </c:pt>
                <c:pt idx="17">
                  <c:v>5.9241250468511156E-2</c:v>
                </c:pt>
                <c:pt idx="18">
                  <c:v>5.924060539499227E-2</c:v>
                </c:pt>
                <c:pt idx="19">
                  <c:v>5.923950460915188E-2</c:v>
                </c:pt>
                <c:pt idx="20">
                  <c:v>5.9237678087347964E-2</c:v>
                </c:pt>
                <c:pt idx="21">
                  <c:v>5.9234722890597072E-2</c:v>
                </c:pt>
                <c:pt idx="22">
                  <c:v>5.9230049558880254E-2</c:v>
                </c:pt>
                <c:pt idx="23">
                  <c:v>5.9222811139716613E-2</c:v>
                </c:pt>
                <c:pt idx="24">
                  <c:v>5.9211810462054107E-2</c:v>
                </c:pt>
                <c:pt idx="25">
                  <c:v>5.9195380439256026E-2</c:v>
                </c:pt>
                <c:pt idx="26">
                  <c:v>5.9171231249933523E-2</c:v>
                </c:pt>
                <c:pt idx="27">
                  <c:v>5.9136257194265324E-2</c:v>
                </c:pt>
                <c:pt idx="28">
                  <c:v>5.9086294847692324E-2</c:v>
                </c:pt>
                <c:pt idx="29">
                  <c:v>5.9015822824677336E-2</c:v>
                </c:pt>
                <c:pt idx="30">
                  <c:v>5.8917592013547411E-2</c:v>
                </c:pt>
                <c:pt idx="31">
                  <c:v>5.8782173540026808E-2</c:v>
                </c:pt>
                <c:pt idx="32">
                  <c:v>5.8597409952435821E-2</c:v>
                </c:pt>
                <c:pt idx="33">
                  <c:v>5.8347753185965412E-2</c:v>
                </c:pt>
                <c:pt idx="34">
                  <c:v>5.8013470747009063E-2</c:v>
                </c:pt>
                <c:pt idx="35">
                  <c:v>5.7569699251095625E-2</c:v>
                </c:pt>
                <c:pt idx="36">
                  <c:v>5.698532193915809E-2</c:v>
                </c:pt>
                <c:pt idx="37">
                  <c:v>5.6221644076118724E-2</c:v>
                </c:pt>
                <c:pt idx="38">
                  <c:v>5.5230837192288364E-2</c:v>
                </c:pt>
                <c:pt idx="39">
                  <c:v>5.3954119950875283E-2</c:v>
                </c:pt>
                <c:pt idx="40">
                  <c:v>5.2319640002778611E-2</c:v>
                </c:pt>
                <c:pt idx="41">
                  <c:v>5.0240017511408795E-2</c:v>
                </c:pt>
                <c:pt idx="42">
                  <c:v>4.7609507083921747E-2</c:v>
                </c:pt>
                <c:pt idx="43">
                  <c:v>4.4300730619189599E-2</c:v>
                </c:pt>
                <c:pt idx="44">
                  <c:v>4.0160929065042261E-2</c:v>
                </c:pt>
                <c:pt idx="45">
                  <c:v>3.5007676255628735E-2</c:v>
                </c:pt>
                <c:pt idx="46">
                  <c:v>2.8623992861759588E-2</c:v>
                </c:pt>
                <c:pt idx="47">
                  <c:v>2.0752793020240176E-2</c:v>
                </c:pt>
                <c:pt idx="48">
                  <c:v>1.1090590399700468E-2</c:v>
                </c:pt>
                <c:pt idx="49">
                  <c:v>7.1961570266015928E-4</c:v>
                </c:pt>
                <c:pt idx="50">
                  <c:v>1.509636016984286E-2</c:v>
                </c:pt>
                <c:pt idx="51">
                  <c:v>3.2528730627679012E-2</c:v>
                </c:pt>
                <c:pt idx="52">
                  <c:v>5.3586484916159929E-2</c:v>
                </c:pt>
                <c:pt idx="53">
                  <c:v>7.8931375339113471E-2</c:v>
                </c:pt>
                <c:pt idx="54">
                  <c:v>0.10932979569881673</c:v>
                </c:pt>
                <c:pt idx="55">
                  <c:v>0.14566687569534856</c:v>
                </c:pt>
                <c:pt idx="56">
                  <c:v>0.18896215629410287</c:v>
                </c:pt>
                <c:pt idx="57">
                  <c:v>0.24038698915343151</c:v>
                </c:pt>
                <c:pt idx="58">
                  <c:v>0.30128381317244418</c:v>
                </c:pt>
                <c:pt idx="59">
                  <c:v>0.37318747168106364</c:v>
                </c:pt>
                <c:pt idx="60">
                  <c:v>0.45784874476620824</c:v>
                </c:pt>
                <c:pt idx="61">
                  <c:v>0.55726028272319084</c:v>
                </c:pt>
                <c:pt idx="62">
                  <c:v>0.67368513865736201</c:v>
                </c:pt>
                <c:pt idx="63">
                  <c:v>0.80968811085073378</c:v>
                </c:pt>
                <c:pt idx="64">
                  <c:v>0.9681701186698104</c:v>
                </c:pt>
                <c:pt idx="65">
                  <c:v>1.152405849538227</c:v>
                </c:pt>
                <c:pt idx="66">
                  <c:v>1.3660849288474284</c:v>
                </c:pt>
                <c:pt idx="67">
                  <c:v>1.6133568796474991</c:v>
                </c:pt>
                <c:pt idx="68">
                  <c:v>1.8988801545630887</c:v>
                </c:pt>
                <c:pt idx="69">
                  <c:v>2.2278755386346534</c:v>
                </c:pt>
                <c:pt idx="70">
                  <c:v>2.6061842387068599</c:v>
                </c:pt>
                <c:pt idx="71">
                  <c:v>3.040330992594189</c:v>
                </c:pt>
                <c:pt idx="72">
                  <c:v>3.5375925495619596</c:v>
                </c:pt>
                <c:pt idx="73">
                  <c:v>4.1060718926891075</c:v>
                </c:pt>
                <c:pt idx="74">
                  <c:v>4.7547785934427402</c:v>
                </c:pt>
                <c:pt idx="75">
                  <c:v>5.4937157093114974</c:v>
                </c:pt>
                <c:pt idx="76">
                  <c:v>6.3339736566327272</c:v>
                </c:pt>
                <c:pt idx="77">
                  <c:v>7.2878315128275108</c:v>
                </c:pt>
                <c:pt idx="78">
                  <c:v>8.3688662251370065</c:v>
                </c:pt>
                <c:pt idx="79">
                  <c:v>9.5920702266672908</c:v>
                </c:pt>
                <c:pt idx="80">
                  <c:v>10.973977985098658</c:v>
                </c:pt>
                <c:pt idx="81">
                  <c:v>12.532802034825774</c:v>
                </c:pt>
                <c:pt idx="82">
                  <c:v>14.288579069594919</c:v>
                </c:pt>
                <c:pt idx="83">
                  <c:v>16.263326699886679</c:v>
                </c:pt>
                <c:pt idx="84">
                  <c:v>18.481211507409711</c:v>
                </c:pt>
                <c:pt idx="85">
                  <c:v>20.968729058107787</c:v>
                </c:pt>
                <c:pt idx="86">
                  <c:v>23.754896565091599</c:v>
                </c:pt>
                <c:pt idx="87">
                  <c:v>26.871458923872943</c:v>
                </c:pt>
                <c:pt idx="88">
                  <c:v>30.353108874257362</c:v>
                </c:pt>
                <c:pt idx="89">
                  <c:v>34.23772207622487</c:v>
                </c:pt>
                <c:pt idx="90">
                  <c:v>38.566607921151359</c:v>
                </c:pt>
                <c:pt idx="91">
                  <c:v>43.384776934796491</c:v>
                </c:pt>
                <c:pt idx="92">
                  <c:v>48.741225664614625</c:v>
                </c:pt>
                <c:pt idx="93">
                  <c:v>54.689239981195463</c:v>
                </c:pt>
                <c:pt idx="94">
                  <c:v>61.286717761981684</c:v>
                </c:pt>
                <c:pt idx="95">
                  <c:v>68.596511964910107</c:v>
                </c:pt>
                <c:pt idx="96">
                  <c:v>76.68679514023998</c:v>
                </c:pt>
                <c:pt idx="97">
                  <c:v>85.631446470675883</c:v>
                </c:pt>
                <c:pt idx="98">
                  <c:v>95.510462472871396</c:v>
                </c:pt>
                <c:pt idx="99">
                  <c:v>106.41039253768152</c:v>
                </c:pt>
                <c:pt idx="100">
                  <c:v>118.42480053191846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60-4AED-A534-31225157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centre of symmetry 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Shear rate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24256841874222221"/>
          <c:h val="0.297968734895919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sample thickness without annealing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2"/>
          <c:order val="0"/>
          <c:tx>
            <c:v>Core fraction, 1 mm  (2)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'estimates new'!$AT$61:$AT$63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new'!$AU$61:$AU$63</c:f>
              <c:numCache>
                <c:formatCode>General</c:formatCode>
                <c:ptCount val="3"/>
                <c:pt idx="0">
                  <c:v>0.40229885057471265</c:v>
                </c:pt>
                <c:pt idx="1">
                  <c:v>0.41111111111111109</c:v>
                </c:pt>
                <c:pt idx="2">
                  <c:v>0.39080459770114945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B-4C5C-ADDF-708890A9CA0E}"/>
            </c:ext>
          </c:extLst>
        </c:ser>
        <c:ser>
          <c:idx val="4"/>
          <c:order val="1"/>
          <c:tx>
            <c:v>Core fraction, 0.3 mm (5)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new'!$AT$70:$AT$72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new'!$AU$70:$AU$72</c:f>
              <c:numCache>
                <c:formatCode>General</c:formatCode>
                <c:ptCount val="3"/>
                <c:pt idx="0">
                  <c:v>0.32</c:v>
                </c:pt>
                <c:pt idx="1">
                  <c:v>0.1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B-4C5C-ADDF-708890A9CA0E}"/>
            </c:ext>
          </c:extLst>
        </c:ser>
        <c:ser>
          <c:idx val="3"/>
          <c:order val="2"/>
          <c:tx>
            <c:v>Skin fraction, 1 mm (2)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'estimates new'!$AT$61:$AT$63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new'!$AV$61:$AV$63</c:f>
              <c:numCache>
                <c:formatCode>General</c:formatCode>
                <c:ptCount val="3"/>
                <c:pt idx="0">
                  <c:v>0.5977011494252874</c:v>
                </c:pt>
                <c:pt idx="1">
                  <c:v>0.58888888888888891</c:v>
                </c:pt>
                <c:pt idx="2">
                  <c:v>0.60919540229885061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B-4C5C-ADDF-708890A9CA0E}"/>
            </c:ext>
          </c:extLst>
        </c:ser>
        <c:ser>
          <c:idx val="5"/>
          <c:order val="3"/>
          <c:tx>
            <c:v>Skin fraction, 0.3 mm (5)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new'!$AT$70:$AT$72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new'!$AV$70:$AV$72</c:f>
              <c:numCache>
                <c:formatCode>General</c:formatCode>
                <c:ptCount val="3"/>
                <c:pt idx="0">
                  <c:v>0.68</c:v>
                </c:pt>
                <c:pt idx="1">
                  <c:v>0.9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B-4C5C-ADDF-708890A9CA0E}"/>
            </c:ext>
          </c:extLst>
        </c:ser>
        <c:ser>
          <c:idx val="0"/>
          <c:order val="4"/>
          <c:tx>
            <c:v>Core fraction, 0.5 mm (8)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new'!$AT$73:$AT$75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new'!$AU$73:$AU$75</c:f>
              <c:numCache>
                <c:formatCode>General</c:formatCode>
                <c:ptCount val="3"/>
                <c:pt idx="0">
                  <c:v>0.35526315789473684</c:v>
                </c:pt>
                <c:pt idx="1">
                  <c:v>0.30303030303030304</c:v>
                </c:pt>
                <c:pt idx="2">
                  <c:v>4.2253521126760563E-2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7B-4C5C-ADDF-708890A9CA0E}"/>
            </c:ext>
          </c:extLst>
        </c:ser>
        <c:ser>
          <c:idx val="1"/>
          <c:order val="5"/>
          <c:tx>
            <c:v>Skin fraction, 0.5 mm (8)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new'!$AT$73:$AT$75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new'!$AV$73:$AV$75</c:f>
              <c:numCache>
                <c:formatCode>General</c:formatCode>
                <c:ptCount val="3"/>
                <c:pt idx="0">
                  <c:v>0.64473684210526316</c:v>
                </c:pt>
                <c:pt idx="1">
                  <c:v>0.69696969696969702</c:v>
                </c:pt>
                <c:pt idx="2">
                  <c:v>0.95774647887323949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7B-4C5C-ADDF-708890A9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9380633603340943E-2"/>
          <c:y val="9.3348885476697327E-2"/>
          <c:w val="0.23113191001567951"/>
          <c:h val="0.2945726436988355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0.3 mm thickness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rates'!$AK$114:$AK$116</c:f>
              <c:numCache>
                <c:formatCode>General</c:formatCode>
                <c:ptCount val="3"/>
                <c:pt idx="0">
                  <c:v>1316.2918882979025</c:v>
                </c:pt>
                <c:pt idx="1">
                  <c:v>585.01861702129008</c:v>
                </c:pt>
                <c:pt idx="2">
                  <c:v>376.08339665654358</c:v>
                </c:pt>
              </c:numCache>
            </c:numRef>
          </c:xVal>
          <c:yVal>
            <c:numRef>
              <c:f>'shear rates'!$BU$109:$BU$111</c:f>
              <c:numCache>
                <c:formatCode>General</c:formatCode>
                <c:ptCount val="3"/>
                <c:pt idx="0">
                  <c:v>0.13750000000000001</c:v>
                </c:pt>
                <c:pt idx="1">
                  <c:v>0.125</c:v>
                </c:pt>
                <c:pt idx="2">
                  <c:v>0.11874999999999999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8-426E-9EFD-7D9C52B14FAA}"/>
            </c:ext>
          </c:extLst>
        </c:ser>
        <c:ser>
          <c:idx val="1"/>
          <c:order val="1"/>
          <c:tx>
            <c:v>Experimental core fraction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rates'!$AK$114:$AK$116</c:f>
              <c:numCache>
                <c:formatCode>General</c:formatCode>
                <c:ptCount val="3"/>
                <c:pt idx="0">
                  <c:v>1316.2918882979025</c:v>
                </c:pt>
                <c:pt idx="1">
                  <c:v>585.01861702129008</c:v>
                </c:pt>
                <c:pt idx="2">
                  <c:v>376.08339665654358</c:v>
                </c:pt>
              </c:numCache>
            </c:numRef>
          </c:xVal>
          <c:yVal>
            <c:numRef>
              <c:f>'shear rates'!$BV$109:$BV$111</c:f>
              <c:numCache>
                <c:formatCode>General</c:formatCode>
                <c:ptCount val="3"/>
                <c:pt idx="0">
                  <c:v>0.32</c:v>
                </c:pt>
                <c:pt idx="1">
                  <c:v>0.1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426E-9EFD-7D9C52B1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0.5 mm thickness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rates'!$BE$127:$BE$129</c:f>
              <c:numCache>
                <c:formatCode>General</c:formatCode>
                <c:ptCount val="3"/>
                <c:pt idx="0">
                  <c:v>473.81768617022789</c:v>
                </c:pt>
                <c:pt idx="1">
                  <c:v>210.58563829787903</c:v>
                </c:pt>
                <c:pt idx="2">
                  <c:v>135.37648176292225</c:v>
                </c:pt>
              </c:numCache>
            </c:numRef>
          </c:xVal>
          <c:yVal>
            <c:numRef>
              <c:f>'shear rates'!$DI$122:$DI$124</c:f>
              <c:numCache>
                <c:formatCode>General</c:formatCode>
                <c:ptCount val="3"/>
                <c:pt idx="0">
                  <c:v>0.24374999999999999</c:v>
                </c:pt>
                <c:pt idx="1">
                  <c:v>0.22500000000000001</c:v>
                </c:pt>
                <c:pt idx="2">
                  <c:v>0.21875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1-4DFB-8890-F08F344112ED}"/>
            </c:ext>
          </c:extLst>
        </c:ser>
        <c:ser>
          <c:idx val="1"/>
          <c:order val="1"/>
          <c:tx>
            <c:v>Experimental core fraction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rates'!$BE$127:$BE$129</c:f>
              <c:numCache>
                <c:formatCode>General</c:formatCode>
                <c:ptCount val="3"/>
                <c:pt idx="0">
                  <c:v>473.81768617022789</c:v>
                </c:pt>
                <c:pt idx="1">
                  <c:v>210.58563829787903</c:v>
                </c:pt>
                <c:pt idx="2">
                  <c:v>135.37648176292225</c:v>
                </c:pt>
              </c:numCache>
            </c:numRef>
          </c:xVal>
          <c:yVal>
            <c:numRef>
              <c:f>'shear rates'!$DJ$122:$DJ$124</c:f>
              <c:numCache>
                <c:formatCode>General</c:formatCode>
                <c:ptCount val="3"/>
                <c:pt idx="0">
                  <c:v>0.35526315789473684</c:v>
                </c:pt>
                <c:pt idx="1">
                  <c:v>0.30303030303030304</c:v>
                </c:pt>
                <c:pt idx="2">
                  <c:v>4.2253521126760563E-2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1-4DFB-8890-F08F3441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 mm thickness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rates'!$DC$140:$DC$142</c:f>
              <c:numCache>
                <c:formatCode>General</c:formatCode>
                <c:ptCount val="3"/>
                <c:pt idx="0">
                  <c:v>118.42480053191846</c:v>
                </c:pt>
                <c:pt idx="1">
                  <c:v>52.633244680852641</c:v>
                </c:pt>
                <c:pt idx="2">
                  <c:v>33.835657294833844</c:v>
                </c:pt>
              </c:numCache>
            </c:numRef>
          </c:xVal>
          <c:yVal>
            <c:numRef>
              <c:f>'shear rates'!$HE$135:$HE$137</c:f>
              <c:numCache>
                <c:formatCode>General</c:formatCode>
                <c:ptCount val="3"/>
                <c:pt idx="0">
                  <c:v>0.52500000000000002</c:v>
                </c:pt>
                <c:pt idx="1">
                  <c:v>0.48749999999999999</c:v>
                </c:pt>
                <c:pt idx="2">
                  <c:v>0.46249999999999997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8-4B12-9E14-2B3E07106808}"/>
            </c:ext>
          </c:extLst>
        </c:ser>
        <c:ser>
          <c:idx val="1"/>
          <c:order val="1"/>
          <c:tx>
            <c:v>Experimental core fraction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rates'!$DC$140:$DC$142</c:f>
              <c:numCache>
                <c:formatCode>General</c:formatCode>
                <c:ptCount val="3"/>
                <c:pt idx="0">
                  <c:v>118.42480053191846</c:v>
                </c:pt>
                <c:pt idx="1">
                  <c:v>52.633244680852641</c:v>
                </c:pt>
                <c:pt idx="2">
                  <c:v>33.835657294833844</c:v>
                </c:pt>
              </c:numCache>
            </c:numRef>
          </c:xVal>
          <c:yVal>
            <c:numRef>
              <c:f>'shear rates'!$HF$135:$HF$137</c:f>
              <c:numCache>
                <c:formatCode>General</c:formatCode>
                <c:ptCount val="3"/>
                <c:pt idx="0">
                  <c:v>0.40229885057471265</c:v>
                </c:pt>
                <c:pt idx="1">
                  <c:v>0.41111111111111109</c:v>
                </c:pt>
                <c:pt idx="2">
                  <c:v>0.39080459770114945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8-4B12-9E14-2B3E0710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1.6 mm thickness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rates'!$FJ$152:$FJ$154</c:f>
              <c:numCache>
                <c:formatCode>General</c:formatCode>
                <c:ptCount val="3"/>
                <c:pt idx="0">
                  <c:v>43.259526554224237</c:v>
                </c:pt>
                <c:pt idx="1">
                  <c:v>19.226456246321888</c:v>
                </c:pt>
                <c:pt idx="2">
                  <c:v>12.359864729778353</c:v>
                </c:pt>
              </c:numCache>
            </c:numRef>
          </c:xVal>
          <c:yVal>
            <c:numRef>
              <c:f>'shear rates'!$LS$147:$LS$149</c:f>
              <c:numCache>
                <c:formatCode>General</c:formatCode>
                <c:ptCount val="3"/>
                <c:pt idx="0">
                  <c:v>0.86249999999999993</c:v>
                </c:pt>
                <c:pt idx="1">
                  <c:v>0.81249999999999989</c:v>
                </c:pt>
                <c:pt idx="2">
                  <c:v>0.77499999999999991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2EF-8F2A-ECE2B3A2CD1C}"/>
            </c:ext>
          </c:extLst>
        </c:ser>
        <c:ser>
          <c:idx val="1"/>
          <c:order val="1"/>
          <c:tx>
            <c:v>Experimental core fraction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rates'!$FJ$152:$FJ$154</c:f>
              <c:numCache>
                <c:formatCode>General</c:formatCode>
                <c:ptCount val="3"/>
                <c:pt idx="0">
                  <c:v>43.259526554224237</c:v>
                </c:pt>
                <c:pt idx="1">
                  <c:v>19.226456246321888</c:v>
                </c:pt>
                <c:pt idx="2">
                  <c:v>12.359864729778353</c:v>
                </c:pt>
              </c:numCache>
            </c:numRef>
          </c:xVal>
          <c:yVal>
            <c:numRef>
              <c:f>'shear rates'!$LT$147:$LT$149</c:f>
              <c:numCache>
                <c:formatCode>General</c:formatCode>
                <c:ptCount val="3"/>
                <c:pt idx="0">
                  <c:v>0.75155279503105588</c:v>
                </c:pt>
                <c:pt idx="1">
                  <c:v>0.57309941520467833</c:v>
                </c:pt>
                <c:pt idx="2">
                  <c:v>0.54651162790697672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F-42EF-8F2A-ECE2B3A2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</a:t>
            </a:r>
            <a:r>
              <a:rPr lang="en-GB" baseline="0"/>
              <a:t> mm thickness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shear/stretch 12 mm newtonian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rates'!$B$8:$Q$8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</c:numCache>
            </c:numRef>
          </c:xVal>
          <c:yVal>
            <c:numRef>
              <c:f>'shear rates'!$X$14:$AL$14</c:f>
              <c:numCache>
                <c:formatCode>General</c:formatCode>
                <c:ptCount val="15"/>
                <c:pt idx="0">
                  <c:v>0</c:v>
                </c:pt>
                <c:pt idx="1">
                  <c:v>7.576144084141581</c:v>
                </c:pt>
                <c:pt idx="2">
                  <c:v>15.357975337988364</c:v>
                </c:pt>
                <c:pt idx="3">
                  <c:v>23.570226039551589</c:v>
                </c:pt>
                <c:pt idx="4">
                  <c:v>32.479545930099796</c:v>
                </c:pt>
                <c:pt idx="5">
                  <c:v>42.426406871192853</c:v>
                </c:pt>
                <c:pt idx="6">
                  <c:v>53.874802376117906</c:v>
                </c:pt>
                <c:pt idx="7">
                  <c:v>67.49655638598864</c:v>
                </c:pt>
                <c:pt idx="8">
                  <c:v>84.325777632184554</c:v>
                </c:pt>
                <c:pt idx="9">
                  <c:v>106.06601717798215</c:v>
                </c:pt>
                <c:pt idx="10">
                  <c:v>135.76450198781717</c:v>
                </c:pt>
                <c:pt idx="11">
                  <c:v>179.49633676273905</c:v>
                </c:pt>
                <c:pt idx="12">
                  <c:v>251.41574442188366</c:v>
                </c:pt>
                <c:pt idx="13">
                  <c:v>393.95949237536269</c:v>
                </c:pt>
                <c:pt idx="14">
                  <c:v>819.26854647820858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E-494B-825C-A48CF213015F}"/>
            </c:ext>
          </c:extLst>
        </c:ser>
        <c:ser>
          <c:idx val="1"/>
          <c:order val="1"/>
          <c:tx>
            <c:v>shear/ stretch 27 mm newtonian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rates'!$B$8:$Q$8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</c:numCache>
            </c:numRef>
          </c:xVal>
          <c:yVal>
            <c:numRef>
              <c:f>'shear rates'!$X$15:$AL$15</c:f>
              <c:numCache>
                <c:formatCode>General</c:formatCode>
                <c:ptCount val="15"/>
                <c:pt idx="0">
                  <c:v>0</c:v>
                </c:pt>
                <c:pt idx="1">
                  <c:v>17.046324189318558</c:v>
                </c:pt>
                <c:pt idx="2">
                  <c:v>34.555444510473819</c:v>
                </c:pt>
                <c:pt idx="3">
                  <c:v>53.033008588991066</c:v>
                </c:pt>
                <c:pt idx="4">
                  <c:v>73.078978342724525</c:v>
                </c:pt>
                <c:pt idx="5">
                  <c:v>95.459415460183934</c:v>
                </c:pt>
                <c:pt idx="6">
                  <c:v>121.21830534626527</c:v>
                </c:pt>
                <c:pt idx="7">
                  <c:v>151.86725186847443</c:v>
                </c:pt>
                <c:pt idx="8">
                  <c:v>189.73299967241525</c:v>
                </c:pt>
                <c:pt idx="9">
                  <c:v>238.64853865045978</c:v>
                </c:pt>
                <c:pt idx="10">
                  <c:v>305.47012947258861</c:v>
                </c:pt>
                <c:pt idx="11">
                  <c:v>403.86675771616279</c:v>
                </c:pt>
                <c:pt idx="12">
                  <c:v>565.68542494923815</c:v>
                </c:pt>
                <c:pt idx="13">
                  <c:v>886.40885784456589</c:v>
                </c:pt>
                <c:pt idx="14">
                  <c:v>1843.3542295759692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E-494B-825C-A48CF213015F}"/>
            </c:ext>
          </c:extLst>
        </c:ser>
        <c:ser>
          <c:idx val="2"/>
          <c:order val="2"/>
          <c:tx>
            <c:v>shear/stretch 42 mm newtonian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rates'!$B$8:$Q$8</c:f>
              <c:numCache>
                <c:formatCode>General</c:formatCode>
                <c:ptCount val="16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</c:numCache>
            </c:numRef>
          </c:xVal>
          <c:yVal>
            <c:numRef>
              <c:f>'shear rates'!$X$16:$AL$16</c:f>
              <c:numCache>
                <c:formatCode>General</c:formatCode>
                <c:ptCount val="15"/>
                <c:pt idx="0">
                  <c:v>0</c:v>
                </c:pt>
                <c:pt idx="1">
                  <c:v>26.51650429449554</c:v>
                </c:pt>
                <c:pt idx="2">
                  <c:v>53.752913682959282</c:v>
                </c:pt>
                <c:pt idx="3">
                  <c:v>82.495791138430562</c:v>
                </c:pt>
                <c:pt idx="4">
                  <c:v>113.67841075534929</c:v>
                </c:pt>
                <c:pt idx="5">
                  <c:v>148.49242404917501</c:v>
                </c:pt>
                <c:pt idx="6">
                  <c:v>188.56180831641271</c:v>
                </c:pt>
                <c:pt idx="7">
                  <c:v>236.23794735096027</c:v>
                </c:pt>
                <c:pt idx="8">
                  <c:v>295.140221712646</c:v>
                </c:pt>
                <c:pt idx="9">
                  <c:v>371.23106012293755</c:v>
                </c:pt>
                <c:pt idx="10">
                  <c:v>475.17575695736002</c:v>
                </c:pt>
                <c:pt idx="11">
                  <c:v>628.23717866958668</c:v>
                </c:pt>
                <c:pt idx="12">
                  <c:v>879.95510547659296</c:v>
                </c:pt>
                <c:pt idx="13">
                  <c:v>1378.8582233137695</c:v>
                </c:pt>
                <c:pt idx="14">
                  <c:v>2867.4399126737303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8E-494B-825C-A48CF213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centre of symmetry 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shear/extensional rates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02871149678984"/>
          <c:y val="0.10370535578993904"/>
          <c:w val="0.27354777360698773"/>
          <c:h val="0.311106559804270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</a:t>
            </a:r>
            <a:r>
              <a:rPr lang="en-GB" baseline="0"/>
              <a:t> mm from injection pt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shear/stretch 0.3 mm newtonian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rates'!$B$206:$Q$206</c:f>
              <c:numCache>
                <c:formatCode>General</c:formatCode>
                <c:ptCount val="16"/>
                <c:pt idx="0">
                  <c:v>0</c:v>
                </c:pt>
                <c:pt idx="1">
                  <c:v>6.666666666666668E-2</c:v>
                </c:pt>
                <c:pt idx="2">
                  <c:v>0.13333333333333336</c:v>
                </c:pt>
                <c:pt idx="3">
                  <c:v>0.20000000000000004</c:v>
                </c:pt>
                <c:pt idx="4">
                  <c:v>0.26666666666666672</c:v>
                </c:pt>
                <c:pt idx="5">
                  <c:v>0.33333333333333337</c:v>
                </c:pt>
                <c:pt idx="6">
                  <c:v>0.4</c:v>
                </c:pt>
                <c:pt idx="7">
                  <c:v>0.46666666666666673</c:v>
                </c:pt>
                <c:pt idx="8">
                  <c:v>0.53333333333333344</c:v>
                </c:pt>
                <c:pt idx="9">
                  <c:v>0.60000000000000009</c:v>
                </c:pt>
                <c:pt idx="10">
                  <c:v>0.66666666666666674</c:v>
                </c:pt>
                <c:pt idx="11">
                  <c:v>0.73333333333333339</c:v>
                </c:pt>
                <c:pt idx="12">
                  <c:v>0.8</c:v>
                </c:pt>
                <c:pt idx="13">
                  <c:v>0.86666666666666681</c:v>
                </c:pt>
                <c:pt idx="14">
                  <c:v>0.93333333333333346</c:v>
                </c:pt>
                <c:pt idx="15">
                  <c:v>1.0000000000000002</c:v>
                </c:pt>
              </c:numCache>
            </c:numRef>
          </c:xVal>
          <c:yVal>
            <c:numRef>
              <c:f>'shear rates'!$X$14:$AL$14</c:f>
              <c:numCache>
                <c:formatCode>General</c:formatCode>
                <c:ptCount val="15"/>
                <c:pt idx="0">
                  <c:v>0</c:v>
                </c:pt>
                <c:pt idx="1">
                  <c:v>7.576144084141581</c:v>
                </c:pt>
                <c:pt idx="2">
                  <c:v>15.357975337988364</c:v>
                </c:pt>
                <c:pt idx="3">
                  <c:v>23.570226039551589</c:v>
                </c:pt>
                <c:pt idx="4">
                  <c:v>32.479545930099796</c:v>
                </c:pt>
                <c:pt idx="5">
                  <c:v>42.426406871192853</c:v>
                </c:pt>
                <c:pt idx="6">
                  <c:v>53.874802376117906</c:v>
                </c:pt>
                <c:pt idx="7">
                  <c:v>67.49655638598864</c:v>
                </c:pt>
                <c:pt idx="8">
                  <c:v>84.325777632184554</c:v>
                </c:pt>
                <c:pt idx="9">
                  <c:v>106.06601717798215</c:v>
                </c:pt>
                <c:pt idx="10">
                  <c:v>135.76450198781717</c:v>
                </c:pt>
                <c:pt idx="11">
                  <c:v>179.49633676273905</c:v>
                </c:pt>
                <c:pt idx="12">
                  <c:v>251.41574442188366</c:v>
                </c:pt>
                <c:pt idx="13">
                  <c:v>393.95949237536269</c:v>
                </c:pt>
                <c:pt idx="14">
                  <c:v>819.26854647820858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C-4198-9E39-62E670CFE274}"/>
            </c:ext>
          </c:extLst>
        </c:ser>
        <c:ser>
          <c:idx val="1"/>
          <c:order val="1"/>
          <c:tx>
            <c:v>shear/ stretch 0.5 mm newtonian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rates'!$B$211:$AA$211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0.12000000000000001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0.36000000000000004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0.60000000000000009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'shear rates'!$AH$27:$BF$27</c:f>
              <c:numCache>
                <c:formatCode>General</c:formatCode>
                <c:ptCount val="25"/>
                <c:pt idx="0">
                  <c:v>0</c:v>
                </c:pt>
                <c:pt idx="1">
                  <c:v>2.719641466102106</c:v>
                </c:pt>
                <c:pt idx="2">
                  <c:v>5.4655596613452948</c:v>
                </c:pt>
                <c:pt idx="3">
                  <c:v>8.2648844554271808</c:v>
                </c:pt>
                <c:pt idx="4">
                  <c:v>11.146510836438187</c:v>
                </c:pt>
                <c:pt idx="5">
                  <c:v>14.142135623730953</c:v>
                </c:pt>
                <c:pt idx="6">
                  <c:v>17.287500253117631</c:v>
                </c:pt>
                <c:pt idx="7">
                  <c:v>20.62394778460764</c:v>
                </c:pt>
                <c:pt idx="8">
                  <c:v>24.200445987133179</c:v>
                </c:pt>
                <c:pt idx="9">
                  <c:v>28.076298664759982</c:v>
                </c:pt>
                <c:pt idx="10">
                  <c:v>32.324881425670753</c:v>
                </c:pt>
                <c:pt idx="11">
                  <c:v>37.038926633581063</c:v>
                </c:pt>
                <c:pt idx="12">
                  <c:v>42.338202283103058</c:v>
                </c:pt>
                <c:pt idx="13">
                  <c:v>48.38099029171115</c:v>
                </c:pt>
                <c:pt idx="14">
                  <c:v>55.381789855170169</c:v>
                </c:pt>
                <c:pt idx="15">
                  <c:v>63.639610306789294</c:v>
                </c:pt>
                <c:pt idx="16">
                  <c:v>73.585095928356168</c:v>
                </c:pt>
                <c:pt idx="17">
                  <c:v>85.862966286937933</c:v>
                </c:pt>
                <c:pt idx="18">
                  <c:v>101.48509284803609</c:v>
                </c:pt>
                <c:pt idx="19">
                  <c:v>122.13662584131281</c:v>
                </c:pt>
                <c:pt idx="20">
                  <c:v>150.84944665313014</c:v>
                </c:pt>
                <c:pt idx="21">
                  <c:v>193.68577049892397</c:v>
                </c:pt>
                <c:pt idx="22">
                  <c:v>264.78892231666475</c:v>
                </c:pt>
                <c:pt idx="23">
                  <c:v>406.58639918226527</c:v>
                </c:pt>
                <c:pt idx="24">
                  <c:v>831.21123666010578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C-4198-9E39-62E670CFE274}"/>
            </c:ext>
          </c:extLst>
        </c:ser>
        <c:ser>
          <c:idx val="2"/>
          <c:order val="2"/>
          <c:tx>
            <c:v>shear/stretch 1 mm newtonian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rates'!$B$216:$AZ$216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0.18000000000000002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0.30000000000000004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0.60000000000000031</c:v>
                </c:pt>
                <c:pt idx="31">
                  <c:v>0.62000000000000033</c:v>
                </c:pt>
                <c:pt idx="32">
                  <c:v>0.64000000000000035</c:v>
                </c:pt>
                <c:pt idx="33">
                  <c:v>0.66000000000000036</c:v>
                </c:pt>
                <c:pt idx="34">
                  <c:v>0.68000000000000049</c:v>
                </c:pt>
                <c:pt idx="35">
                  <c:v>0.70000000000000051</c:v>
                </c:pt>
                <c:pt idx="36">
                  <c:v>0.72000000000000053</c:v>
                </c:pt>
                <c:pt idx="37">
                  <c:v>0.74000000000000066</c:v>
                </c:pt>
                <c:pt idx="38">
                  <c:v>0.76000000000000068</c:v>
                </c:pt>
                <c:pt idx="39">
                  <c:v>0.78000000000000069</c:v>
                </c:pt>
                <c:pt idx="40">
                  <c:v>0.80000000000000082</c:v>
                </c:pt>
                <c:pt idx="41">
                  <c:v>0.82000000000000084</c:v>
                </c:pt>
                <c:pt idx="42">
                  <c:v>0.84000000000000086</c:v>
                </c:pt>
                <c:pt idx="43">
                  <c:v>0.86000000000000099</c:v>
                </c:pt>
                <c:pt idx="44">
                  <c:v>0.880000000000001</c:v>
                </c:pt>
                <c:pt idx="45">
                  <c:v>0.90000000000000102</c:v>
                </c:pt>
                <c:pt idx="46">
                  <c:v>0.92000000000000104</c:v>
                </c:pt>
                <c:pt idx="47">
                  <c:v>0.94000000000000117</c:v>
                </c:pt>
                <c:pt idx="48">
                  <c:v>0.96000000000000119</c:v>
                </c:pt>
                <c:pt idx="49">
                  <c:v>0.9800000000000012</c:v>
                </c:pt>
                <c:pt idx="50">
                  <c:v>1.0000000000000013</c:v>
                </c:pt>
              </c:numCache>
            </c:numRef>
          </c:xVal>
          <c:yVal>
            <c:numRef>
              <c:f>'shear rates'!$BG$40:$DD$40</c:f>
              <c:numCache>
                <c:formatCode>General</c:formatCode>
                <c:ptCount val="50"/>
                <c:pt idx="0">
                  <c:v>0</c:v>
                </c:pt>
                <c:pt idx="1">
                  <c:v>0.67909414759812481</c:v>
                </c:pt>
                <c:pt idx="2">
                  <c:v>1.359820733051053</c:v>
                </c:pt>
                <c:pt idx="3">
                  <c:v>2.0438253009004992</c:v>
                </c:pt>
                <c:pt idx="4">
                  <c:v>2.7327798306726474</c:v>
                </c:pt>
                <c:pt idx="5">
                  <c:v>3.4283965148438669</c:v>
                </c:pt>
                <c:pt idx="6">
                  <c:v>4.1324422277135895</c:v>
                </c:pt>
                <c:pt idx="7">
                  <c:v>4.8467539469334966</c:v>
                </c:pt>
                <c:pt idx="8">
                  <c:v>5.5732554182190936</c:v>
                </c:pt>
                <c:pt idx="9">
                  <c:v>6.3139753921576807</c:v>
                </c:pt>
                <c:pt idx="10">
                  <c:v>7.0710678118654764</c:v>
                </c:pt>
                <c:pt idx="11">
                  <c:v>7.8468343939995195</c:v>
                </c:pt>
                <c:pt idx="12">
                  <c:v>8.6437501265588157</c:v>
                </c:pt>
                <c:pt idx="13">
                  <c:v>9.4644923093180111</c:v>
                </c:pt>
                <c:pt idx="14">
                  <c:v>10.31197389230382</c:v>
                </c:pt>
                <c:pt idx="15">
                  <c:v>11.189382031962952</c:v>
                </c:pt>
                <c:pt idx="16">
                  <c:v>12.100222993566589</c:v>
                </c:pt>
                <c:pt idx="17">
                  <c:v>13.048374795301283</c:v>
                </c:pt>
                <c:pt idx="18">
                  <c:v>14.038149332379991</c:v>
                </c:pt>
                <c:pt idx="19">
                  <c:v>15.07436616274267</c:v>
                </c:pt>
                <c:pt idx="20">
                  <c:v>16.162440712835377</c:v>
                </c:pt>
                <c:pt idx="21">
                  <c:v>17.308490418553667</c:v>
                </c:pt>
                <c:pt idx="22">
                  <c:v>18.519463316790532</c:v>
                </c:pt>
                <c:pt idx="23">
                  <c:v>19.803294937340144</c:v>
                </c:pt>
                <c:pt idx="24">
                  <c:v>21.169101141551529</c:v>
                </c:pt>
                <c:pt idx="25">
                  <c:v>22.627416997969522</c:v>
                </c:pt>
                <c:pt idx="26">
                  <c:v>24.190495145855575</c:v>
                </c:pt>
                <c:pt idx="27">
                  <c:v>25.872681773511175</c:v>
                </c:pt>
                <c:pt idx="28">
                  <c:v>27.690894927585099</c:v>
                </c:pt>
                <c:pt idx="29">
                  <c:v>29.665239283052287</c:v>
                </c:pt>
                <c:pt idx="30">
                  <c:v>31.819805153394668</c:v>
                </c:pt>
                <c:pt idx="31">
                  <c:v>34.183719636308773</c:v>
                </c:pt>
                <c:pt idx="32">
                  <c:v>36.792547964178134</c:v>
                </c:pt>
                <c:pt idx="33">
                  <c:v>39.690189277090482</c:v>
                </c:pt>
                <c:pt idx="34">
                  <c:v>42.93148314346903</c:v>
                </c:pt>
                <c:pt idx="35">
                  <c:v>46.585858525231458</c:v>
                </c:pt>
                <c:pt idx="36">
                  <c:v>50.742546424018165</c:v>
                </c:pt>
                <c:pt idx="37">
                  <c:v>55.518198204567291</c:v>
                </c:pt>
                <c:pt idx="38">
                  <c:v>61.068312920656602</c:v>
                </c:pt>
                <c:pt idx="39">
                  <c:v>67.604897567988871</c:v>
                </c:pt>
                <c:pt idx="40">
                  <c:v>75.424723326565413</c:v>
                </c:pt>
                <c:pt idx="41">
                  <c:v>84.95641913157101</c:v>
                </c:pt>
                <c:pt idx="42">
                  <c:v>96.842885249462554</c:v>
                </c:pt>
                <c:pt idx="43">
                  <c:v>112.09434687934295</c:v>
                </c:pt>
                <c:pt idx="44">
                  <c:v>132.39446115833348</c:v>
                </c:pt>
                <c:pt idx="45">
                  <c:v>160.7737523539958</c:v>
                </c:pt>
                <c:pt idx="46">
                  <c:v>203.29319959113553</c:v>
                </c:pt>
                <c:pt idx="47">
                  <c:v>274.09499971767775</c:v>
                </c:pt>
                <c:pt idx="48">
                  <c:v>415.60561833006579</c:v>
                </c:pt>
                <c:pt idx="49">
                  <c:v>839.95714613680093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C-4198-9E39-62E670CFE274}"/>
            </c:ext>
          </c:extLst>
        </c:ser>
        <c:ser>
          <c:idx val="3"/>
          <c:order val="3"/>
          <c:tx>
            <c:v>shear/stretch 1.6 mm newtonian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'shear rates'!$B$221:$CD$221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0.33750000000000008</c:v>
                </c:pt>
                <c:pt idx="28">
                  <c:v>0.35000000000000009</c:v>
                </c:pt>
                <c:pt idx="29">
                  <c:v>0.3625000000000001</c:v>
                </c:pt>
                <c:pt idx="30">
                  <c:v>0.37500000000000017</c:v>
                </c:pt>
                <c:pt idx="31">
                  <c:v>0.38750000000000018</c:v>
                </c:pt>
                <c:pt idx="32">
                  <c:v>0.40000000000000024</c:v>
                </c:pt>
                <c:pt idx="33">
                  <c:v>0.41250000000000026</c:v>
                </c:pt>
                <c:pt idx="34">
                  <c:v>0.42500000000000027</c:v>
                </c:pt>
                <c:pt idx="35">
                  <c:v>0.43750000000000033</c:v>
                </c:pt>
                <c:pt idx="36">
                  <c:v>0.45000000000000034</c:v>
                </c:pt>
                <c:pt idx="37">
                  <c:v>0.46250000000000036</c:v>
                </c:pt>
                <c:pt idx="38">
                  <c:v>0.47500000000000042</c:v>
                </c:pt>
                <c:pt idx="39">
                  <c:v>0.48750000000000043</c:v>
                </c:pt>
                <c:pt idx="40">
                  <c:v>0.50000000000000044</c:v>
                </c:pt>
                <c:pt idx="41">
                  <c:v>0.51250000000000051</c:v>
                </c:pt>
                <c:pt idx="42">
                  <c:v>0.52500000000000058</c:v>
                </c:pt>
                <c:pt idx="43">
                  <c:v>0.53750000000000053</c:v>
                </c:pt>
                <c:pt idx="44">
                  <c:v>0.5500000000000006</c:v>
                </c:pt>
                <c:pt idx="45">
                  <c:v>0.56250000000000067</c:v>
                </c:pt>
                <c:pt idx="46">
                  <c:v>0.57500000000000062</c:v>
                </c:pt>
                <c:pt idx="47">
                  <c:v>0.58750000000000069</c:v>
                </c:pt>
                <c:pt idx="48">
                  <c:v>0.60000000000000075</c:v>
                </c:pt>
                <c:pt idx="49">
                  <c:v>0.61250000000000071</c:v>
                </c:pt>
                <c:pt idx="50">
                  <c:v>0.62500000000000078</c:v>
                </c:pt>
                <c:pt idx="51">
                  <c:v>0.63750000000000084</c:v>
                </c:pt>
                <c:pt idx="52">
                  <c:v>0.65000000000000091</c:v>
                </c:pt>
                <c:pt idx="53">
                  <c:v>0.66250000000000087</c:v>
                </c:pt>
                <c:pt idx="54">
                  <c:v>0.67500000000000093</c:v>
                </c:pt>
                <c:pt idx="55">
                  <c:v>0.687500000000001</c:v>
                </c:pt>
                <c:pt idx="56">
                  <c:v>0.70000000000000095</c:v>
                </c:pt>
                <c:pt idx="57">
                  <c:v>0.71250000000000102</c:v>
                </c:pt>
                <c:pt idx="58">
                  <c:v>0.72500000000000109</c:v>
                </c:pt>
                <c:pt idx="59">
                  <c:v>0.73750000000000104</c:v>
                </c:pt>
                <c:pt idx="60">
                  <c:v>0.75000000000000111</c:v>
                </c:pt>
                <c:pt idx="61">
                  <c:v>0.76250000000000118</c:v>
                </c:pt>
                <c:pt idx="62">
                  <c:v>0.77500000000000113</c:v>
                </c:pt>
                <c:pt idx="63">
                  <c:v>0.7875000000000012</c:v>
                </c:pt>
                <c:pt idx="64">
                  <c:v>0.80000000000000127</c:v>
                </c:pt>
                <c:pt idx="65">
                  <c:v>0.81250000000000133</c:v>
                </c:pt>
                <c:pt idx="66">
                  <c:v>0.82500000000000129</c:v>
                </c:pt>
                <c:pt idx="67">
                  <c:v>0.83750000000000135</c:v>
                </c:pt>
                <c:pt idx="68">
                  <c:v>0.85000000000000142</c:v>
                </c:pt>
                <c:pt idx="69">
                  <c:v>0.86250000000000138</c:v>
                </c:pt>
                <c:pt idx="70">
                  <c:v>0.87500000000000144</c:v>
                </c:pt>
                <c:pt idx="71">
                  <c:v>0.88750000000000151</c:v>
                </c:pt>
                <c:pt idx="72">
                  <c:v>0.90000000000000147</c:v>
                </c:pt>
                <c:pt idx="73">
                  <c:v>0.91250000000000153</c:v>
                </c:pt>
                <c:pt idx="74">
                  <c:v>0.9250000000000016</c:v>
                </c:pt>
                <c:pt idx="75">
                  <c:v>0.93750000000000155</c:v>
                </c:pt>
                <c:pt idx="76">
                  <c:v>0.95000000000000162</c:v>
                </c:pt>
                <c:pt idx="77">
                  <c:v>0.96250000000000169</c:v>
                </c:pt>
                <c:pt idx="78">
                  <c:v>0.97500000000000164</c:v>
                </c:pt>
                <c:pt idx="79">
                  <c:v>0.98750000000000171</c:v>
                </c:pt>
                <c:pt idx="80">
                  <c:v>1.0000000000000018</c:v>
                </c:pt>
              </c:numCache>
            </c:numRef>
          </c:xVal>
          <c:yVal>
            <c:numRef>
              <c:f>'shear rates'!$CK$52:$FL$52</c:f>
              <c:numCache>
                <c:formatCode>General</c:formatCode>
                <c:ptCount val="80"/>
                <c:pt idx="0">
                  <c:v>0</c:v>
                </c:pt>
                <c:pt idx="1">
                  <c:v>0.265206481457683</c:v>
                </c:pt>
                <c:pt idx="2">
                  <c:v>0.53066174948333755</c:v>
                </c:pt>
                <c:pt idx="3">
                  <c:v>0.7966153691978004</c:v>
                </c:pt>
                <c:pt idx="4">
                  <c:v>1.0633184679496952</c:v>
                </c:pt>
                <c:pt idx="5">
                  <c:v>1.3310245292923242</c:v>
                </c:pt>
                <c:pt idx="6">
                  <c:v>1.5999902025591264</c:v>
                </c:pt>
                <c:pt idx="7">
                  <c:v>1.8704761335118869</c:v>
                </c:pt>
                <c:pt idx="8">
                  <c:v>2.1427478217774159</c:v>
                </c:pt>
                <c:pt idx="9">
                  <c:v>2.417076511098184</c:v>
                </c:pt>
                <c:pt idx="10">
                  <c:v>2.6937401188058945</c:v>
                </c:pt>
                <c:pt idx="11">
                  <c:v>2.9730242113911212</c:v>
                </c:pt>
                <c:pt idx="12">
                  <c:v>3.255223033595358</c:v>
                </c:pt>
                <c:pt idx="13">
                  <c:v>3.5406405991045218</c:v>
                </c:pt>
                <c:pt idx="14">
                  <c:v>3.8295918516872969</c:v>
                </c:pt>
                <c:pt idx="15">
                  <c:v>4.1224039065126643</c:v>
                </c:pt>
                <c:pt idx="16">
                  <c:v>4.4194173824159204</c:v>
                </c:pt>
                <c:pt idx="17">
                  <c:v>4.7209878370824967</c:v>
                </c:pt>
                <c:pt idx="18">
                  <c:v>5.0274873185086975</c:v>
                </c:pt>
                <c:pt idx="19">
                  <c:v>5.3393060477076597</c:v>
                </c:pt>
                <c:pt idx="20">
                  <c:v>5.6568542494923788</c:v>
                </c:pt>
                <c:pt idx="21">
                  <c:v>5.9805641503275693</c:v>
                </c:pt>
                <c:pt idx="22">
                  <c:v>6.3108921647480889</c:v>
                </c:pt>
                <c:pt idx="23">
                  <c:v>6.6483212947534343</c:v>
                </c:pt>
                <c:pt idx="24">
                  <c:v>6.9933637699768401</c:v>
                </c:pt>
                <c:pt idx="25">
                  <c:v>7.3465639603797115</c:v>
                </c:pt>
                <c:pt idx="26">
                  <c:v>7.7085015978407672</c:v>
                </c:pt>
                <c:pt idx="27">
                  <c:v>8.0797953484197276</c:v>
                </c:pt>
                <c:pt idx="28">
                  <c:v>8.4611067834287734</c:v>
                </c:pt>
                <c:pt idx="29">
                  <c:v>8.8531448049260124</c:v>
                </c:pt>
                <c:pt idx="30">
                  <c:v>9.2566705900784427</c:v>
                </c:pt>
                <c:pt idx="31">
                  <c:v>9.6725031293030241</c:v>
                </c:pt>
                <c:pt idx="32">
                  <c:v>10.10152544552211</c:v>
                </c:pt>
                <c:pt idx="33">
                  <c:v>10.544691596681339</c:v>
                </c:pt>
                <c:pt idx="34">
                  <c:v>11.003034581392509</c:v>
                </c:pt>
                <c:pt idx="35">
                  <c:v>11.477675288825127</c:v>
                </c:pt>
                <c:pt idx="36">
                  <c:v>11.969832659584199</c:v>
                </c:pt>
                <c:pt idx="37">
                  <c:v>12.480835255290298</c:v>
                </c:pt>
                <c:pt idx="38">
                  <c:v>13.012134472197983</c:v>
                </c:pt>
                <c:pt idx="39">
                  <c:v>13.565319680069878</c:v>
                </c:pt>
                <c:pt idx="40">
                  <c:v>14.142135623730969</c:v>
                </c:pt>
                <c:pt idx="41">
                  <c:v>14.744502493908957</c:v>
                </c:pt>
                <c:pt idx="42">
                  <c:v>15.374539159534967</c:v>
                </c:pt>
                <c:pt idx="43">
                  <c:v>16.03459016006412</c:v>
                </c:pt>
                <c:pt idx="44">
                  <c:v>16.727257189359218</c:v>
                </c:pt>
                <c:pt idx="45">
                  <c:v>17.455435969862233</c:v>
                </c:pt>
                <c:pt idx="46">
                  <c:v>18.222359627216388</c:v>
                </c:pt>
                <c:pt idx="47">
                  <c:v>19.031649944605761</c:v>
                </c:pt>
                <c:pt idx="48">
                  <c:v>19.887378220871692</c:v>
                </c:pt>
                <c:pt idx="49">
                  <c:v>20.794137901359889</c:v>
                </c:pt>
                <c:pt idx="50">
                  <c:v>21.757131728816908</c:v>
                </c:pt>
                <c:pt idx="51">
                  <c:v>22.782276919513993</c:v>
                </c:pt>
                <c:pt idx="52">
                  <c:v>23.876332871234144</c:v>
                </c:pt>
                <c:pt idx="53">
                  <c:v>25.047057245037351</c:v>
                </c:pt>
                <c:pt idx="54">
                  <c:v>26.303398060211503</c:v>
                </c:pt>
                <c:pt idx="55">
                  <c:v>27.655731886407292</c:v>
                </c:pt>
                <c:pt idx="56">
                  <c:v>29.116161578269711</c:v>
                </c:pt>
                <c:pt idx="57">
                  <c:v>30.698891674490671</c:v>
                </c:pt>
                <c:pt idx="58">
                  <c:v>32.420706172980189</c:v>
                </c:pt>
                <c:pt idx="59">
                  <c:v>34.301582807816239</c:v>
                </c:pt>
                <c:pt idx="60">
                  <c:v>36.365491603879768</c:v>
                </c:pt>
                <c:pt idx="61">
                  <c:v>38.641445601235965</c:v>
                </c:pt>
                <c:pt idx="62">
                  <c:v>41.164901815555126</c:v>
                </c:pt>
                <c:pt idx="63">
                  <c:v>43.979656649694221</c:v>
                </c:pt>
                <c:pt idx="64">
                  <c:v>47.140452079103504</c:v>
                </c:pt>
                <c:pt idx="65">
                  <c:v>50.716624305794134</c:v>
                </c:pt>
                <c:pt idx="66">
                  <c:v>54.797316115435443</c:v>
                </c:pt>
                <c:pt idx="67">
                  <c:v>59.499094931867013</c:v>
                </c:pt>
                <c:pt idx="68">
                  <c:v>64.977379892818533</c:v>
                </c:pt>
                <c:pt idx="69">
                  <c:v>71.444101869733728</c:v>
                </c:pt>
                <c:pt idx="70">
                  <c:v>79.195959492894289</c:v>
                </c:pt>
                <c:pt idx="71">
                  <c:v>88.661512519639004</c:v>
                </c:pt>
                <c:pt idx="72">
                  <c:v>100.48359522124781</c:v>
                </c:pt>
                <c:pt idx="73">
                  <c:v>115.67236980754933</c:v>
                </c:pt>
                <c:pt idx="74">
                  <c:v>135.9114332670276</c:v>
                </c:pt>
                <c:pt idx="75">
                  <c:v>164.23125240462193</c:v>
                </c:pt>
                <c:pt idx="76">
                  <c:v>206.69275142376685</c:v>
                </c:pt>
                <c:pt idx="77">
                  <c:v>277.43807465664514</c:v>
                </c:pt>
                <c:pt idx="78">
                  <c:v>418.89363746243981</c:v>
                </c:pt>
                <c:pt idx="79">
                  <c:v>843.19148247162195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C-4198-9E39-62E670CF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centre of symmetry 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shear/extensional rates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02871149678984"/>
          <c:y val="0.10370535578993904"/>
          <c:w val="0.27354777360698773"/>
          <c:h val="0.311106559804270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</a:t>
            </a:r>
            <a:r>
              <a:rPr lang="en-GB" baseline="0"/>
              <a:t> mm thickness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shear/stretch 12 mm power law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rates'!$B$103:$AE$103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</c:numCache>
            </c:numRef>
          </c:xVal>
          <c:yVal>
            <c:numRef>
              <c:f>'shear rates'!$AM$109:$BO$109</c:f>
              <c:numCache>
                <c:formatCode>General</c:formatCode>
                <c:ptCount val="29"/>
                <c:pt idx="0">
                  <c:v>9.8754232164010608E-2</c:v>
                </c:pt>
                <c:pt idx="1">
                  <c:v>9.8754232163883418E-2</c:v>
                </c:pt>
                <c:pt idx="2">
                  <c:v>9.8754231961311903E-2</c:v>
                </c:pt>
                <c:pt idx="3">
                  <c:v>9.8754217022818447E-2</c:v>
                </c:pt>
                <c:pt idx="4">
                  <c:v>9.8753909096418277E-2</c:v>
                </c:pt>
                <c:pt idx="5">
                  <c:v>9.8750762808467021E-2</c:v>
                </c:pt>
                <c:pt idx="6">
                  <c:v>9.8730099774761659E-2</c:v>
                </c:pt>
                <c:pt idx="7">
                  <c:v>9.8629838558509389E-2</c:v>
                </c:pt>
                <c:pt idx="8">
                  <c:v>9.8239321884675504E-2</c:v>
                </c:pt>
                <c:pt idx="9">
                  <c:v>9.6951607008967045E-2</c:v>
                </c:pt>
                <c:pt idx="10">
                  <c:v>9.3224731312450793E-2</c:v>
                </c:pt>
                <c:pt idx="11">
                  <c:v>8.3512513430929913E-2</c:v>
                </c:pt>
                <c:pt idx="12">
                  <c:v>6.0291139513643663E-2</c:v>
                </c:pt>
                <c:pt idx="13">
                  <c:v>8.6246649537250527E-3</c:v>
                </c:pt>
                <c:pt idx="14">
                  <c:v>9.9531122462575741E-2</c:v>
                </c:pt>
                <c:pt idx="15">
                  <c:v>0.31440873164345357</c:v>
                </c:pt>
                <c:pt idx="16">
                  <c:v>0.72244720681660968</c:v>
                </c:pt>
                <c:pt idx="17">
                  <c:v>1.4674157031777433</c:v>
                </c:pt>
                <c:pt idx="18">
                  <c:v>2.7817664282545222</c:v>
                </c:pt>
                <c:pt idx="19">
                  <c:v>5.0330243935761008</c:v>
                </c:pt>
                <c:pt idx="20">
                  <c:v>8.7933212663979674</c:v>
                </c:pt>
                <c:pt idx="21">
                  <c:v>14.947175458738476</c:v>
                </c:pt>
                <c:pt idx="22">
                  <c:v>24.868302732274739</c:v>
                </c:pt>
                <c:pt idx="23">
                  <c:v>40.733341731641922</c:v>
                </c:pt>
                <c:pt idx="24">
                  <c:v>66.134548132642578</c:v>
                </c:pt>
                <c:pt idx="25">
                  <c:v>107.41802477004052</c:v>
                </c:pt>
                <c:pt idx="26">
                  <c:v>177.03270243060834</c:v>
                </c:pt>
                <c:pt idx="27">
                  <c:v>303.60532090277468</c:v>
                </c:pt>
                <c:pt idx="28">
                  <c:v>572.31194779110979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F-437C-85C3-86C64BBCF279}"/>
            </c:ext>
          </c:extLst>
        </c:ser>
        <c:ser>
          <c:idx val="4"/>
          <c:order val="1"/>
          <c:tx>
            <c:v>shear/stretch 27 mm power law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rates'!$B$103:$AE$103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</c:numCache>
            </c:numRef>
          </c:xVal>
          <c:yVal>
            <c:numRef>
              <c:f>'shear rates'!$AM$110:$BO$110</c:f>
              <c:numCache>
                <c:formatCode>General</c:formatCode>
                <c:ptCount val="29"/>
                <c:pt idx="0">
                  <c:v>0.22219702236902389</c:v>
                </c:pt>
                <c:pt idx="1">
                  <c:v>0.2221970223687377</c:v>
                </c:pt>
                <c:pt idx="2">
                  <c:v>0.22219702191295179</c:v>
                </c:pt>
                <c:pt idx="3">
                  <c:v>0.22219698830134155</c:v>
                </c:pt>
                <c:pt idx="4">
                  <c:v>0.22219629546694114</c:v>
                </c:pt>
                <c:pt idx="5">
                  <c:v>0.22218921631905081</c:v>
                </c:pt>
                <c:pt idx="6">
                  <c:v>0.22214272449321373</c:v>
                </c:pt>
                <c:pt idx="7">
                  <c:v>0.22191713675664612</c:v>
                </c:pt>
                <c:pt idx="8">
                  <c:v>0.22103847424051992</c:v>
                </c:pt>
                <c:pt idx="9">
                  <c:v>0.21814111577017586</c:v>
                </c:pt>
                <c:pt idx="10">
                  <c:v>0.20975564545301431</c:v>
                </c:pt>
                <c:pt idx="11">
                  <c:v>0.18790315521959236</c:v>
                </c:pt>
                <c:pt idx="12">
                  <c:v>0.13565506390569826</c:v>
                </c:pt>
                <c:pt idx="13">
                  <c:v>1.9405496145881371E-2</c:v>
                </c:pt>
                <c:pt idx="14">
                  <c:v>0.22394502554079543</c:v>
                </c:pt>
                <c:pt idx="15">
                  <c:v>0.70741964619777065</c:v>
                </c:pt>
                <c:pt idx="16">
                  <c:v>1.6255062153373718</c:v>
                </c:pt>
                <c:pt idx="17">
                  <c:v>3.3016853321499227</c:v>
                </c:pt>
                <c:pt idx="18">
                  <c:v>6.2589744635726765</c:v>
                </c:pt>
                <c:pt idx="19">
                  <c:v>11.324304885546226</c:v>
                </c:pt>
                <c:pt idx="20">
                  <c:v>19.784972849395427</c:v>
                </c:pt>
                <c:pt idx="21">
                  <c:v>33.631144782161577</c:v>
                </c:pt>
                <c:pt idx="22">
                  <c:v>55.953681147618163</c:v>
                </c:pt>
                <c:pt idx="23">
                  <c:v>91.650018896194325</c:v>
                </c:pt>
                <c:pt idx="24">
                  <c:v>148.80273329844582</c:v>
                </c:pt>
                <c:pt idx="25">
                  <c:v>241.69055573259121</c:v>
                </c:pt>
                <c:pt idx="26">
                  <c:v>398.32358046886878</c:v>
                </c:pt>
                <c:pt idx="27">
                  <c:v>683.11197203124311</c:v>
                </c:pt>
                <c:pt idx="28">
                  <c:v>1287.701882529997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F-437C-85C3-86C64BBCF279}"/>
            </c:ext>
          </c:extLst>
        </c:ser>
        <c:ser>
          <c:idx val="5"/>
          <c:order val="2"/>
          <c:tx>
            <c:v>shear/stretch 42 mm power law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rates'!$B$103:$AE$103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1.5000000000000002E-5</c:v>
                </c:pt>
                <c:pt idx="4">
                  <c:v>2.0000000000000002E-5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3.5000000000000004E-5</c:v>
                </c:pt>
                <c:pt idx="8">
                  <c:v>4.0000000000000003E-5</c:v>
                </c:pt>
                <c:pt idx="9">
                  <c:v>4.5000000000000003E-5</c:v>
                </c:pt>
                <c:pt idx="10">
                  <c:v>5.0000000000000002E-5</c:v>
                </c:pt>
                <c:pt idx="11">
                  <c:v>5.5000000000000002E-5</c:v>
                </c:pt>
                <c:pt idx="12">
                  <c:v>6.0000000000000002E-5</c:v>
                </c:pt>
                <c:pt idx="13">
                  <c:v>6.5000000000000008E-5</c:v>
                </c:pt>
                <c:pt idx="14">
                  <c:v>7.0000000000000007E-5</c:v>
                </c:pt>
                <c:pt idx="15">
                  <c:v>7.5000000000000007E-5</c:v>
                </c:pt>
                <c:pt idx="16">
                  <c:v>8.0000000000000007E-5</c:v>
                </c:pt>
                <c:pt idx="17">
                  <c:v>8.5000000000000006E-5</c:v>
                </c:pt>
                <c:pt idx="18">
                  <c:v>9.0000000000000006E-5</c:v>
                </c:pt>
                <c:pt idx="19">
                  <c:v>9.5000000000000005E-5</c:v>
                </c:pt>
                <c:pt idx="20">
                  <c:v>1E-4</c:v>
                </c:pt>
                <c:pt idx="21">
                  <c:v>1.05E-4</c:v>
                </c:pt>
                <c:pt idx="22">
                  <c:v>1.1E-4</c:v>
                </c:pt>
                <c:pt idx="23">
                  <c:v>1.15E-4</c:v>
                </c:pt>
                <c:pt idx="24">
                  <c:v>1.2E-4</c:v>
                </c:pt>
                <c:pt idx="25">
                  <c:v>1.25E-4</c:v>
                </c:pt>
                <c:pt idx="26">
                  <c:v>1.3000000000000002E-4</c:v>
                </c:pt>
                <c:pt idx="27">
                  <c:v>1.3500000000000003E-4</c:v>
                </c:pt>
                <c:pt idx="28">
                  <c:v>1.4000000000000004E-4</c:v>
                </c:pt>
                <c:pt idx="29">
                  <c:v>1.4500000000000006E-4</c:v>
                </c:pt>
              </c:numCache>
            </c:numRef>
          </c:xVal>
          <c:yVal>
            <c:numRef>
              <c:f>'shear rates'!$AM$111:$BO$111</c:f>
              <c:numCache>
                <c:formatCode>General</c:formatCode>
                <c:ptCount val="29"/>
                <c:pt idx="0">
                  <c:v>0.3456398125740372</c:v>
                </c:pt>
                <c:pt idx="1">
                  <c:v>0.34563981257359205</c:v>
                </c:pt>
                <c:pt idx="2">
                  <c:v>0.34563981186459175</c:v>
                </c:pt>
                <c:pt idx="3">
                  <c:v>0.34563975957986465</c:v>
                </c:pt>
                <c:pt idx="4">
                  <c:v>0.34563868183746405</c:v>
                </c:pt>
                <c:pt idx="5">
                  <c:v>0.34562766982963461</c:v>
                </c:pt>
                <c:pt idx="6">
                  <c:v>0.34555534921166586</c:v>
                </c:pt>
                <c:pt idx="7">
                  <c:v>0.34520443495478292</c:v>
                </c:pt>
                <c:pt idx="8">
                  <c:v>0.3438376265963643</c:v>
                </c:pt>
                <c:pt idx="9">
                  <c:v>0.33933062453138468</c:v>
                </c:pt>
                <c:pt idx="10">
                  <c:v>0.32628655959357789</c:v>
                </c:pt>
                <c:pt idx="11">
                  <c:v>0.29229379700825481</c:v>
                </c:pt>
                <c:pt idx="12">
                  <c:v>0.21101898829775287</c:v>
                </c:pt>
                <c:pt idx="13">
                  <c:v>3.0186327338037687E-2</c:v>
                </c:pt>
                <c:pt idx="14">
                  <c:v>0.34835892861901513</c:v>
                </c:pt>
                <c:pt idx="15">
                  <c:v>1.1004305607520879</c:v>
                </c:pt>
                <c:pt idx="16">
                  <c:v>2.5285652238581342</c:v>
                </c:pt>
                <c:pt idx="17">
                  <c:v>5.1359549611221027</c:v>
                </c:pt>
                <c:pt idx="18">
                  <c:v>9.7361824988908303</c:v>
                </c:pt>
                <c:pt idx="19">
                  <c:v>17.615585377516357</c:v>
                </c:pt>
                <c:pt idx="20">
                  <c:v>30.776624432392893</c:v>
                </c:pt>
                <c:pt idx="21">
                  <c:v>52.315114105584676</c:v>
                </c:pt>
                <c:pt idx="22">
                  <c:v>87.039059562961597</c:v>
                </c:pt>
                <c:pt idx="23">
                  <c:v>142.56669606074672</c:v>
                </c:pt>
                <c:pt idx="24">
                  <c:v>231.47091846424905</c:v>
                </c:pt>
                <c:pt idx="25">
                  <c:v>375.9630866951419</c:v>
                </c:pt>
                <c:pt idx="26">
                  <c:v>619.61445850712926</c:v>
                </c:pt>
                <c:pt idx="27">
                  <c:v>1062.6186231597117</c:v>
                </c:pt>
                <c:pt idx="28">
                  <c:v>2003.0918172688846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F-437C-85C3-86C64BBC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centre of symmetry 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shear/extensional rates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02871149678984"/>
          <c:y val="0.10370535578993904"/>
          <c:w val="0.27354777360698773"/>
          <c:h val="0.311106559804270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</a:t>
            </a:r>
            <a:r>
              <a:rPr lang="en-GB" baseline="0"/>
              <a:t> mm from injection pt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shear/stretch 0.3 mm power law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rates'!$B$207:$AE$207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3.333333333333334E-2</c:v>
                </c:pt>
                <c:pt idx="2">
                  <c:v>6.666666666666668E-2</c:v>
                </c:pt>
                <c:pt idx="3">
                  <c:v>0.10000000000000002</c:v>
                </c:pt>
                <c:pt idx="4">
                  <c:v>0.13333333333333336</c:v>
                </c:pt>
                <c:pt idx="5">
                  <c:v>0.16666666666666669</c:v>
                </c:pt>
                <c:pt idx="6">
                  <c:v>0.2</c:v>
                </c:pt>
                <c:pt idx="7">
                  <c:v>0.23333333333333336</c:v>
                </c:pt>
                <c:pt idx="8">
                  <c:v>0.26666666666666672</c:v>
                </c:pt>
                <c:pt idx="9">
                  <c:v>0.30000000000000004</c:v>
                </c:pt>
                <c:pt idx="10">
                  <c:v>0.33333333333333337</c:v>
                </c:pt>
                <c:pt idx="11">
                  <c:v>0.3666666666666667</c:v>
                </c:pt>
                <c:pt idx="12">
                  <c:v>0.4</c:v>
                </c:pt>
                <c:pt idx="13">
                  <c:v>0.4333333333333334</c:v>
                </c:pt>
                <c:pt idx="14">
                  <c:v>0.46666666666666673</c:v>
                </c:pt>
                <c:pt idx="15">
                  <c:v>0.50000000000000011</c:v>
                </c:pt>
                <c:pt idx="16">
                  <c:v>0.53333333333333344</c:v>
                </c:pt>
                <c:pt idx="17">
                  <c:v>0.56666666666666676</c:v>
                </c:pt>
                <c:pt idx="18">
                  <c:v>0.60000000000000009</c:v>
                </c:pt>
                <c:pt idx="19">
                  <c:v>0.63333333333333341</c:v>
                </c:pt>
                <c:pt idx="20">
                  <c:v>0.66666666666666674</c:v>
                </c:pt>
                <c:pt idx="21">
                  <c:v>0.70000000000000007</c:v>
                </c:pt>
                <c:pt idx="22">
                  <c:v>0.73333333333333339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0.86666666666666681</c:v>
                </c:pt>
                <c:pt idx="27">
                  <c:v>0.90000000000000024</c:v>
                </c:pt>
                <c:pt idx="28">
                  <c:v>0.93333333333333368</c:v>
                </c:pt>
                <c:pt idx="29">
                  <c:v>0.96666666666666712</c:v>
                </c:pt>
              </c:numCache>
            </c:numRef>
          </c:xVal>
          <c:yVal>
            <c:numRef>
              <c:f>'shear rates'!$AM$109:$BP$109</c:f>
              <c:numCache>
                <c:formatCode>General</c:formatCode>
                <c:ptCount val="30"/>
                <c:pt idx="0">
                  <c:v>9.8754232164010608E-2</c:v>
                </c:pt>
                <c:pt idx="1">
                  <c:v>9.8754232163883418E-2</c:v>
                </c:pt>
                <c:pt idx="2">
                  <c:v>9.8754231961311903E-2</c:v>
                </c:pt>
                <c:pt idx="3">
                  <c:v>9.8754217022818447E-2</c:v>
                </c:pt>
                <c:pt idx="4">
                  <c:v>9.8753909096418277E-2</c:v>
                </c:pt>
                <c:pt idx="5">
                  <c:v>9.8750762808467021E-2</c:v>
                </c:pt>
                <c:pt idx="6">
                  <c:v>9.8730099774761659E-2</c:v>
                </c:pt>
                <c:pt idx="7">
                  <c:v>9.8629838558509389E-2</c:v>
                </c:pt>
                <c:pt idx="8">
                  <c:v>9.8239321884675504E-2</c:v>
                </c:pt>
                <c:pt idx="9">
                  <c:v>9.6951607008967045E-2</c:v>
                </c:pt>
                <c:pt idx="10">
                  <c:v>9.3224731312450793E-2</c:v>
                </c:pt>
                <c:pt idx="11">
                  <c:v>8.3512513430929913E-2</c:v>
                </c:pt>
                <c:pt idx="12">
                  <c:v>6.0291139513643663E-2</c:v>
                </c:pt>
                <c:pt idx="13">
                  <c:v>8.6246649537250527E-3</c:v>
                </c:pt>
                <c:pt idx="14">
                  <c:v>9.9531122462575741E-2</c:v>
                </c:pt>
                <c:pt idx="15">
                  <c:v>0.31440873164345357</c:v>
                </c:pt>
                <c:pt idx="16">
                  <c:v>0.72244720681660968</c:v>
                </c:pt>
                <c:pt idx="17">
                  <c:v>1.4674157031777433</c:v>
                </c:pt>
                <c:pt idx="18">
                  <c:v>2.7817664282545222</c:v>
                </c:pt>
                <c:pt idx="19">
                  <c:v>5.0330243935761008</c:v>
                </c:pt>
                <c:pt idx="20">
                  <c:v>8.7933212663979674</c:v>
                </c:pt>
                <c:pt idx="21">
                  <c:v>14.947175458738476</c:v>
                </c:pt>
                <c:pt idx="22">
                  <c:v>24.868302732274739</c:v>
                </c:pt>
                <c:pt idx="23">
                  <c:v>40.733341731641922</c:v>
                </c:pt>
                <c:pt idx="24">
                  <c:v>66.134548132642578</c:v>
                </c:pt>
                <c:pt idx="25">
                  <c:v>107.41802477004052</c:v>
                </c:pt>
                <c:pt idx="26">
                  <c:v>177.03270243060834</c:v>
                </c:pt>
                <c:pt idx="27">
                  <c:v>303.60532090277468</c:v>
                </c:pt>
                <c:pt idx="28">
                  <c:v>572.31194779110979</c:v>
                </c:pt>
                <c:pt idx="29">
                  <c:v>1407.651082479769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1-44FB-BBB2-922CA9F7DEEB}"/>
            </c:ext>
          </c:extLst>
        </c:ser>
        <c:ser>
          <c:idx val="2"/>
          <c:order val="1"/>
          <c:tx>
            <c:v>shear/stretch 1 mm power law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rates'!$B$217:$CX$217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3.0000000000000002E-2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0.30000000000000016</c:v>
                </c:pt>
                <c:pt idx="31">
                  <c:v>0.31000000000000016</c:v>
                </c:pt>
                <c:pt idx="32">
                  <c:v>0.32000000000000017</c:v>
                </c:pt>
                <c:pt idx="33">
                  <c:v>0.33000000000000018</c:v>
                </c:pt>
                <c:pt idx="34">
                  <c:v>0.34000000000000025</c:v>
                </c:pt>
                <c:pt idx="35">
                  <c:v>0.35000000000000026</c:v>
                </c:pt>
                <c:pt idx="36">
                  <c:v>0.36000000000000026</c:v>
                </c:pt>
                <c:pt idx="37">
                  <c:v>0.37000000000000033</c:v>
                </c:pt>
                <c:pt idx="38">
                  <c:v>0.38000000000000034</c:v>
                </c:pt>
                <c:pt idx="39">
                  <c:v>0.39000000000000035</c:v>
                </c:pt>
                <c:pt idx="40">
                  <c:v>0.40000000000000041</c:v>
                </c:pt>
                <c:pt idx="41">
                  <c:v>0.41000000000000042</c:v>
                </c:pt>
                <c:pt idx="42">
                  <c:v>0.42000000000000043</c:v>
                </c:pt>
                <c:pt idx="43">
                  <c:v>0.43000000000000049</c:v>
                </c:pt>
                <c:pt idx="44">
                  <c:v>0.4400000000000005</c:v>
                </c:pt>
                <c:pt idx="45">
                  <c:v>0.45000000000000051</c:v>
                </c:pt>
                <c:pt idx="46">
                  <c:v>0.46000000000000052</c:v>
                </c:pt>
                <c:pt idx="47">
                  <c:v>0.47000000000000058</c:v>
                </c:pt>
                <c:pt idx="48">
                  <c:v>0.48000000000000059</c:v>
                </c:pt>
                <c:pt idx="49">
                  <c:v>0.4900000000000006</c:v>
                </c:pt>
                <c:pt idx="50">
                  <c:v>0.50000000000000067</c:v>
                </c:pt>
                <c:pt idx="51">
                  <c:v>0.51000000000000068</c:v>
                </c:pt>
                <c:pt idx="52">
                  <c:v>0.52000000000000068</c:v>
                </c:pt>
                <c:pt idx="53">
                  <c:v>0.53000000000000069</c:v>
                </c:pt>
                <c:pt idx="54">
                  <c:v>0.5400000000000007</c:v>
                </c:pt>
                <c:pt idx="55">
                  <c:v>0.55000000000000082</c:v>
                </c:pt>
                <c:pt idx="56">
                  <c:v>0.56000000000000083</c:v>
                </c:pt>
                <c:pt idx="57">
                  <c:v>0.57000000000000084</c:v>
                </c:pt>
                <c:pt idx="58">
                  <c:v>0.58000000000000085</c:v>
                </c:pt>
                <c:pt idx="59">
                  <c:v>0.59000000000000086</c:v>
                </c:pt>
                <c:pt idx="60">
                  <c:v>0.60000000000000087</c:v>
                </c:pt>
                <c:pt idx="61">
                  <c:v>0.61000000000000099</c:v>
                </c:pt>
                <c:pt idx="62">
                  <c:v>0.62000000000000099</c:v>
                </c:pt>
                <c:pt idx="63">
                  <c:v>0.630000000000001</c:v>
                </c:pt>
                <c:pt idx="64">
                  <c:v>0.64000000000000101</c:v>
                </c:pt>
                <c:pt idx="65">
                  <c:v>0.65000000000000102</c:v>
                </c:pt>
                <c:pt idx="66">
                  <c:v>0.66000000000000103</c:v>
                </c:pt>
                <c:pt idx="67">
                  <c:v>0.67000000000000104</c:v>
                </c:pt>
                <c:pt idx="68">
                  <c:v>0.68000000000000116</c:v>
                </c:pt>
                <c:pt idx="69">
                  <c:v>0.69000000000000117</c:v>
                </c:pt>
                <c:pt idx="70">
                  <c:v>0.70000000000000118</c:v>
                </c:pt>
                <c:pt idx="71">
                  <c:v>0.71000000000000119</c:v>
                </c:pt>
                <c:pt idx="72">
                  <c:v>0.72000000000000119</c:v>
                </c:pt>
                <c:pt idx="73">
                  <c:v>0.7300000000000012</c:v>
                </c:pt>
                <c:pt idx="74">
                  <c:v>0.74000000000000132</c:v>
                </c:pt>
                <c:pt idx="75">
                  <c:v>0.75000000000000133</c:v>
                </c:pt>
                <c:pt idx="76">
                  <c:v>0.76000000000000134</c:v>
                </c:pt>
                <c:pt idx="77">
                  <c:v>0.77000000000000135</c:v>
                </c:pt>
                <c:pt idx="78">
                  <c:v>0.78000000000000136</c:v>
                </c:pt>
                <c:pt idx="79">
                  <c:v>0.79000000000000137</c:v>
                </c:pt>
                <c:pt idx="80">
                  <c:v>0.80000000000000138</c:v>
                </c:pt>
                <c:pt idx="81">
                  <c:v>0.8100000000000015</c:v>
                </c:pt>
                <c:pt idx="82">
                  <c:v>0.82000000000000151</c:v>
                </c:pt>
                <c:pt idx="83">
                  <c:v>0.83000000000000151</c:v>
                </c:pt>
                <c:pt idx="84">
                  <c:v>0.84000000000000152</c:v>
                </c:pt>
                <c:pt idx="85">
                  <c:v>0.85000000000000153</c:v>
                </c:pt>
                <c:pt idx="86">
                  <c:v>0.86000000000000154</c:v>
                </c:pt>
                <c:pt idx="87">
                  <c:v>0.87000000000000166</c:v>
                </c:pt>
                <c:pt idx="88">
                  <c:v>0.88000000000000167</c:v>
                </c:pt>
                <c:pt idx="89">
                  <c:v>0.89000000000000168</c:v>
                </c:pt>
                <c:pt idx="90">
                  <c:v>0.90000000000000169</c:v>
                </c:pt>
                <c:pt idx="91">
                  <c:v>0.9100000000000017</c:v>
                </c:pt>
                <c:pt idx="92">
                  <c:v>0.92000000000000171</c:v>
                </c:pt>
                <c:pt idx="93">
                  <c:v>0.93000000000000171</c:v>
                </c:pt>
                <c:pt idx="94">
                  <c:v>0.94000000000000183</c:v>
                </c:pt>
                <c:pt idx="95">
                  <c:v>0.95000000000000184</c:v>
                </c:pt>
                <c:pt idx="96">
                  <c:v>0.96000000000000185</c:v>
                </c:pt>
                <c:pt idx="97">
                  <c:v>0.97000000000000186</c:v>
                </c:pt>
                <c:pt idx="98">
                  <c:v>0.98000000000000187</c:v>
                </c:pt>
                <c:pt idx="99">
                  <c:v>0.99000000000000188</c:v>
                </c:pt>
                <c:pt idx="100">
                  <c:v>1.000000000000002</c:v>
                </c:pt>
              </c:numCache>
            </c:numRef>
          </c:xVal>
          <c:yVal>
            <c:numRef>
              <c:f>'shear rates'!$DE$135:$GZ$135</c:f>
              <c:numCache>
                <c:formatCode>General</c:formatCode>
                <c:ptCount val="100"/>
                <c:pt idx="0">
                  <c:v>9.8754232164010636E-2</c:v>
                </c:pt>
                <c:pt idx="1">
                  <c:v>9.8754232164010636E-2</c:v>
                </c:pt>
                <c:pt idx="2">
                  <c:v>9.8754232164010483E-2</c:v>
                </c:pt>
                <c:pt idx="3">
                  <c:v>9.8754232163998201E-2</c:v>
                </c:pt>
                <c:pt idx="4">
                  <c:v>9.8754232163745251E-2</c:v>
                </c:pt>
                <c:pt idx="5">
                  <c:v>9.8754232161160735E-2</c:v>
                </c:pt>
                <c:pt idx="6">
                  <c:v>9.8754232144187062E-2</c:v>
                </c:pt>
                <c:pt idx="7">
                  <c:v>9.8754232061827457E-2</c:v>
                </c:pt>
                <c:pt idx="8">
                  <c:v>9.8754231741037424E-2</c:v>
                </c:pt>
                <c:pt idx="9">
                  <c:v>9.8754230683244473E-2</c:v>
                </c:pt>
                <c:pt idx="10">
                  <c:v>9.8754227621811977E-2</c:v>
                </c:pt>
                <c:pt idx="11">
                  <c:v>9.8754219643799088E-2</c:v>
                </c:pt>
                <c:pt idx="12">
                  <c:v>9.8754200569221379E-2</c:v>
                </c:pt>
                <c:pt idx="13">
                  <c:v>9.8754158131422506E-2</c:v>
                </c:pt>
                <c:pt idx="14">
                  <c:v>9.875406930529354E-2</c:v>
                </c:pt>
                <c:pt idx="15">
                  <c:v>9.8753892877546892E-2</c:v>
                </c:pt>
                <c:pt idx="16">
                  <c:v>9.8753558036155903E-2</c:v>
                </c:pt>
                <c:pt idx="17">
                  <c:v>9.8752947364999136E-2</c:v>
                </c:pt>
                <c:pt idx="18">
                  <c:v>9.8751872154785994E-2</c:v>
                </c:pt>
                <c:pt idx="19">
                  <c:v>9.8750037372101446E-2</c:v>
                </c:pt>
                <c:pt idx="20">
                  <c:v>9.8746992954031346E-2</c:v>
                </c:pt>
                <c:pt idx="21">
                  <c:v>9.8742067305001013E-2</c:v>
                </c:pt>
                <c:pt idx="22">
                  <c:v>9.8734277953416119E-2</c:v>
                </c:pt>
                <c:pt idx="23">
                  <c:v>9.8722213266230693E-2</c:v>
                </c:pt>
                <c:pt idx="24">
                  <c:v>9.8703877907051124E-2</c:v>
                </c:pt>
                <c:pt idx="25">
                  <c:v>9.8676493344749497E-2</c:v>
                </c:pt>
                <c:pt idx="26">
                  <c:v>9.8636243161320039E-2</c:v>
                </c:pt>
                <c:pt idx="27">
                  <c:v>9.8577951155949986E-2</c:v>
                </c:pt>
                <c:pt idx="28">
                  <c:v>9.8494678282640233E-2</c:v>
                </c:pt>
                <c:pt idx="29">
                  <c:v>9.8377222276397572E-2</c:v>
                </c:pt>
                <c:pt idx="30">
                  <c:v>9.8213501402745276E-2</c:v>
                </c:pt>
                <c:pt idx="31">
                  <c:v>9.7987801091248827E-2</c:v>
                </c:pt>
                <c:pt idx="32">
                  <c:v>9.7679859269515293E-2</c:v>
                </c:pt>
                <c:pt idx="33">
                  <c:v>9.7263762982572999E-2</c:v>
                </c:pt>
                <c:pt idx="34">
                  <c:v>9.670662534567169E-2</c:v>
                </c:pt>
                <c:pt idx="35">
                  <c:v>9.596700801725884E-2</c:v>
                </c:pt>
                <c:pt idx="36">
                  <c:v>9.4993050172637483E-2</c:v>
                </c:pt>
                <c:pt idx="37">
                  <c:v>9.3720260385145346E-2</c:v>
                </c:pt>
                <c:pt idx="38">
                  <c:v>9.2068922855614091E-2</c:v>
                </c:pt>
                <c:pt idx="39">
                  <c:v>8.9941064043937688E-2</c:v>
                </c:pt>
                <c:pt idx="40">
                  <c:v>8.7216919915724431E-2</c:v>
                </c:pt>
                <c:pt idx="41">
                  <c:v>8.3750837682909418E-2</c:v>
                </c:pt>
                <c:pt idx="42">
                  <c:v>7.9366539042102474E-2</c:v>
                </c:pt>
                <c:pt idx="43">
                  <c:v>7.3851664439338272E-2</c:v>
                </c:pt>
                <c:pt idx="44">
                  <c:v>6.6951509740659887E-2</c:v>
                </c:pt>
                <c:pt idx="45">
                  <c:v>5.8361857770561694E-2</c:v>
                </c:pt>
                <c:pt idx="46">
                  <c:v>4.772079737421038E-2</c:v>
                </c:pt>
                <c:pt idx="47">
                  <c:v>3.4599411809350562E-2</c:v>
                </c:pt>
                <c:pt idx="48">
                  <c:v>1.8491206179175736E-2</c:v>
                </c:pt>
                <c:pt idx="49">
                  <c:v>1.1998699816252708E-3</c:v>
                </c:pt>
                <c:pt idx="50">
                  <c:v>2.5172964295680215E-2</c:v>
                </c:pt>
                <c:pt idx="51">
                  <c:v>5.42456043519597E-2</c:v>
                </c:pt>
                <c:pt idx="52">
                  <c:v>8.9370919338637514E-2</c:v>
                </c:pt>
                <c:pt idx="53">
                  <c:v>0.13165702223096751</c:v>
                </c:pt>
                <c:pt idx="54">
                  <c:v>0.18238880290140877</c:v>
                </c:pt>
                <c:pt idx="55">
                  <c:v>0.24305241687358112</c:v>
                </c:pt>
                <c:pt idx="56">
                  <c:v>0.31536279607027073</c:v>
                </c:pt>
                <c:pt idx="57">
                  <c:v>0.40129455880919385</c:v>
                </c:pt>
                <c:pt idx="58">
                  <c:v>0.50311675904930142</c:v>
                </c:pt>
                <c:pt idx="59">
                  <c:v>0.62343199278956496</c:v>
                </c:pt>
                <c:pt idx="60">
                  <c:v>0.76522047682593952</c:v>
                </c:pt>
                <c:pt idx="61">
                  <c:v>0.93188983726186414</c:v>
                </c:pt>
                <c:pt idx="62">
                  <c:v>1.1273314993351153</c:v>
                </c:pt>
                <c:pt idx="63">
                  <c:v>1.3559847654602863</c:v>
                </c:pt>
                <c:pt idx="64">
                  <c:v>1.6229099168762386</c:v>
                </c:pt>
                <c:pt idx="65">
                  <c:v>1.9338719916207927</c:v>
                </c:pt>
                <c:pt idx="66">
                  <c:v>2.2954372984115929</c:v>
                </c:pt>
                <c:pt idx="67">
                  <c:v>2.715085249838765</c:v>
                </c:pt>
                <c:pt idx="68">
                  <c:v>3.2013387757756329</c:v>
                </c:pt>
                <c:pt idx="69">
                  <c:v>3.7639174586053796</c:v>
                </c:pt>
                <c:pt idx="70">
                  <c:v>4.4139186831453969</c:v>
                </c:pt>
                <c:pt idx="71">
                  <c:v>5.1640336087032788</c:v>
                </c:pt>
                <c:pt idx="72">
                  <c:v>6.0288067772538234</c:v>
                </c:pt>
                <c:pt idx="73">
                  <c:v>7.024950851125336</c:v>
                </c:pt>
                <c:pt idx="74">
                  <c:v>8.1717315828093895</c:v>
                </c:pt>
                <c:pt idx="75">
                  <c:v>9.49144302828579</c:v>
                </c:pt>
                <c:pt idx="76">
                  <c:v>11.009999762477925</c:v>
                </c:pt>
                <c:pt idx="77">
                  <c:v>12.757682237545058</c:v>
                </c:pt>
                <c:pt idx="78">
                  <c:v>14.770084636193818</c:v>
                </c:pt>
                <c:pt idx="79">
                  <c:v>17.089333433365489</c:v>
                </c:pt>
                <c:pt idx="80">
                  <c:v>19.765672212167971</c:v>
                </c:pt>
                <c:pt idx="81">
                  <c:v>22.85954853947587</c:v>
                </c:pt>
                <c:pt idx="82">
                  <c:v>26.444399072488327</c:v>
                </c:pt>
                <c:pt idx="83">
                  <c:v>30.61042136517478</c:v>
                </c:pt>
                <c:pt idx="84">
                  <c:v>35.469765029628945</c:v>
                </c:pt>
                <c:pt idx="85">
                  <c:v>41.163805574541236</c:v>
                </c:pt>
                <c:pt idx="86">
                  <c:v>47.873543165437162</c:v>
                </c:pt>
                <c:pt idx="87">
                  <c:v>55.834809774869996</c:v>
                </c:pt>
                <c:pt idx="88">
                  <c:v>65.361090304924602</c:v>
                </c:pt>
                <c:pt idx="89">
                  <c:v>76.878803449361186</c:v>
                </c:pt>
                <c:pt idx="90">
                  <c:v>90.983764398193486</c:v>
                </c:pt>
                <c:pt idx="91">
                  <c:v>108.53530415111879</c:v>
                </c:pt>
                <c:pt idx="92">
                  <c:v>130.82099462025741</c:v>
                </c:pt>
                <c:pt idx="93">
                  <c:v>159.86258452416112</c:v>
                </c:pt>
                <c:pt idx="94">
                  <c:v>199.02789066406069</c:v>
                </c:pt>
                <c:pt idx="95">
                  <c:v>254.3769800802323</c:v>
                </c:pt>
                <c:pt idx="96">
                  <c:v>338.02764912091516</c:v>
                </c:pt>
                <c:pt idx="97">
                  <c:v>478.25188772600859</c:v>
                </c:pt>
                <c:pt idx="98">
                  <c:v>759.86176992130311</c:v>
                </c:pt>
                <c:pt idx="99">
                  <c:v>1606.9107388848906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1-44FB-BBB2-922CA9F7DEEB}"/>
            </c:ext>
          </c:extLst>
        </c:ser>
        <c:ser>
          <c:idx val="3"/>
          <c:order val="2"/>
          <c:tx>
            <c:v>shear/stretch 1.6 mm power law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'shear rates'!$B$222:$FE$222</c:f>
              <c:numCache>
                <c:formatCode>General</c:formatCode>
                <c:ptCount val="160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0.16875000000000004</c:v>
                </c:pt>
                <c:pt idx="28">
                  <c:v>0.17500000000000004</c:v>
                </c:pt>
                <c:pt idx="29">
                  <c:v>0.18125000000000005</c:v>
                </c:pt>
                <c:pt idx="30">
                  <c:v>0.18750000000000008</c:v>
                </c:pt>
                <c:pt idx="31">
                  <c:v>0.19375000000000009</c:v>
                </c:pt>
                <c:pt idx="32">
                  <c:v>0.20000000000000012</c:v>
                </c:pt>
                <c:pt idx="33">
                  <c:v>0.20625000000000013</c:v>
                </c:pt>
                <c:pt idx="34">
                  <c:v>0.21250000000000013</c:v>
                </c:pt>
                <c:pt idx="35">
                  <c:v>0.21875000000000017</c:v>
                </c:pt>
                <c:pt idx="36">
                  <c:v>0.22500000000000017</c:v>
                </c:pt>
                <c:pt idx="37">
                  <c:v>0.23125000000000018</c:v>
                </c:pt>
                <c:pt idx="38">
                  <c:v>0.23750000000000021</c:v>
                </c:pt>
                <c:pt idx="39">
                  <c:v>0.24375000000000022</c:v>
                </c:pt>
                <c:pt idx="40">
                  <c:v>0.25000000000000022</c:v>
                </c:pt>
                <c:pt idx="41">
                  <c:v>0.25625000000000026</c:v>
                </c:pt>
                <c:pt idx="42">
                  <c:v>0.26250000000000029</c:v>
                </c:pt>
                <c:pt idx="43">
                  <c:v>0.26875000000000027</c:v>
                </c:pt>
                <c:pt idx="44">
                  <c:v>0.2750000000000003</c:v>
                </c:pt>
                <c:pt idx="45">
                  <c:v>0.28125000000000033</c:v>
                </c:pt>
                <c:pt idx="46">
                  <c:v>0.28750000000000031</c:v>
                </c:pt>
                <c:pt idx="47">
                  <c:v>0.29375000000000034</c:v>
                </c:pt>
                <c:pt idx="48">
                  <c:v>0.30000000000000038</c:v>
                </c:pt>
                <c:pt idx="49">
                  <c:v>0.30625000000000036</c:v>
                </c:pt>
                <c:pt idx="50">
                  <c:v>0.31250000000000039</c:v>
                </c:pt>
                <c:pt idx="51">
                  <c:v>0.31875000000000042</c:v>
                </c:pt>
                <c:pt idx="52">
                  <c:v>0.32500000000000046</c:v>
                </c:pt>
                <c:pt idx="53">
                  <c:v>0.33125000000000043</c:v>
                </c:pt>
                <c:pt idx="54">
                  <c:v>0.33750000000000047</c:v>
                </c:pt>
                <c:pt idx="55">
                  <c:v>0.3437500000000005</c:v>
                </c:pt>
                <c:pt idx="56">
                  <c:v>0.35000000000000048</c:v>
                </c:pt>
                <c:pt idx="57">
                  <c:v>0.35625000000000051</c:v>
                </c:pt>
                <c:pt idx="58">
                  <c:v>0.36250000000000054</c:v>
                </c:pt>
                <c:pt idx="59">
                  <c:v>0.36875000000000052</c:v>
                </c:pt>
                <c:pt idx="60">
                  <c:v>0.37500000000000056</c:v>
                </c:pt>
                <c:pt idx="61">
                  <c:v>0.38125000000000059</c:v>
                </c:pt>
                <c:pt idx="62">
                  <c:v>0.38750000000000057</c:v>
                </c:pt>
                <c:pt idx="63">
                  <c:v>0.3937500000000006</c:v>
                </c:pt>
                <c:pt idx="64">
                  <c:v>0.40000000000000063</c:v>
                </c:pt>
                <c:pt idx="65">
                  <c:v>0.40625000000000067</c:v>
                </c:pt>
                <c:pt idx="66">
                  <c:v>0.41250000000000064</c:v>
                </c:pt>
                <c:pt idx="67">
                  <c:v>0.41875000000000068</c:v>
                </c:pt>
                <c:pt idx="68">
                  <c:v>0.42500000000000071</c:v>
                </c:pt>
                <c:pt idx="69">
                  <c:v>0.43125000000000069</c:v>
                </c:pt>
                <c:pt idx="70">
                  <c:v>0.43750000000000072</c:v>
                </c:pt>
                <c:pt idx="71">
                  <c:v>0.44375000000000075</c:v>
                </c:pt>
                <c:pt idx="72">
                  <c:v>0.45000000000000073</c:v>
                </c:pt>
                <c:pt idx="73">
                  <c:v>0.45625000000000077</c:v>
                </c:pt>
                <c:pt idx="74">
                  <c:v>0.4625000000000008</c:v>
                </c:pt>
                <c:pt idx="75">
                  <c:v>0.46875000000000078</c:v>
                </c:pt>
                <c:pt idx="76">
                  <c:v>0.47500000000000081</c:v>
                </c:pt>
                <c:pt idx="77">
                  <c:v>0.48125000000000084</c:v>
                </c:pt>
                <c:pt idx="78">
                  <c:v>0.48750000000000082</c:v>
                </c:pt>
                <c:pt idx="79">
                  <c:v>0.49375000000000085</c:v>
                </c:pt>
                <c:pt idx="80">
                  <c:v>0.50000000000000089</c:v>
                </c:pt>
                <c:pt idx="81">
                  <c:v>0.50625000000000087</c:v>
                </c:pt>
                <c:pt idx="82">
                  <c:v>0.51250000000000095</c:v>
                </c:pt>
                <c:pt idx="83">
                  <c:v>0.51875000000000093</c:v>
                </c:pt>
                <c:pt idx="84">
                  <c:v>0.52500000000000091</c:v>
                </c:pt>
                <c:pt idx="85">
                  <c:v>0.531250000000001</c:v>
                </c:pt>
                <c:pt idx="86">
                  <c:v>0.53750000000000098</c:v>
                </c:pt>
                <c:pt idx="87">
                  <c:v>0.54375000000000095</c:v>
                </c:pt>
                <c:pt idx="88">
                  <c:v>0.55000000000000104</c:v>
                </c:pt>
                <c:pt idx="89">
                  <c:v>0.55625000000000102</c:v>
                </c:pt>
                <c:pt idx="90">
                  <c:v>0.562500000000001</c:v>
                </c:pt>
                <c:pt idx="91">
                  <c:v>0.56875000000000109</c:v>
                </c:pt>
                <c:pt idx="92">
                  <c:v>0.57500000000000107</c:v>
                </c:pt>
                <c:pt idx="93">
                  <c:v>0.58125000000000104</c:v>
                </c:pt>
                <c:pt idx="94">
                  <c:v>0.58750000000000113</c:v>
                </c:pt>
                <c:pt idx="95">
                  <c:v>0.59375000000000111</c:v>
                </c:pt>
                <c:pt idx="96">
                  <c:v>0.60000000000000109</c:v>
                </c:pt>
                <c:pt idx="97">
                  <c:v>0.60625000000000118</c:v>
                </c:pt>
                <c:pt idx="98">
                  <c:v>0.61250000000000115</c:v>
                </c:pt>
                <c:pt idx="99">
                  <c:v>0.61875000000000113</c:v>
                </c:pt>
                <c:pt idx="100">
                  <c:v>0.62500000000000122</c:v>
                </c:pt>
                <c:pt idx="101">
                  <c:v>0.6312500000000012</c:v>
                </c:pt>
                <c:pt idx="102">
                  <c:v>0.63750000000000129</c:v>
                </c:pt>
                <c:pt idx="103">
                  <c:v>0.64375000000000127</c:v>
                </c:pt>
                <c:pt idx="104">
                  <c:v>0.65000000000000124</c:v>
                </c:pt>
                <c:pt idx="105">
                  <c:v>0.65625000000000133</c:v>
                </c:pt>
                <c:pt idx="106">
                  <c:v>0.66250000000000131</c:v>
                </c:pt>
                <c:pt idx="107">
                  <c:v>0.66875000000000129</c:v>
                </c:pt>
                <c:pt idx="108">
                  <c:v>0.67500000000000138</c:v>
                </c:pt>
                <c:pt idx="109">
                  <c:v>0.68125000000000135</c:v>
                </c:pt>
                <c:pt idx="110">
                  <c:v>0.68750000000000133</c:v>
                </c:pt>
                <c:pt idx="111">
                  <c:v>0.69375000000000142</c:v>
                </c:pt>
                <c:pt idx="112">
                  <c:v>0.7000000000000014</c:v>
                </c:pt>
                <c:pt idx="113">
                  <c:v>0.70625000000000138</c:v>
                </c:pt>
                <c:pt idx="114">
                  <c:v>0.71250000000000147</c:v>
                </c:pt>
                <c:pt idx="115">
                  <c:v>0.71875000000000144</c:v>
                </c:pt>
                <c:pt idx="116">
                  <c:v>0.72500000000000142</c:v>
                </c:pt>
                <c:pt idx="117">
                  <c:v>0.73125000000000151</c:v>
                </c:pt>
                <c:pt idx="118">
                  <c:v>0.73750000000000149</c:v>
                </c:pt>
                <c:pt idx="119">
                  <c:v>0.74375000000000147</c:v>
                </c:pt>
                <c:pt idx="120">
                  <c:v>0.75000000000000155</c:v>
                </c:pt>
                <c:pt idx="121">
                  <c:v>0.75625000000000153</c:v>
                </c:pt>
                <c:pt idx="122">
                  <c:v>0.76250000000000151</c:v>
                </c:pt>
                <c:pt idx="123">
                  <c:v>0.7687500000000016</c:v>
                </c:pt>
                <c:pt idx="124">
                  <c:v>0.77500000000000158</c:v>
                </c:pt>
                <c:pt idx="125">
                  <c:v>0.78125000000000155</c:v>
                </c:pt>
                <c:pt idx="126">
                  <c:v>0.78750000000000164</c:v>
                </c:pt>
                <c:pt idx="127">
                  <c:v>0.79375000000000162</c:v>
                </c:pt>
                <c:pt idx="128">
                  <c:v>0.8000000000000016</c:v>
                </c:pt>
                <c:pt idx="129">
                  <c:v>0.80625000000000169</c:v>
                </c:pt>
                <c:pt idx="130">
                  <c:v>0.81250000000000167</c:v>
                </c:pt>
                <c:pt idx="131">
                  <c:v>0.81875000000000175</c:v>
                </c:pt>
                <c:pt idx="132">
                  <c:v>0.82500000000000173</c:v>
                </c:pt>
                <c:pt idx="133">
                  <c:v>0.83125000000000171</c:v>
                </c:pt>
                <c:pt idx="134">
                  <c:v>0.8375000000000018</c:v>
                </c:pt>
                <c:pt idx="135">
                  <c:v>0.84375000000000178</c:v>
                </c:pt>
                <c:pt idx="136">
                  <c:v>0.85000000000000175</c:v>
                </c:pt>
                <c:pt idx="137">
                  <c:v>0.85625000000000184</c:v>
                </c:pt>
                <c:pt idx="138">
                  <c:v>0.86250000000000182</c:v>
                </c:pt>
                <c:pt idx="139">
                  <c:v>0.8687500000000018</c:v>
                </c:pt>
                <c:pt idx="140">
                  <c:v>0.87500000000000189</c:v>
                </c:pt>
                <c:pt idx="141">
                  <c:v>0.88125000000000187</c:v>
                </c:pt>
                <c:pt idx="142">
                  <c:v>0.88750000000000184</c:v>
                </c:pt>
                <c:pt idx="143">
                  <c:v>0.89375000000000193</c:v>
                </c:pt>
                <c:pt idx="144">
                  <c:v>0.90000000000000191</c:v>
                </c:pt>
                <c:pt idx="145">
                  <c:v>0.90625000000000189</c:v>
                </c:pt>
                <c:pt idx="146">
                  <c:v>0.91250000000000198</c:v>
                </c:pt>
                <c:pt idx="147">
                  <c:v>0.91875000000000195</c:v>
                </c:pt>
                <c:pt idx="148">
                  <c:v>0.92500000000000193</c:v>
                </c:pt>
                <c:pt idx="149">
                  <c:v>0.93125000000000202</c:v>
                </c:pt>
                <c:pt idx="150">
                  <c:v>0.937500000000002</c:v>
                </c:pt>
                <c:pt idx="151">
                  <c:v>0.94375000000000198</c:v>
                </c:pt>
                <c:pt idx="152">
                  <c:v>0.95000000000000207</c:v>
                </c:pt>
                <c:pt idx="153">
                  <c:v>0.95625000000000204</c:v>
                </c:pt>
                <c:pt idx="154">
                  <c:v>0.96250000000000202</c:v>
                </c:pt>
                <c:pt idx="155">
                  <c:v>0.96875000000000211</c:v>
                </c:pt>
                <c:pt idx="156">
                  <c:v>0.97500000000000209</c:v>
                </c:pt>
                <c:pt idx="157">
                  <c:v>0.98125000000000207</c:v>
                </c:pt>
                <c:pt idx="158">
                  <c:v>0.98750000000000215</c:v>
                </c:pt>
                <c:pt idx="159">
                  <c:v>0.99375000000000213</c:v>
                </c:pt>
              </c:numCache>
            </c:numRef>
          </c:xVal>
          <c:yVal>
            <c:numRef>
              <c:f>'shear rates'!$FL$147:$LO$147</c:f>
              <c:numCache>
                <c:formatCode>General</c:formatCode>
                <c:ptCount val="160"/>
                <c:pt idx="0">
                  <c:v>9.875423216401058E-2</c:v>
                </c:pt>
                <c:pt idx="1">
                  <c:v>9.875423216401058E-2</c:v>
                </c:pt>
                <c:pt idx="2">
                  <c:v>9.875423216401058E-2</c:v>
                </c:pt>
                <c:pt idx="3">
                  <c:v>9.8754232164010525E-2</c:v>
                </c:pt>
                <c:pt idx="4">
                  <c:v>9.875423216400947E-2</c:v>
                </c:pt>
                <c:pt idx="5">
                  <c:v>9.8754232163998576E-2</c:v>
                </c:pt>
                <c:pt idx="6">
                  <c:v>9.8754232163927091E-2</c:v>
                </c:pt>
                <c:pt idx="7">
                  <c:v>9.8754232163580286E-2</c:v>
                </c:pt>
                <c:pt idx="8">
                  <c:v>9.8754232162229408E-2</c:v>
                </c:pt>
                <c:pt idx="9">
                  <c:v>9.8754232157774999E-2</c:v>
                </c:pt>
                <c:pt idx="10">
                  <c:v>9.8754232144883117E-2</c:v>
                </c:pt>
                <c:pt idx="11">
                  <c:v>9.8754232111287282E-2</c:v>
                </c:pt>
                <c:pt idx="12">
                  <c:v>9.8754232030963215E-2</c:v>
                </c:pt>
                <c:pt idx="13">
                  <c:v>9.8754231852255334E-2</c:v>
                </c:pt>
                <c:pt idx="14">
                  <c:v>9.8754231478203697E-2</c:v>
                </c:pt>
                <c:pt idx="15">
                  <c:v>9.8754230735256854E-2</c:v>
                </c:pt>
                <c:pt idx="16">
                  <c:v>9.8754229325221585E-2</c:v>
                </c:pt>
                <c:pt idx="17">
                  <c:v>9.8754226753652183E-2</c:v>
                </c:pt>
                <c:pt idx="18">
                  <c:v>9.8754222225883648E-2</c:v>
                </c:pt>
                <c:pt idx="19">
                  <c:v>9.8754214499514201E-2</c:v>
                </c:pt>
                <c:pt idx="20">
                  <c:v>9.8754201679304585E-2</c:v>
                </c:pt>
                <c:pt idx="21">
                  <c:v>9.8754180937129565E-2</c:v>
                </c:pt>
                <c:pt idx="22">
                  <c:v>9.8754148135748371E-2</c:v>
                </c:pt>
                <c:pt idx="23">
                  <c:v>9.8754097330698828E-2</c:v>
                </c:pt>
                <c:pt idx="24">
                  <c:v>9.8754020119513883E-2</c:v>
                </c:pt>
                <c:pt idx="25">
                  <c:v>9.8753904801654566E-2</c:v>
                </c:pt>
                <c:pt idx="26">
                  <c:v>9.8753735305991894E-2</c:v>
                </c:pt>
                <c:pt idx="27">
                  <c:v>9.8753489835294098E-2</c:v>
                </c:pt>
                <c:pt idx="28">
                  <c:v>9.8753139168926349E-2</c:v>
                </c:pt>
                <c:pt idx="29">
                  <c:v>9.8752644555782476E-2</c:v>
                </c:pt>
                <c:pt idx="30">
                  <c:v>9.8751955119282989E-2</c:v>
                </c:pt>
                <c:pt idx="31">
                  <c:v>9.8751004685022917E-2</c:v>
                </c:pt>
                <c:pt idx="32">
                  <c:v>9.8749707929271041E-2</c:v>
                </c:pt>
                <c:pt idx="33">
                  <c:v>9.8747955732941803E-2</c:v>
                </c:pt>
                <c:pt idx="34">
                  <c:v>9.8745609610811039E-2</c:v>
                </c:pt>
                <c:pt idx="35">
                  <c:v>9.8742495069556901E-2</c:v>
                </c:pt>
                <c:pt idx="36">
                  <c:v>9.8738393730605833E-2</c:v>
                </c:pt>
                <c:pt idx="37">
                  <c:v>9.8733034034672373E-2</c:v>
                </c:pt>
                <c:pt idx="38">
                  <c:v>9.8726080324231261E-2</c:v>
                </c:pt>
                <c:pt idx="39">
                  <c:v>9.8717120077866885E-2</c:v>
                </c:pt>
                <c:pt idx="40">
                  <c:v>9.8705649046435057E-2</c:v>
                </c:pt>
                <c:pt idx="41">
                  <c:v>9.8691054015161983E-2</c:v>
                </c:pt>
                <c:pt idx="42">
                  <c:v>9.8672592888114918E-2</c:v>
                </c:pt>
                <c:pt idx="43">
                  <c:v>9.8649371761824436E-2</c:v>
                </c:pt>
                <c:pt idx="44">
                  <c:v>9.8620318623133654E-2</c:v>
                </c:pt>
                <c:pt idx="45">
                  <c:v>9.8584153272509759E-2</c:v>
                </c:pt>
                <c:pt idx="46">
                  <c:v>9.8539353037989039E-2</c:v>
                </c:pt>
                <c:pt idx="47">
                  <c:v>9.8484113806545759E-2</c:v>
                </c:pt>
                <c:pt idx="48">
                  <c:v>9.8416305858888165E-2</c:v>
                </c:pt>
                <c:pt idx="49">
                  <c:v>9.8333423950394003E-2</c:v>
                </c:pt>
                <c:pt idx="50">
                  <c:v>9.8232531035007148E-2</c:v>
                </c:pt>
                <c:pt idx="51">
                  <c:v>9.8110194980324694E-2</c:v>
                </c:pt>
                <c:pt idx="52">
                  <c:v>9.7962417570707325E-2</c:v>
                </c:pt>
                <c:pt idx="53">
                  <c:v>9.7784555040934473E-2</c:v>
                </c:pt>
                <c:pt idx="54">
                  <c:v>9.7571229325591077E-2</c:v>
                </c:pt>
                <c:pt idx="55">
                  <c:v>9.7316229148890737E-2</c:v>
                </c:pt>
                <c:pt idx="56">
                  <c:v>9.7012400015890426E-2</c:v>
                </c:pt>
                <c:pt idx="57">
                  <c:v>9.6651522098899975E-2</c:v>
                </c:pt>
                <c:pt idx="58">
                  <c:v>9.6224174942188767E-2</c:v>
                </c:pt>
                <c:pt idx="59">
                  <c:v>9.5719587833697148E-2</c:v>
                </c:pt>
                <c:pt idx="60">
                  <c:v>9.5125474614188299E-2</c:v>
                </c:pt>
                <c:pt idx="61">
                  <c:v>9.4427851611959809E-2</c:v>
                </c:pt>
                <c:pt idx="62">
                  <c:v>9.3610837304647102E-2</c:v>
                </c:pt>
                <c:pt idx="63">
                  <c:v>9.2656432218582399E-2</c:v>
                </c:pt>
                <c:pt idx="64">
                  <c:v>9.1544277480344549E-2</c:v>
                </c:pt>
                <c:pt idx="65">
                  <c:v>9.0251390334262813E-2</c:v>
                </c:pt>
                <c:pt idx="66">
                  <c:v>8.8751874833378736E-2</c:v>
                </c:pt>
                <c:pt idx="67">
                  <c:v>8.7016605799329225E-2</c:v>
                </c:pt>
                <c:pt idx="68">
                  <c:v>8.5012884028347738E-2</c:v>
                </c:pt>
                <c:pt idx="69">
                  <c:v>8.2704060595552534E-2</c:v>
                </c:pt>
                <c:pt idx="70">
                  <c:v>8.0049127977303208E-2</c:v>
                </c:pt>
                <c:pt idx="71">
                  <c:v>7.7002275570923609E-2</c:v>
                </c:pt>
                <c:pt idx="72">
                  <c:v>7.3512407041691069E-2</c:v>
                </c:pt>
                <c:pt idx="73">
                  <c:v>6.9522616767677209E-2</c:v>
                </c:pt>
                <c:pt idx="74">
                  <c:v>6.4969622482645775E-2</c:v>
                </c:pt>
                <c:pt idx="75">
                  <c:v>5.9783151034406103E-2</c:v>
                </c:pt>
                <c:pt idx="76">
                  <c:v>5.3885273979187007E-2</c:v>
                </c:pt>
                <c:pt idx="77">
                  <c:v>4.7189689519836236E-2</c:v>
                </c:pt>
                <c:pt idx="78">
                  <c:v>3.9600947064815005E-2</c:v>
                </c:pt>
                <c:pt idx="79">
                  <c:v>3.1013610433334587E-2</c:v>
                </c:pt>
                <c:pt idx="80">
                  <c:v>2.1311355456642145E-2</c:v>
                </c:pt>
                <c:pt idx="81">
                  <c:v>1.0365997422765508E-2</c:v>
                </c:pt>
                <c:pt idx="82">
                  <c:v>1.9635565222991423E-3</c:v>
                </c:pt>
                <c:pt idx="83">
                  <c:v>1.5832435274674449E-2</c:v>
                </c:pt>
                <c:pt idx="84">
                  <c:v>3.1411017644777037E-2</c:v>
                </c:pt>
                <c:pt idx="85">
                  <c:v>4.8886238334401567E-2</c:v>
                </c:pt>
                <c:pt idx="86">
                  <c:v>6.8462992670620476E-2</c:v>
                </c:pt>
                <c:pt idx="87">
                  <c:v>9.036564733358772E-2</c:v>
                </c:pt>
                <c:pt idx="88">
                  <c:v>0.11483966497771221</c:v>
                </c:pt>
                <c:pt idx="89">
                  <c:v>0.14215335139766055</c:v>
                </c:pt>
                <c:pt idx="90">
                  <c:v>0.17259973474734064</c:v>
                </c:pt>
                <c:pt idx="91">
                  <c:v>0.20649858729862253</c:v>
                </c:pt>
                <c:pt idx="92">
                  <c:v>0.24419860134728719</c:v>
                </c:pt>
                <c:pt idx="93">
                  <c:v>0.28607973216062649</c:v>
                </c:pt>
                <c:pt idx="94">
                  <c:v>0.3325557223417403</c:v>
                </c:pt>
                <c:pt idx="95">
                  <c:v>0.38407682369287865</c:v>
                </c:pt>
                <c:pt idx="96">
                  <c:v>0.44113273463204827</c:v>
                </c:pt>
                <c:pt idx="97">
                  <c:v>0.50425577349919304</c:v>
                </c:pt>
                <c:pt idx="98">
                  <c:v>0.57402431073277682</c:v>
                </c:pt>
                <c:pt idx="99">
                  <c:v>0.65106648596807215</c:v>
                </c:pt>
                <c:pt idx="100">
                  <c:v>0.73606423967715784</c:v>
                </c:pt>
                <c:pt idx="101">
                  <c:v>0.82975769312716574</c:v>
                </c:pt>
                <c:pt idx="102">
                  <c:v>0.93294991527868187</c:v>
                </c:pt>
                <c:pt idx="103">
                  <c:v>1.0465121209063073</c:v>
                </c:pt>
                <c:pt idx="104">
                  <c:v>1.1713893508432345</c:v>
                </c:pt>
                <c:pt idx="105">
                  <c:v>1.3086066930091582</c:v>
                </c:pt>
                <c:pt idx="106">
                  <c:v>1.4592761119851052</c:v>
                </c:pt>
                <c:pt idx="107">
                  <c:v>1.6246039656066562</c:v>
                </c:pt>
                <c:pt idx="108">
                  <c:v>1.8058992996634793</c:v>
                </c:pt>
                <c:pt idx="109">
                  <c:v>2.0045830266924778</c:v>
                </c:pt>
                <c:pt idx="110">
                  <c:v>2.2221981124878556</c:v>
                </c:pt>
                <c:pt idx="111">
                  <c:v>2.4604209148772265</c:v>
                </c:pt>
                <c:pt idx="112">
                  <c:v>2.7210738442107321</c:v>
                </c:pt>
                <c:pt idx="113">
                  <c:v>3.0061395447180645</c:v>
                </c:pt>
                <c:pt idx="114">
                  <c:v>3.3177768314432954</c:v>
                </c:pt>
                <c:pt idx="115">
                  <c:v>3.6583386601620158</c:v>
                </c:pt>
                <c:pt idx="116">
                  <c:v>4.0303924591290468</c:v>
                </c:pt>
                <c:pt idx="117">
                  <c:v>4.4367432137234832</c:v>
                </c:pt>
                <c:pt idx="118">
                  <c:v>4.8804597706014707</c:v>
                </c:pt>
                <c:pt idx="119">
                  <c:v>5.3649049200719148</c:v>
                </c:pt>
                <c:pt idx="120">
                  <c:v>5.8937699282045637</c:v>
                </c:pt>
                <c:pt idx="121">
                  <c:v>6.4711143289442372</c:v>
                </c:pt>
                <c:pt idx="122">
                  <c:v>7.101411958071278</c:v>
                </c:pt>
                <c:pt idx="123">
                  <c:v>7.7896044240440396</c:v>
                </c:pt>
                <c:pt idx="124">
                  <c:v>8.5411634771570526</c:v>
                </c:pt>
                <c:pt idx="125">
                  <c:v>9.36216407320582</c:v>
                </c:pt>
                <c:pt idx="126">
                  <c:v>10.259370351076916</c:v>
                </c:pt>
                <c:pt idx="127">
                  <c:v>11.240337282162063</c:v>
                </c:pt>
                <c:pt idx="128">
                  <c:v>12.313531439234264</c:v>
                </c:pt>
                <c:pt idx="129">
                  <c:v>13.488475222207574</c:v>
                </c:pt>
                <c:pt idx="130">
                  <c:v>14.775920034698711</c:v>
                </c:pt>
                <c:pt idx="131">
                  <c:v>16.188055420482357</c:v>
                </c:pt>
                <c:pt idx="132">
                  <c:v>17.738763170887967</c:v>
                </c:pt>
                <c:pt idx="133">
                  <c:v>19.443928083204437</c:v>
                </c:pt>
                <c:pt idx="134">
                  <c:v>21.321820642816942</c:v>
                </c:pt>
                <c:pt idx="135">
                  <c:v>23.393571787563747</c:v>
                </c:pt>
                <c:pt idx="136">
                  <c:v>25.683766630475461</c:v>
                </c:pt>
                <c:pt idx="137">
                  <c:v>28.221193363165671</c:v>
                </c:pt>
                <c:pt idx="138">
                  <c:v>31.03979673140029</c:v>
                </c:pt>
                <c:pt idx="139">
                  <c:v>34.179904287463962</c:v>
                </c:pt>
                <c:pt idx="140">
                  <c:v>37.689820902676985</c:v>
                </c:pt>
                <c:pt idx="141">
                  <c:v>41.627927223586433</c:v>
                </c:pt>
                <c:pt idx="142">
                  <c:v>46.065478055467416</c:v>
                </c:pt>
                <c:pt idx="143">
                  <c:v>51.090388880455073</c:v>
                </c:pt>
                <c:pt idx="144">
                  <c:v>56.812442817097804</c:v>
                </c:pt>
                <c:pt idx="145">
                  <c:v>63.370580887375908</c:v>
                </c:pt>
                <c:pt idx="146">
                  <c:v>70.943317233241814</c:v>
                </c:pt>
                <c:pt idx="147">
                  <c:v>79.763961930509339</c:v>
                </c:pt>
                <c:pt idx="148">
                  <c:v>90.143455808290426</c:v>
                </c:pt>
                <c:pt idx="149">
                  <c:v>102.50566124686664</c:v>
                </c:pt>
                <c:pt idx="150">
                  <c:v>117.44382810025293</c:v>
                </c:pt>
                <c:pt idx="151">
                  <c:v>135.81470423701535</c:v>
                </c:pt>
                <c:pt idx="152">
                  <c:v>158.90322968164432</c:v>
                </c:pt>
                <c:pt idx="153">
                  <c:v>188.72839788534066</c:v>
                </c:pt>
                <c:pt idx="154">
                  <c:v>228.65497902240193</c:v>
                </c:pt>
                <c:pt idx="155">
                  <c:v>284.73931203834019</c:v>
                </c:pt>
                <c:pt idx="156">
                  <c:v>369.09378562452821</c:v>
                </c:pt>
                <c:pt idx="157">
                  <c:v>509.98028209121742</c:v>
                </c:pt>
                <c:pt idx="158">
                  <c:v>792.18395399706526</c:v>
                </c:pt>
                <c:pt idx="159">
                  <c:v>1639.6296622625212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1-44FB-BBB2-922CA9F7DEEB}"/>
            </c:ext>
          </c:extLst>
        </c:ser>
        <c:ser>
          <c:idx val="1"/>
          <c:order val="3"/>
          <c:tx>
            <c:v>shear/stretch 0.5 mm power law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'shear rates'!$B$212:$AY$212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6.0000000000000005E-2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0.18000000000000002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0.30000000000000004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0.60000000000000031</c:v>
                </c:pt>
                <c:pt idx="31">
                  <c:v>0.62000000000000033</c:v>
                </c:pt>
                <c:pt idx="32">
                  <c:v>0.64000000000000035</c:v>
                </c:pt>
                <c:pt idx="33">
                  <c:v>0.66000000000000036</c:v>
                </c:pt>
                <c:pt idx="34">
                  <c:v>0.68000000000000049</c:v>
                </c:pt>
                <c:pt idx="35">
                  <c:v>0.70000000000000051</c:v>
                </c:pt>
                <c:pt idx="36">
                  <c:v>0.72000000000000053</c:v>
                </c:pt>
                <c:pt idx="37">
                  <c:v>0.74000000000000066</c:v>
                </c:pt>
                <c:pt idx="38">
                  <c:v>0.76000000000000068</c:v>
                </c:pt>
                <c:pt idx="39">
                  <c:v>0.78000000000000069</c:v>
                </c:pt>
                <c:pt idx="40">
                  <c:v>0.80000000000000082</c:v>
                </c:pt>
                <c:pt idx="41">
                  <c:v>0.82000000000000084</c:v>
                </c:pt>
                <c:pt idx="42">
                  <c:v>0.84000000000000086</c:v>
                </c:pt>
                <c:pt idx="43">
                  <c:v>0.86000000000000099</c:v>
                </c:pt>
                <c:pt idx="44">
                  <c:v>0.880000000000001</c:v>
                </c:pt>
                <c:pt idx="45">
                  <c:v>0.90000000000000102</c:v>
                </c:pt>
                <c:pt idx="46">
                  <c:v>0.92000000000000104</c:v>
                </c:pt>
                <c:pt idx="47">
                  <c:v>0.94000000000000117</c:v>
                </c:pt>
                <c:pt idx="48">
                  <c:v>0.96000000000000119</c:v>
                </c:pt>
                <c:pt idx="49">
                  <c:v>0.9800000000000012</c:v>
                </c:pt>
              </c:numCache>
            </c:numRef>
          </c:xVal>
          <c:yVal>
            <c:numRef>
              <c:f>'shear rates'!$BG$122:$DD$122</c:f>
              <c:numCache>
                <c:formatCode>General</c:formatCode>
                <c:ptCount val="50"/>
                <c:pt idx="0">
                  <c:v>9.8754232164010636E-2</c:v>
                </c:pt>
                <c:pt idx="1">
                  <c:v>9.8754232164010317E-2</c:v>
                </c:pt>
                <c:pt idx="2">
                  <c:v>9.8754232163479866E-2</c:v>
                </c:pt>
                <c:pt idx="3">
                  <c:v>9.8754232124362906E-2</c:v>
                </c:pt>
                <c:pt idx="4">
                  <c:v>9.8754231318047267E-2</c:v>
                </c:pt>
                <c:pt idx="5">
                  <c:v>9.8754223079386194E-2</c:v>
                </c:pt>
                <c:pt idx="6">
                  <c:v>9.8754168972536333E-2</c:v>
                </c:pt>
                <c:pt idx="7">
                  <c:v>9.8753906435175537E-2</c:v>
                </c:pt>
                <c:pt idx="8">
                  <c:v>9.8752883854366619E-2</c:v>
                </c:pt>
                <c:pt idx="9">
                  <c:v>9.8749511933141396E-2</c:v>
                </c:pt>
                <c:pt idx="10">
                  <c:v>9.8739753020058635E-2</c:v>
                </c:pt>
                <c:pt idx="11">
                  <c:v>9.8714321547616959E-2</c:v>
                </c:pt>
                <c:pt idx="12">
                  <c:v>9.8653517606855576E-2</c:v>
                </c:pt>
                <c:pt idx="13">
                  <c:v>9.8518238818064804E-2</c:v>
                </c:pt>
                <c:pt idx="14">
                  <c:v>9.8235088058638481E-2</c:v>
                </c:pt>
                <c:pt idx="15">
                  <c:v>9.7672689519697486E-2</c:v>
                </c:pt>
                <c:pt idx="16">
                  <c:v>9.6605314447848492E-2</c:v>
                </c:pt>
                <c:pt idx="17">
                  <c:v>9.4658670374987777E-2</c:v>
                </c:pt>
                <c:pt idx="18">
                  <c:v>9.1231191046621737E-2</c:v>
                </c:pt>
                <c:pt idx="19">
                  <c:v>8.5382343097063759E-2</c:v>
                </c:pt>
                <c:pt idx="20">
                  <c:v>7.5677299743403717E-2</c:v>
                </c:pt>
                <c:pt idx="21">
                  <c:v>5.9974773649462333E-2</c:v>
                </c:pt>
                <c:pt idx="22">
                  <c:v>3.5141789178787207E-2</c:v>
                </c:pt>
                <c:pt idx="23">
                  <c:v>3.3243778058786029E-3</c:v>
                </c:pt>
                <c:pt idx="24">
                  <c:v>6.1791087556153666E-2</c:v>
                </c:pt>
                <c:pt idx="25">
                  <c:v>0.14913115030186602</c:v>
                </c:pt>
                <c:pt idx="26">
                  <c:v>0.2775449961012339</c:v>
                </c:pt>
                <c:pt idx="27">
                  <c:v>0.46360776708714341</c:v>
                </c:pt>
                <c:pt idx="28">
                  <c:v>0.72959580954830383</c:v>
                </c:pt>
                <c:pt idx="29">
                  <c:v>1.105162343482067</c:v>
                </c:pt>
                <c:pt idx="30">
                  <c:v>1.6294544560096238</c:v>
                </c:pt>
                <c:pt idx="31">
                  <c:v>2.3537974352743518</c:v>
                </c:pt>
                <c:pt idx="32">
                  <c:v>3.3451251747989317</c:v>
                </c:pt>
                <c:pt idx="33">
                  <c:v>4.6904191730058216</c:v>
                </c:pt>
                <c:pt idx="34">
                  <c:v>6.5025541969583953</c:v>
                </c:pt>
                <c:pt idx="35">
                  <c:v>8.9281715869710325</c:v>
                </c:pt>
                <c:pt idx="36">
                  <c:v>12.158574503052794</c:v>
                </c:pt>
                <c:pt idx="37">
                  <c:v>16.445278610182704</c:v>
                </c:pt>
                <c:pt idx="38">
                  <c:v>22.122976688351727</c:v>
                </c:pt>
                <c:pt idx="39">
                  <c:v>29.644724614142667</c:v>
                </c:pt>
                <c:pt idx="40">
                  <c:v>39.638047606657231</c:v>
                </c:pt>
                <c:pt idx="41">
                  <c:v>52.998439533728309</c:v>
                </c:pt>
                <c:pt idx="42">
                  <c:v>71.053229346433966</c:v>
                </c:pt>
                <c:pt idx="43">
                  <c:v>95.866477524811543</c:v>
                </c:pt>
                <c:pt idx="44">
                  <c:v>130.84974985221393</c:v>
                </c:pt>
                <c:pt idx="45">
                  <c:v>182.10728861444537</c:v>
                </c:pt>
                <c:pt idx="46">
                  <c:v>261.80099427251798</c:v>
                </c:pt>
                <c:pt idx="47">
                  <c:v>398.24816909113804</c:v>
                </c:pt>
                <c:pt idx="48">
                  <c:v>676.31643108932178</c:v>
                </c:pt>
                <c:pt idx="49">
                  <c:v>1520.1948572875376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D1-44FB-BBB2-922CA9F7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centre of symmetry 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shear/extensional rates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02871149678984"/>
          <c:y val="0.10370535578993904"/>
          <c:w val="0.16804922001067765"/>
          <c:h val="0.1944567275159780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0.3 mm thickness / NA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1"/>
          <c:order val="0"/>
          <c:tx>
            <c:v>Experimental core fraction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rates'!$V$19:$V$21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rates'!$AR$14:$AR$16</c:f>
              <c:numCache>
                <c:formatCode>General</c:formatCode>
                <c:ptCount val="3"/>
                <c:pt idx="0">
                  <c:v>0.32</c:v>
                </c:pt>
                <c:pt idx="1">
                  <c:v>0.1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C-408B-BB3B-61E30AAEF158}"/>
            </c:ext>
          </c:extLst>
        </c:ser>
        <c:ser>
          <c:idx val="0"/>
          <c:order val="1"/>
          <c:tx>
            <c:v>Predicted core fraction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rates'!$V$19:$V$21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rates'!$M$200:$O$200</c:f>
              <c:numCache>
                <c:formatCode>General</c:formatCode>
                <c:ptCount val="3"/>
                <c:pt idx="0">
                  <c:v>0.33710782464962169</c:v>
                </c:pt>
                <c:pt idx="1">
                  <c:v>0.16446305887491267</c:v>
                </c:pt>
                <c:pt idx="2">
                  <c:v>0.10741174180904457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FC-408B-BB3B-61E30AAE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590157232118636E-4"/>
              <c:y val="0.3182709415922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8150439258678397"/>
          <c:h val="0.1169333779648185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0.5 mm thickness / NA 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rates'!$AF$32:$AF$34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rates'!$M$201:$O$201</c:f>
              <c:numCache>
                <c:formatCode>General</c:formatCode>
                <c:ptCount val="3"/>
                <c:pt idx="0">
                  <c:v>0.48486185601933163</c:v>
                </c:pt>
                <c:pt idx="1">
                  <c:v>0.26233674012824942</c:v>
                </c:pt>
                <c:pt idx="2">
                  <c:v>0.17552902607316251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9-49AC-9BAC-1749867A7AC4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rates'!$AF$32:$AF$34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rates'!$BL$27:$BL$29</c:f>
              <c:numCache>
                <c:formatCode>General</c:formatCode>
                <c:ptCount val="3"/>
                <c:pt idx="0">
                  <c:v>0.35526315789473684</c:v>
                </c:pt>
                <c:pt idx="1">
                  <c:v>0.30303030303030304</c:v>
                </c:pt>
                <c:pt idx="2">
                  <c:v>4.2253521126760563E-2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9-49AC-9BAC-1749867A7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thickness on samples annealed for 30 min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78923093806632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2"/>
          <c:order val="0"/>
          <c:tx>
            <c:v>Core fraction, 1 mm (4)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'estimates new'!$AT$67:$AT$69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new'!$AU$67:$AU$69</c:f>
              <c:numCache>
                <c:formatCode>General</c:formatCode>
                <c:ptCount val="3"/>
                <c:pt idx="0">
                  <c:v>0.6067415730337079</c:v>
                </c:pt>
                <c:pt idx="1">
                  <c:v>0.39325842696629215</c:v>
                </c:pt>
                <c:pt idx="2">
                  <c:v>0.32222222222222224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C-4D89-BF63-76F64077FBC4}"/>
            </c:ext>
          </c:extLst>
        </c:ser>
        <c:ser>
          <c:idx val="4"/>
          <c:order val="1"/>
          <c:tx>
            <c:v>Core fraction, 0.3 mm (7)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new'!$AT$91:$AT$93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new'!$AU$91:$AU$93</c:f>
              <c:numCache>
                <c:formatCode>General</c:formatCode>
                <c:ptCount val="3"/>
                <c:pt idx="0">
                  <c:v>0</c:v>
                </c:pt>
                <c:pt idx="1">
                  <c:v>0.30769230769230771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C-4D89-BF63-76F64077FBC4}"/>
            </c:ext>
          </c:extLst>
        </c:ser>
        <c:ser>
          <c:idx val="3"/>
          <c:order val="2"/>
          <c:tx>
            <c:v>Skin fraction, 1 mm (4)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'estimates new'!$AT$67:$AT$69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new'!$AV$67:$AV$69</c:f>
              <c:numCache>
                <c:formatCode>General</c:formatCode>
                <c:ptCount val="3"/>
                <c:pt idx="0">
                  <c:v>0.3932584269662921</c:v>
                </c:pt>
                <c:pt idx="1">
                  <c:v>0.6067415730337079</c:v>
                </c:pt>
                <c:pt idx="2">
                  <c:v>0.67777777777777781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C-4D89-BF63-76F64077FBC4}"/>
            </c:ext>
          </c:extLst>
        </c:ser>
        <c:ser>
          <c:idx val="5"/>
          <c:order val="3"/>
          <c:tx>
            <c:v>Skin fraction, 0.3 mm (7)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new'!$AT$91:$AT$93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new'!$AV$91:$AV$93</c:f>
              <c:numCache>
                <c:formatCode>General</c:formatCode>
                <c:ptCount val="3"/>
                <c:pt idx="0">
                  <c:v>1</c:v>
                </c:pt>
                <c:pt idx="1">
                  <c:v>0.69230769230769229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C-4D89-BF63-76F64077FBC4}"/>
            </c:ext>
          </c:extLst>
        </c:ser>
        <c:ser>
          <c:idx val="0"/>
          <c:order val="4"/>
          <c:tx>
            <c:v>Core fraction, 0.5 mm (10)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new'!$AT$79:$AT$81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new'!$AU$79:$AU$81</c:f>
              <c:numCache>
                <c:formatCode>General</c:formatCode>
                <c:ptCount val="3"/>
                <c:pt idx="0">
                  <c:v>0.39473684210526316</c:v>
                </c:pt>
                <c:pt idx="1">
                  <c:v>0.31578947368421051</c:v>
                </c:pt>
                <c:pt idx="2">
                  <c:v>0.28358208955223879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8C-4D89-BF63-76F64077FBC4}"/>
            </c:ext>
          </c:extLst>
        </c:ser>
        <c:ser>
          <c:idx val="1"/>
          <c:order val="5"/>
          <c:tx>
            <c:v>Skin fraction, 0.5 mm (10)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new'!$AT$79:$AT$81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new'!$AV$79:$AV$81</c:f>
              <c:numCache>
                <c:formatCode>General</c:formatCode>
                <c:ptCount val="3"/>
                <c:pt idx="0">
                  <c:v>0.60526315789473684</c:v>
                </c:pt>
                <c:pt idx="1">
                  <c:v>0.68421052631578949</c:v>
                </c:pt>
                <c:pt idx="2">
                  <c:v>0.71641791044776126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8C-4D89-BF63-76F64077FBC4}"/>
            </c:ext>
          </c:extLst>
        </c:ser>
        <c:ser>
          <c:idx val="6"/>
          <c:order val="6"/>
          <c:tx>
            <c:v>Core fraction, 1.6 mm (11)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new'!$AU$82:$AU$84</c:f>
              <c:numCache>
                <c:formatCode>General</c:formatCode>
                <c:ptCount val="3"/>
                <c:pt idx="0">
                  <c:v>0.75155279503105588</c:v>
                </c:pt>
                <c:pt idx="1">
                  <c:v>0.57309941520467833</c:v>
                </c:pt>
                <c:pt idx="2">
                  <c:v>0.54651162790697672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8C-4D89-BF63-76F64077FBC4}"/>
            </c:ext>
          </c:extLst>
        </c:ser>
        <c:ser>
          <c:idx val="7"/>
          <c:order val="7"/>
          <c:tx>
            <c:v>Skin fraction, 1.6 mm (11)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new'!$AV$82:$AV$84</c:f>
              <c:numCache>
                <c:formatCode>General</c:formatCode>
                <c:ptCount val="3"/>
                <c:pt idx="0">
                  <c:v>0.2484472049689441</c:v>
                </c:pt>
                <c:pt idx="1">
                  <c:v>0.42690058479532161</c:v>
                </c:pt>
                <c:pt idx="2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8C-4D89-BF63-76F64077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9380633603340943E-2"/>
          <c:y val="9.3348885476697327E-2"/>
          <c:w val="0.19530477441858399"/>
          <c:h val="0.6700079512967450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 mm thickness / NA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rates'!$BE$45:$BE$47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rates'!$M$202:$O$202</c:f>
              <c:numCache>
                <c:formatCode>General</c:formatCode>
                <c:ptCount val="3"/>
                <c:pt idx="0">
                  <c:v>0.68056871347072079</c:v>
                </c:pt>
                <c:pt idx="1">
                  <c:v>0.44956979588191359</c:v>
                </c:pt>
                <c:pt idx="2">
                  <c:v>0.32415706487548002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5-4942-8F7E-B72E31E5AF19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rates'!$BE$45:$BE$47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rates'!$DJ$40:$DJ$42</c:f>
              <c:numCache>
                <c:formatCode>General</c:formatCode>
                <c:ptCount val="3"/>
                <c:pt idx="0">
                  <c:v>0.40229885057471265</c:v>
                </c:pt>
                <c:pt idx="1">
                  <c:v>0.41111111111111109</c:v>
                </c:pt>
                <c:pt idx="2">
                  <c:v>0.39080459770114945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5-4942-8F7E-B72E31E5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1.6 mm thickness / NA cooling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rates'!$CI$57:$CI$59</c:f>
              <c:numCache>
                <c:formatCode>General</c:formatCode>
                <c:ptCount val="3"/>
                <c:pt idx="0">
                  <c:v>10.986328125000018</c:v>
                </c:pt>
                <c:pt idx="1">
                  <c:v>4.8828125000000089</c:v>
                </c:pt>
                <c:pt idx="2">
                  <c:v>3.1389508928571481</c:v>
                </c:pt>
              </c:numCache>
            </c:numRef>
          </c:xVal>
          <c:yVal>
            <c:numRef>
              <c:f>'shear rates'!$M$203:$O$203</c:f>
              <c:numCache>
                <c:formatCode>General</c:formatCode>
                <c:ptCount val="3"/>
                <c:pt idx="0">
                  <c:v>0.78343535552627597</c:v>
                </c:pt>
                <c:pt idx="1">
                  <c:v>0.58888566794099484</c:v>
                </c:pt>
                <c:pt idx="2">
                  <c:v>0.45798727398052186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7-4B11-AF96-70A1E1674161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rates'!$CI$57:$CI$59</c:f>
              <c:numCache>
                <c:formatCode>General</c:formatCode>
                <c:ptCount val="3"/>
                <c:pt idx="0">
                  <c:v>10.986328125000018</c:v>
                </c:pt>
                <c:pt idx="1">
                  <c:v>4.8828125000000089</c:v>
                </c:pt>
                <c:pt idx="2">
                  <c:v>3.1389508928571481</c:v>
                </c:pt>
              </c:numCache>
            </c:numRef>
          </c:xVal>
          <c:yVal>
            <c:numRef>
              <c:f>'shear rates'!$R$203:$T$203</c:f>
              <c:numCache>
                <c:formatCode>General</c:formatCode>
                <c:ptCount val="3"/>
                <c:pt idx="0">
                  <c:v>0.58857142857142852</c:v>
                </c:pt>
                <c:pt idx="1">
                  <c:v>0.62962962962962965</c:v>
                </c:pt>
                <c:pt idx="2">
                  <c:v>0.60509554140127386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7-4B11-AF96-70A1E167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Critical psi vs thickness / with outliers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rates'!$R$254:$R$257</c:f>
                <c:numCache>
                  <c:formatCode>General</c:formatCode>
                  <c:ptCount val="4"/>
                  <c:pt idx="0">
                    <c:v>10.589530341823661</c:v>
                  </c:pt>
                  <c:pt idx="1">
                    <c:v>20.110221763612024</c:v>
                  </c:pt>
                  <c:pt idx="2">
                    <c:v>3.403049464092744</c:v>
                  </c:pt>
                  <c:pt idx="3">
                    <c:v>111.87076162323216</c:v>
                  </c:pt>
                </c:numCache>
              </c:numRef>
            </c:plus>
            <c:minus>
              <c:numRef>
                <c:f>'shear rates'!$R$254:$R$257</c:f>
                <c:numCache>
                  <c:formatCode>General</c:formatCode>
                  <c:ptCount val="4"/>
                  <c:pt idx="0">
                    <c:v>10.589530341823661</c:v>
                  </c:pt>
                  <c:pt idx="1">
                    <c:v>20.110221763612024</c:v>
                  </c:pt>
                  <c:pt idx="2">
                    <c:v>3.403049464092744</c:v>
                  </c:pt>
                  <c:pt idx="3">
                    <c:v>111.87076162323216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rates'!$I$254:$I$257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'shear rates'!$P$254:$P$257</c:f>
              <c:numCache>
                <c:formatCode>General</c:formatCode>
                <c:ptCount val="4"/>
                <c:pt idx="0">
                  <c:v>22.545582336724298</c:v>
                </c:pt>
                <c:pt idx="1">
                  <c:v>48.368017434502612</c:v>
                </c:pt>
                <c:pt idx="2">
                  <c:v>33.421206119151798</c:v>
                </c:pt>
                <c:pt idx="3">
                  <c:v>111.93775385981344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5-47C3-9B15-559BCD5A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Thickness mm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Critical shear/stretch ratio fit to data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Critical psi vs annealing / with outliers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rates'!$AA$255:$AC$255</c:f>
                <c:numCache>
                  <c:formatCode>General</c:formatCode>
                  <c:ptCount val="3"/>
                  <c:pt idx="0">
                    <c:v>8.4600512205628817</c:v>
                  </c:pt>
                  <c:pt idx="1">
                    <c:v>15.548971016257685</c:v>
                  </c:pt>
                  <c:pt idx="2">
                    <c:v>101.64662302829709</c:v>
                  </c:pt>
                </c:numCache>
              </c:numRef>
            </c:plus>
            <c:minus>
              <c:numRef>
                <c:f>'shear rates'!$AA$255:$AC$255</c:f>
                <c:numCache>
                  <c:formatCode>General</c:formatCode>
                  <c:ptCount val="3"/>
                  <c:pt idx="0">
                    <c:v>8.4600512205628817</c:v>
                  </c:pt>
                  <c:pt idx="1">
                    <c:v>15.548971016257685</c:v>
                  </c:pt>
                  <c:pt idx="2">
                    <c:v>101.64662302829709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rates'!$W$258:$Y$258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'shear rates'!$AA$253:$AC$253</c:f>
              <c:numCache>
                <c:formatCode>General</c:formatCode>
                <c:ptCount val="3"/>
                <c:pt idx="0">
                  <c:v>35.525310438207555</c:v>
                </c:pt>
                <c:pt idx="1">
                  <c:v>34.854225453289985</c:v>
                </c:pt>
                <c:pt idx="2">
                  <c:v>91.824883921146579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4250-BB33-6810E205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Annealing time minutes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Critical shear/stretch ratio fit to data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Critical psi vs thickness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rates'!$N$261:$N$264</c:f>
                <c:numCache>
                  <c:formatCode>General</c:formatCode>
                  <c:ptCount val="4"/>
                  <c:pt idx="0">
                    <c:v>8.5115917908001286</c:v>
                  </c:pt>
                  <c:pt idx="1">
                    <c:v>9.2179277665299466</c:v>
                  </c:pt>
                  <c:pt idx="2">
                    <c:v>3.403049464092744</c:v>
                  </c:pt>
                  <c:pt idx="3">
                    <c:v>0.88175198449565839</c:v>
                  </c:pt>
                </c:numCache>
              </c:numRef>
            </c:plus>
            <c:minus>
              <c:numRef>
                <c:f>'shear rates'!$N$261:$N$264</c:f>
                <c:numCache>
                  <c:formatCode>General</c:formatCode>
                  <c:ptCount val="4"/>
                  <c:pt idx="0">
                    <c:v>8.5115917908001286</c:v>
                  </c:pt>
                  <c:pt idx="1">
                    <c:v>9.2179277665299466</c:v>
                  </c:pt>
                  <c:pt idx="2">
                    <c:v>3.403049464092744</c:v>
                  </c:pt>
                  <c:pt idx="3">
                    <c:v>0.88175198449565839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rates'!$I$254:$I$257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'shear rates'!$N$254:$N$257</c:f>
              <c:numCache>
                <c:formatCode>General</c:formatCode>
                <c:ptCount val="4"/>
                <c:pt idx="0">
                  <c:v>27.575975146230519</c:v>
                </c:pt>
                <c:pt idx="1">
                  <c:v>37.384151642242095</c:v>
                </c:pt>
                <c:pt idx="2">
                  <c:v>33.421206119151798</c:v>
                </c:pt>
                <c:pt idx="3">
                  <c:v>47.350142656423067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F-4A7B-9977-F2ACE6FC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Thickness mm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Critical shear/stretch ratio fit to data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Critical psi vs annealing / with outliers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rates'!$AA$262:$AC$262</c:f>
                <c:numCache>
                  <c:formatCode>General</c:formatCode>
                  <c:ptCount val="3"/>
                  <c:pt idx="0">
                    <c:v>8.4600512205628817</c:v>
                  </c:pt>
                  <c:pt idx="1">
                    <c:v>5.3908739111478461</c:v>
                  </c:pt>
                  <c:pt idx="2">
                    <c:v>9.0057605112122907</c:v>
                  </c:pt>
                </c:numCache>
              </c:numRef>
            </c:plus>
            <c:minus>
              <c:numRef>
                <c:f>'shear rates'!$AA$262:$AC$262</c:f>
                <c:numCache>
                  <c:formatCode>General</c:formatCode>
                  <c:ptCount val="3"/>
                  <c:pt idx="0">
                    <c:v>8.4600512205628817</c:v>
                  </c:pt>
                  <c:pt idx="1">
                    <c:v>5.3908739111478461</c:v>
                  </c:pt>
                  <c:pt idx="2">
                    <c:v>9.0057605112122907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rates'!$W$258:$Y$258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'shear rates'!$AA$259:$AC$259</c:f>
              <c:numCache>
                <c:formatCode>General</c:formatCode>
                <c:ptCount val="3"/>
                <c:pt idx="0">
                  <c:v>35.525310438207555</c:v>
                </c:pt>
                <c:pt idx="1">
                  <c:v>34.854225453289985</c:v>
                </c:pt>
                <c:pt idx="2">
                  <c:v>27.925405199484235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E-4DB6-98F3-B297E456D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Annealing time minutes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Critical shear/stretch ratio fit to data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1.6 mm thickness / 30 min annealiing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rates'!$CI$57:$CI$59</c:f>
              <c:numCache>
                <c:formatCode>General</c:formatCode>
                <c:ptCount val="3"/>
                <c:pt idx="0">
                  <c:v>10.986328125000018</c:v>
                </c:pt>
                <c:pt idx="1">
                  <c:v>4.8828125000000089</c:v>
                </c:pt>
                <c:pt idx="2">
                  <c:v>3.1389508928571481</c:v>
                </c:pt>
              </c:numCache>
            </c:numRef>
          </c:xVal>
          <c:yVal>
            <c:numRef>
              <c:f>'shear rates'!$U$196:$W$196</c:f>
              <c:numCache>
                <c:formatCode>General</c:formatCode>
                <c:ptCount val="3"/>
                <c:pt idx="0">
                  <c:v>0.78343535552627597</c:v>
                </c:pt>
                <c:pt idx="1">
                  <c:v>0.58888566794099484</c:v>
                </c:pt>
                <c:pt idx="2">
                  <c:v>0.45798727398052186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9-4EB6-A555-6DCFAE034EBE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rates'!$CI$57:$CI$59</c:f>
              <c:numCache>
                <c:formatCode>General</c:formatCode>
                <c:ptCount val="3"/>
                <c:pt idx="0">
                  <c:v>10.986328125000018</c:v>
                </c:pt>
                <c:pt idx="1">
                  <c:v>4.8828125000000089</c:v>
                </c:pt>
                <c:pt idx="2">
                  <c:v>3.1389508928571481</c:v>
                </c:pt>
              </c:numCache>
            </c:numRef>
          </c:xVal>
          <c:yVal>
            <c:numRef>
              <c:f>'shear rates'!$P$196:$R$196</c:f>
              <c:numCache>
                <c:formatCode>General</c:formatCode>
                <c:ptCount val="3"/>
                <c:pt idx="0">
                  <c:v>0.75155279503105588</c:v>
                </c:pt>
                <c:pt idx="1">
                  <c:v>0.57309941520467833</c:v>
                </c:pt>
                <c:pt idx="2">
                  <c:v>0.54651162790697672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9-4EB6-A555-6DCFAE03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 mm thickness / 60 min annealing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rates'!$BE$45:$BE$47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rates'!$U$195:$W$195</c:f>
              <c:numCache>
                <c:formatCode>General</c:formatCode>
                <c:ptCount val="3"/>
                <c:pt idx="0">
                  <c:v>0.68056871347072079</c:v>
                </c:pt>
                <c:pt idx="1">
                  <c:v>0.44956979588191359</c:v>
                </c:pt>
                <c:pt idx="2">
                  <c:v>0.32415706487548002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9-4580-A5D0-00C3FA06C2C8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rates'!$BE$45:$BE$47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rates'!$P$195:$R$195</c:f>
              <c:numCache>
                <c:formatCode>General</c:formatCode>
                <c:ptCount val="3"/>
                <c:pt idx="0">
                  <c:v>0.56818181818181823</c:v>
                </c:pt>
                <c:pt idx="1">
                  <c:v>0.37777777777777777</c:v>
                </c:pt>
                <c:pt idx="2">
                  <c:v>0.33707865168539325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9-4580-A5D0-00C3FA06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0.5 mm thickness / 30 min annealing 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rates'!$AF$32:$AF$34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rates'!$U$194:$W$194</c:f>
              <c:numCache>
                <c:formatCode>General</c:formatCode>
                <c:ptCount val="3"/>
                <c:pt idx="0">
                  <c:v>0.48486185601933163</c:v>
                </c:pt>
                <c:pt idx="1">
                  <c:v>0.26233674012824942</c:v>
                </c:pt>
                <c:pt idx="2">
                  <c:v>0.17552902607316251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A-4053-A899-83CD77350C1B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rates'!$AF$32:$AF$34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rates'!$P$194:$R$194</c:f>
              <c:numCache>
                <c:formatCode>General</c:formatCode>
                <c:ptCount val="3"/>
                <c:pt idx="0">
                  <c:v>0.39473684210526316</c:v>
                </c:pt>
                <c:pt idx="1">
                  <c:v>0.31578947368421051</c:v>
                </c:pt>
                <c:pt idx="2">
                  <c:v>0.28358208955223879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A-4053-A899-83CD7735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0.3 mm thickness / 60 min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1"/>
          <c:order val="0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rates'!$V$19:$V$21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rates'!$P$193:$R$193</c:f>
              <c:numCache>
                <c:formatCode>General</c:formatCode>
                <c:ptCount val="3"/>
                <c:pt idx="0">
                  <c:v>0</c:v>
                </c:pt>
                <c:pt idx="1">
                  <c:v>0.29629629629629628</c:v>
                </c:pt>
                <c:pt idx="2">
                  <c:v>0.31506849315068491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8-44F7-AD09-D0F7C3BA8176}"/>
            </c:ext>
          </c:extLst>
        </c:ser>
        <c:ser>
          <c:idx val="0"/>
          <c:order val="1"/>
          <c:tx>
            <c:v>Predicted core fraction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rates'!$V$19:$V$21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rates'!$U$193:$W$193</c:f>
              <c:numCache>
                <c:formatCode>General</c:formatCode>
                <c:ptCount val="3"/>
                <c:pt idx="0">
                  <c:v>0.33710782464962169</c:v>
                </c:pt>
                <c:pt idx="1">
                  <c:v>0.16446305887491267</c:v>
                </c:pt>
                <c:pt idx="2">
                  <c:v>0.10741174180904457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8-44F7-AD09-D0F7C3BA8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590157232118636E-4"/>
              <c:y val="0.3182709415922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8150439258678397"/>
          <c:h val="0.1169333779648185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thickness on samples annealed for 60 min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78923093806632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2"/>
          <c:order val="0"/>
          <c:tx>
            <c:v>Core fraction, 1 mm (3)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new'!$AU$64:$AU$66</c:f>
              <c:numCache>
                <c:formatCode>General</c:formatCode>
                <c:ptCount val="3"/>
                <c:pt idx="0">
                  <c:v>0.56818181818181823</c:v>
                </c:pt>
                <c:pt idx="1">
                  <c:v>0.37777777777777777</c:v>
                </c:pt>
                <c:pt idx="2">
                  <c:v>0.33707865168539325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E-4BAF-8677-85E44D70DB6F}"/>
            </c:ext>
          </c:extLst>
        </c:ser>
        <c:ser>
          <c:idx val="4"/>
          <c:order val="1"/>
          <c:tx>
            <c:v>Core fraction, 0.3 mm (6)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new'!$AT$88:$AT$90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new'!$AU$88:$AU$90</c:f>
              <c:numCache>
                <c:formatCode>General</c:formatCode>
                <c:ptCount val="3"/>
                <c:pt idx="0">
                  <c:v>0</c:v>
                </c:pt>
                <c:pt idx="1">
                  <c:v>0.29629629629629628</c:v>
                </c:pt>
                <c:pt idx="2">
                  <c:v>0.31506849315068491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E-4BAF-8677-85E44D70DB6F}"/>
            </c:ext>
          </c:extLst>
        </c:ser>
        <c:ser>
          <c:idx val="3"/>
          <c:order val="2"/>
          <c:tx>
            <c:v>Skin fraction, 1 mm (3)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00B0F0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new'!$AV$64:$AV$66</c:f>
              <c:numCache>
                <c:formatCode>General</c:formatCode>
                <c:ptCount val="3"/>
                <c:pt idx="0">
                  <c:v>0.43181818181818182</c:v>
                </c:pt>
                <c:pt idx="1">
                  <c:v>0.62222222222222223</c:v>
                </c:pt>
                <c:pt idx="2">
                  <c:v>0.66292134831460681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E-4BAF-8677-85E44D70DB6F}"/>
            </c:ext>
          </c:extLst>
        </c:ser>
        <c:ser>
          <c:idx val="5"/>
          <c:order val="3"/>
          <c:tx>
            <c:v>Skin fraction, 0.3 mm (6)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new'!$AT$88:$AT$90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new'!$AV$88:$AV$90</c:f>
              <c:numCache>
                <c:formatCode>General</c:formatCode>
                <c:ptCount val="3"/>
                <c:pt idx="0">
                  <c:v>1</c:v>
                </c:pt>
                <c:pt idx="1">
                  <c:v>0.70370370370370372</c:v>
                </c:pt>
                <c:pt idx="2">
                  <c:v>0.68493150684931503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E-4BAF-8677-85E44D70DB6F}"/>
            </c:ext>
          </c:extLst>
        </c:ser>
        <c:ser>
          <c:idx val="0"/>
          <c:order val="4"/>
          <c:tx>
            <c:v>Core fraction, 0.5 mm (9)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new'!$AT$76:$AT$78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new'!$AU$76:$AU$78</c:f>
              <c:numCache>
                <c:formatCode>General</c:formatCode>
                <c:ptCount val="3"/>
                <c:pt idx="0">
                  <c:v>0.56164383561643838</c:v>
                </c:pt>
                <c:pt idx="1">
                  <c:v>0.46969696969696972</c:v>
                </c:pt>
                <c:pt idx="2">
                  <c:v>0.2537313432835821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0E-4BAF-8677-85E44D70DB6F}"/>
            </c:ext>
          </c:extLst>
        </c:ser>
        <c:ser>
          <c:idx val="1"/>
          <c:order val="5"/>
          <c:tx>
            <c:v>Skin fraction, 0.5 mm (9)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new'!$AT$76:$AT$78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new'!$AV$76:$AV$78</c:f>
              <c:numCache>
                <c:formatCode>General</c:formatCode>
                <c:ptCount val="3"/>
                <c:pt idx="0">
                  <c:v>0.43835616438356162</c:v>
                </c:pt>
                <c:pt idx="1">
                  <c:v>0.53030303030303028</c:v>
                </c:pt>
                <c:pt idx="2">
                  <c:v>0.74626865671641784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0E-4BAF-8677-85E44D70DB6F}"/>
            </c:ext>
          </c:extLst>
        </c:ser>
        <c:ser>
          <c:idx val="6"/>
          <c:order val="6"/>
          <c:tx>
            <c:v>Core fraction, 1.6 mm (14)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new'!$AU$94:$AU$96</c:f>
              <c:numCache>
                <c:formatCode>General</c:formatCode>
                <c:ptCount val="3"/>
                <c:pt idx="0">
                  <c:v>0.80107526881720426</c:v>
                </c:pt>
                <c:pt idx="1">
                  <c:v>0.9107142857142857</c:v>
                </c:pt>
                <c:pt idx="2">
                  <c:v>0.90476190476190477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0E-4BAF-8677-85E44D70DB6F}"/>
            </c:ext>
          </c:extLst>
        </c:ser>
        <c:ser>
          <c:idx val="7"/>
          <c:order val="7"/>
          <c:tx>
            <c:v>Skin fraction, 1.6 mm (14)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new'!$AV$94:$AV$96</c:f>
              <c:numCache>
                <c:formatCode>General</c:formatCode>
                <c:ptCount val="3"/>
                <c:pt idx="0">
                  <c:v>0.19892473118279569</c:v>
                </c:pt>
                <c:pt idx="1">
                  <c:v>8.9285714285714288E-2</c:v>
                </c:pt>
                <c:pt idx="2">
                  <c:v>9.5238095238095233E-2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0E-4BAF-8677-85E44D70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9380633603340943E-2"/>
          <c:y val="9.3348885476697327E-2"/>
          <c:w val="0.19530477441858399"/>
          <c:h val="0.6700079512967450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0.3 mm thickness / 30 min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1"/>
          <c:order val="0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rates'!$V$19:$V$21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rates'!$V$184:$X$184</c:f>
              <c:numCache>
                <c:formatCode>General</c:formatCode>
                <c:ptCount val="3"/>
                <c:pt idx="0">
                  <c:v>0</c:v>
                </c:pt>
                <c:pt idx="1">
                  <c:v>0.30769230769230771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F-4F0B-B2FA-5DD63778192C}"/>
            </c:ext>
          </c:extLst>
        </c:ser>
        <c:ser>
          <c:idx val="0"/>
          <c:order val="1"/>
          <c:tx>
            <c:v>Predicted core fraction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rates'!$V$19:$V$21</c:f>
              <c:numCache>
                <c:formatCode>General</c:formatCode>
                <c:ptCount val="3"/>
                <c:pt idx="0">
                  <c:v>312.50000000000006</c:v>
                </c:pt>
                <c:pt idx="1">
                  <c:v>138.88888888888894</c:v>
                </c:pt>
                <c:pt idx="2">
                  <c:v>89.285714285714306</c:v>
                </c:pt>
              </c:numCache>
            </c:numRef>
          </c:xVal>
          <c:yVal>
            <c:numRef>
              <c:f>'shear rates'!$AB$184:$AD$184</c:f>
              <c:numCache>
                <c:formatCode>General</c:formatCode>
                <c:ptCount val="3"/>
                <c:pt idx="0">
                  <c:v>0.33710782464962169</c:v>
                </c:pt>
                <c:pt idx="1">
                  <c:v>0.16446305887491267</c:v>
                </c:pt>
                <c:pt idx="2">
                  <c:v>0.10741174180904457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F-4F0B-B2FA-5DD63778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5590157232118636E-4"/>
              <c:y val="0.3182709415922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8150439258678397"/>
          <c:h val="0.1680733854813571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0.5 mm thickness / 60 min annealing &amp; cooling 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rates'!$AF$32:$AF$34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rates'!$AB$185:$AD$185</c:f>
              <c:numCache>
                <c:formatCode>General</c:formatCode>
                <c:ptCount val="3"/>
                <c:pt idx="0">
                  <c:v>0.48486185601933163</c:v>
                </c:pt>
                <c:pt idx="1">
                  <c:v>0.26233674012824942</c:v>
                </c:pt>
                <c:pt idx="2">
                  <c:v>0.17552902607316251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6E5-9605-B76E19A06AF3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rates'!$AF$32:$AF$34</c:f>
              <c:numCache>
                <c:formatCode>General</c:formatCode>
                <c:ptCount val="3"/>
                <c:pt idx="0">
                  <c:v>112.50000000000001</c:v>
                </c:pt>
                <c:pt idx="1">
                  <c:v>50</c:v>
                </c:pt>
                <c:pt idx="2">
                  <c:v>32.142857142857139</c:v>
                </c:pt>
              </c:numCache>
            </c:numRef>
          </c:xVal>
          <c:yVal>
            <c:numRef>
              <c:f>'shear rates'!$V$185:$X$185</c:f>
              <c:numCache>
                <c:formatCode>General</c:formatCode>
                <c:ptCount val="3"/>
                <c:pt idx="0">
                  <c:v>0.56164383561643838</c:v>
                </c:pt>
                <c:pt idx="1">
                  <c:v>0.46969696969696972</c:v>
                </c:pt>
                <c:pt idx="2">
                  <c:v>0.2537313432835821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6E5-9605-B76E19A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 mm thickness / 30 min annealing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rates'!$BE$45:$BE$47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rates'!$AB$186:$AD$186</c:f>
              <c:numCache>
                <c:formatCode>General</c:formatCode>
                <c:ptCount val="3"/>
                <c:pt idx="0">
                  <c:v>0.68056871347072079</c:v>
                </c:pt>
                <c:pt idx="1">
                  <c:v>0.44956979588191359</c:v>
                </c:pt>
                <c:pt idx="2">
                  <c:v>0.32415706487548002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6-4B91-ACDC-9A718BB67501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rates'!$BE$45:$BE$47</c:f>
              <c:numCache>
                <c:formatCode>General</c:formatCode>
                <c:ptCount val="3"/>
                <c:pt idx="0">
                  <c:v>28.125000000000039</c:v>
                </c:pt>
                <c:pt idx="1">
                  <c:v>12.500000000000016</c:v>
                </c:pt>
                <c:pt idx="2">
                  <c:v>8.0357142857142971</c:v>
                </c:pt>
              </c:numCache>
            </c:numRef>
          </c:xVal>
          <c:yVal>
            <c:numRef>
              <c:f>'shear rates'!$V$186:$X$186</c:f>
              <c:numCache>
                <c:formatCode>General</c:formatCode>
                <c:ptCount val="3"/>
                <c:pt idx="0">
                  <c:v>0.6067415730337079</c:v>
                </c:pt>
                <c:pt idx="1">
                  <c:v>0.39325842696629215</c:v>
                </c:pt>
                <c:pt idx="2">
                  <c:v>0.32222222222222224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6-4B91-ACDC-9A718BB6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1.6 mm thickness / 60 min annealiing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83734463940611E-2"/>
          <c:y val="0.11085364965468324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Predicted core fraction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'shear rates'!$CI$57:$CI$59</c:f>
              <c:numCache>
                <c:formatCode>General</c:formatCode>
                <c:ptCount val="3"/>
                <c:pt idx="0">
                  <c:v>10.986328125000018</c:v>
                </c:pt>
                <c:pt idx="1">
                  <c:v>4.8828125000000089</c:v>
                </c:pt>
                <c:pt idx="2">
                  <c:v>3.1389508928571481</c:v>
                </c:pt>
              </c:numCache>
            </c:numRef>
          </c:xVal>
          <c:yVal>
            <c:numRef>
              <c:f>'shear rates'!$AB$187:$AD$187</c:f>
              <c:numCache>
                <c:formatCode>General</c:formatCode>
                <c:ptCount val="3"/>
                <c:pt idx="0">
                  <c:v>0.78343535552627597</c:v>
                </c:pt>
                <c:pt idx="1">
                  <c:v>0.58888566794099484</c:v>
                </c:pt>
                <c:pt idx="2">
                  <c:v>0.45798727398052186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4C36-8F6E-7FFEBF3475BC}"/>
            </c:ext>
          </c:extLst>
        </c:ser>
        <c:ser>
          <c:idx val="1"/>
          <c:order val="1"/>
          <c:tx>
            <c:v>Experimental core fraction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'shear rates'!$CI$57:$CI$59</c:f>
              <c:numCache>
                <c:formatCode>General</c:formatCode>
                <c:ptCount val="3"/>
                <c:pt idx="0">
                  <c:v>10.986328125000018</c:v>
                </c:pt>
                <c:pt idx="1">
                  <c:v>4.8828125000000089</c:v>
                </c:pt>
                <c:pt idx="2">
                  <c:v>3.1389508928571481</c:v>
                </c:pt>
              </c:numCache>
            </c:numRef>
          </c:xVal>
          <c:yVal>
            <c:numRef>
              <c:f>'shear rates'!$V$187:$X$187</c:f>
              <c:numCache>
                <c:formatCode>General</c:formatCode>
                <c:ptCount val="3"/>
                <c:pt idx="0">
                  <c:v>0.80107526881720426</c:v>
                </c:pt>
                <c:pt idx="1">
                  <c:v>0.9107142857142857</c:v>
                </c:pt>
                <c:pt idx="2">
                  <c:v>0.90476190476190477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C-4C36-8F6E-7FFEBF34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shear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rate at wall s</a:t>
                </a:r>
                <a:r>
                  <a:rPr lang="en-GB" sz="1600" baseline="30000">
                    <a:solidFill>
                      <a:schemeClr val="tx1"/>
                    </a:solidFill>
                  </a:rPr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>
                    <a:solidFill>
                      <a:schemeClr val="tx1"/>
                    </a:solidFill>
                  </a:rPr>
                  <a:t>core fraction</a:t>
                </a:r>
                <a:endParaRPr lang="en-GB" sz="1600" baseline="30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229714883997"/>
          <c:y val="0.15152554489118009"/>
          <c:w val="0.16116724113007641"/>
          <c:h val="0.172488576522259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annealing time on 1.6 mm samples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78923093806632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Core fraction, 60 min (14)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new'!$AU$94:$AU$96</c:f>
              <c:numCache>
                <c:formatCode>General</c:formatCode>
                <c:ptCount val="3"/>
                <c:pt idx="0">
                  <c:v>0.80107526881720426</c:v>
                </c:pt>
                <c:pt idx="1">
                  <c:v>0.9107142857142857</c:v>
                </c:pt>
                <c:pt idx="2">
                  <c:v>0.90476190476190477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2-4913-A322-0B71888EF79F}"/>
            </c:ext>
          </c:extLst>
        </c:ser>
        <c:ser>
          <c:idx val="1"/>
          <c:order val="1"/>
          <c:tx>
            <c:v>Skin fraction, 60 min (14)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new'!$AT$94:$AT$96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new'!$AV$94:$AV$96</c:f>
              <c:numCache>
                <c:formatCode>General</c:formatCode>
                <c:ptCount val="3"/>
                <c:pt idx="0">
                  <c:v>0.19892473118279569</c:v>
                </c:pt>
                <c:pt idx="1">
                  <c:v>8.9285714285714288E-2</c:v>
                </c:pt>
                <c:pt idx="2">
                  <c:v>9.5238095238095233E-2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2-4913-A322-0B71888EF79F}"/>
            </c:ext>
          </c:extLst>
        </c:ser>
        <c:ser>
          <c:idx val="6"/>
          <c:order val="2"/>
          <c:tx>
            <c:v>Core fraction, 30 min (11)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new'!$AU$82:$AU$84</c:f>
              <c:numCache>
                <c:formatCode>General</c:formatCode>
                <c:ptCount val="3"/>
                <c:pt idx="0">
                  <c:v>0.75155279503105588</c:v>
                </c:pt>
                <c:pt idx="1">
                  <c:v>0.57309941520467833</c:v>
                </c:pt>
                <c:pt idx="2">
                  <c:v>0.54651162790697672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D2-4913-A322-0B71888EF79F}"/>
            </c:ext>
          </c:extLst>
        </c:ser>
        <c:ser>
          <c:idx val="7"/>
          <c:order val="3"/>
          <c:tx>
            <c:v>Skin fraction, 30 min (11)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new'!$AT$82:$AT$84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new'!$AV$82:$AV$84</c:f>
              <c:numCache>
                <c:formatCode>General</c:formatCode>
                <c:ptCount val="3"/>
                <c:pt idx="0">
                  <c:v>0.2484472049689441</c:v>
                </c:pt>
                <c:pt idx="1">
                  <c:v>0.42690058479532161</c:v>
                </c:pt>
                <c:pt idx="2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D2-4913-A322-0B71888E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380633603340943E-2"/>
          <c:y val="9.3348885476697327E-2"/>
          <c:w val="0.21790592345862836"/>
          <c:h val="0.3198641625902333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annealing time on 0.3 mm samples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78923093806632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Core fraction, 60 min (6)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new'!$AT$88:$AT$90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new'!$AU$88:$AU$90</c:f>
              <c:numCache>
                <c:formatCode>General</c:formatCode>
                <c:ptCount val="3"/>
                <c:pt idx="0">
                  <c:v>0</c:v>
                </c:pt>
                <c:pt idx="1">
                  <c:v>0.29629629629629628</c:v>
                </c:pt>
                <c:pt idx="2">
                  <c:v>0.31506849315068491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4-4624-8B96-307BD3747219}"/>
            </c:ext>
          </c:extLst>
        </c:ser>
        <c:ser>
          <c:idx val="1"/>
          <c:order val="1"/>
          <c:tx>
            <c:v>Skin fraction, 60 min (6)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new'!$AT$88:$AT$90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new'!$AV$88:$AV$90</c:f>
              <c:numCache>
                <c:formatCode>General</c:formatCode>
                <c:ptCount val="3"/>
                <c:pt idx="0">
                  <c:v>1</c:v>
                </c:pt>
                <c:pt idx="1">
                  <c:v>0.70370370370370372</c:v>
                </c:pt>
                <c:pt idx="2">
                  <c:v>0.68493150684931503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4-4624-8B96-307BD3747219}"/>
            </c:ext>
          </c:extLst>
        </c:ser>
        <c:ser>
          <c:idx val="2"/>
          <c:order val="2"/>
          <c:tx>
            <c:v>Core fraction, no annealing (5)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new'!$AT$70:$AT$72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new'!$AU$70:$AU$72</c:f>
              <c:numCache>
                <c:formatCode>General</c:formatCode>
                <c:ptCount val="3"/>
                <c:pt idx="0">
                  <c:v>0.32</c:v>
                </c:pt>
                <c:pt idx="1">
                  <c:v>0.1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E4-4624-8B96-307BD3747219}"/>
            </c:ext>
          </c:extLst>
        </c:ser>
        <c:ser>
          <c:idx val="3"/>
          <c:order val="3"/>
          <c:tx>
            <c:v>Skin fraction, no annealing (5)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new'!$AT$70:$AT$72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new'!$AV$70:$AV$72</c:f>
              <c:numCache>
                <c:formatCode>General</c:formatCode>
                <c:ptCount val="3"/>
                <c:pt idx="0">
                  <c:v>0.68</c:v>
                </c:pt>
                <c:pt idx="1">
                  <c:v>0.9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E4-4624-8B96-307BD374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380633603340943E-2"/>
          <c:y val="9.3348885476697327E-2"/>
          <c:w val="0.27064414640242745"/>
          <c:h val="0.2985337857539479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Effects</a:t>
            </a:r>
            <a:r>
              <a:rPr lang="en-GB" baseline="0">
                <a:solidFill>
                  <a:sysClr val="windowText" lastClr="000000"/>
                </a:solidFill>
              </a:rPr>
              <a:t> of annealing time on 1 mm samples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78923093806632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65403852814E-2"/>
          <c:y val="0.10589653029677371"/>
          <c:w val="0.88865349378497482"/>
          <c:h val="0.78050954272142348"/>
        </c:manualLayout>
      </c:layout>
      <c:scatterChart>
        <c:scatterStyle val="lineMarker"/>
        <c:varyColors val="0"/>
        <c:ser>
          <c:idx val="0"/>
          <c:order val="0"/>
          <c:tx>
            <c:v>Core fraction, 60 min (3)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new'!$AU$64:$AU$66</c:f>
              <c:numCache>
                <c:formatCode>General</c:formatCode>
                <c:ptCount val="3"/>
                <c:pt idx="0">
                  <c:v>0.56818181818181823</c:v>
                </c:pt>
                <c:pt idx="1">
                  <c:v>0.37777777777777777</c:v>
                </c:pt>
                <c:pt idx="2">
                  <c:v>0.33707865168539325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1-4360-A821-325333A5E3A4}"/>
            </c:ext>
          </c:extLst>
        </c:ser>
        <c:ser>
          <c:idx val="1"/>
          <c:order val="1"/>
          <c:tx>
            <c:v>Skin fraction, 60 min (3)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new'!$AT$64:$AT$66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new'!$AV$64:$AV$66</c:f>
              <c:numCache>
                <c:formatCode>General</c:formatCode>
                <c:ptCount val="3"/>
                <c:pt idx="0">
                  <c:v>0.43181818181818182</c:v>
                </c:pt>
                <c:pt idx="1">
                  <c:v>0.62222222222222223</c:v>
                </c:pt>
                <c:pt idx="2">
                  <c:v>0.66292134831460681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1-4360-A821-325333A5E3A4}"/>
            </c:ext>
          </c:extLst>
        </c:ser>
        <c:ser>
          <c:idx val="6"/>
          <c:order val="2"/>
          <c:tx>
            <c:v>Core fraction, 30 min (4)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new'!$AT$67:$AT$69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new'!$AU$67:$AU$69</c:f>
              <c:numCache>
                <c:formatCode>General</c:formatCode>
                <c:ptCount val="3"/>
                <c:pt idx="0">
                  <c:v>0.6067415730337079</c:v>
                </c:pt>
                <c:pt idx="1">
                  <c:v>0.39325842696629215</c:v>
                </c:pt>
                <c:pt idx="2">
                  <c:v>0.32222222222222224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1-4360-A821-325333A5E3A4}"/>
            </c:ext>
          </c:extLst>
        </c:ser>
        <c:ser>
          <c:idx val="7"/>
          <c:order val="3"/>
          <c:tx>
            <c:v>Skin fraction, 30 min (4)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new'!$AT$67:$AT$69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new'!$AV$67:$AV$69</c:f>
              <c:numCache>
                <c:formatCode>General</c:formatCode>
                <c:ptCount val="3"/>
                <c:pt idx="0">
                  <c:v>0.3932584269662921</c:v>
                </c:pt>
                <c:pt idx="1">
                  <c:v>0.6067415730337079</c:v>
                </c:pt>
                <c:pt idx="2">
                  <c:v>0.67777777777777781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1-4360-A821-325333A5E3A4}"/>
            </c:ext>
          </c:extLst>
        </c:ser>
        <c:ser>
          <c:idx val="2"/>
          <c:order val="4"/>
          <c:tx>
            <c:v>Core fraction, no annealing (2)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new'!$AT$61:$AT$63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new'!$AU$61:$AU$63</c:f>
              <c:numCache>
                <c:formatCode>General</c:formatCode>
                <c:ptCount val="3"/>
                <c:pt idx="0">
                  <c:v>0.40229885057471265</c:v>
                </c:pt>
                <c:pt idx="1">
                  <c:v>0.41111111111111109</c:v>
                </c:pt>
                <c:pt idx="2">
                  <c:v>0.39080459770114945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61-4360-A821-325333A5E3A4}"/>
            </c:ext>
          </c:extLst>
        </c:ser>
        <c:ser>
          <c:idx val="3"/>
          <c:order val="5"/>
          <c:tx>
            <c:v>Skin fraction, no annealing (2)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'estimates new'!$AT$61:$AT$63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42</c:v>
                </c:pt>
              </c:numCache>
            </c:numRef>
          </c:xVal>
          <c:yVal>
            <c:numRef>
              <c:f>'estimates new'!$AV$61:$AV$63</c:f>
              <c:numCache>
                <c:formatCode>General</c:formatCode>
                <c:ptCount val="3"/>
                <c:pt idx="0">
                  <c:v>0.5977011494252874</c:v>
                </c:pt>
                <c:pt idx="1">
                  <c:v>0.58888888888888891</c:v>
                </c:pt>
                <c:pt idx="2">
                  <c:v>0.60919540229885061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61-4360-A821-325333A5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Distance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from injection point / mm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380633603340943E-2"/>
          <c:y val="9.3348885476697327E-2"/>
          <c:w val="0.26531333650512767"/>
          <c:h val="0.3109643303689249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No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Skin fraction perpendicular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new'!$BC$5:$BC$8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'estimates new'!$BB$5:$BB$8</c:f>
              <c:numCache>
                <c:formatCode>General</c:formatCode>
                <c:ptCount val="4"/>
                <c:pt idx="0">
                  <c:v>0.53246753246753253</c:v>
                </c:pt>
                <c:pt idx="1">
                  <c:v>0.7846153846153846</c:v>
                </c:pt>
                <c:pt idx="2">
                  <c:v>0.62790697674418605</c:v>
                </c:pt>
                <c:pt idx="3">
                  <c:v>0.3772455089820359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566-A01E-C934B3170F81}"/>
            </c:ext>
          </c:extLst>
        </c:ser>
        <c:ser>
          <c:idx val="0"/>
          <c:order val="1"/>
          <c:tx>
            <c:v>Skin fraction 42 mm parallel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new'!$BC$14:$BC$17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'estimates new'!$BB$14:$BB$17</c:f>
              <c:numCache>
                <c:formatCode>General</c:formatCode>
                <c:ptCount val="4"/>
                <c:pt idx="0">
                  <c:v>1</c:v>
                </c:pt>
                <c:pt idx="1">
                  <c:v>0.95774647887323949</c:v>
                </c:pt>
                <c:pt idx="2">
                  <c:v>0.60919540229885061</c:v>
                </c:pt>
                <c:pt idx="3">
                  <c:v>0.39490445859872614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4-4566-A01E-C934B317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13567765058102157"/>
          <c:h val="0.189679730434603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ysClr val="windowText" lastClr="000000"/>
                </a:solidFill>
              </a:rPr>
              <a:t>30 min annealing </a:t>
            </a:r>
            <a:endParaRPr lang="en-GB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105896171151797"/>
          <c:y val="4.2017254644781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20176945294741E-2"/>
          <c:y val="0.10834006906911012"/>
          <c:w val="0.88865349378497482"/>
          <c:h val="0.78050954272142348"/>
        </c:manualLayout>
      </c:layout>
      <c:scatterChart>
        <c:scatterStyle val="lineMarker"/>
        <c:varyColors val="0"/>
        <c:ser>
          <c:idx val="3"/>
          <c:order val="0"/>
          <c:tx>
            <c:v>Skin fraction perpendicular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'estimates new'!$BG$5:$BG$8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'estimates new'!$BF$5:$BF$8</c:f>
              <c:numCache>
                <c:formatCode>General</c:formatCode>
                <c:ptCount val="4"/>
                <c:pt idx="0">
                  <c:v>0.73076923076923084</c:v>
                </c:pt>
                <c:pt idx="1">
                  <c:v>0.69117647058823528</c:v>
                </c:pt>
                <c:pt idx="2">
                  <c:v>0.78021978021978022</c:v>
                </c:pt>
                <c:pt idx="3">
                  <c:v>0.54069767441860472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9-4EA9-9A00-05EA296853DD}"/>
            </c:ext>
          </c:extLst>
        </c:ser>
        <c:ser>
          <c:idx val="0"/>
          <c:order val="1"/>
          <c:tx>
            <c:v>Skin fraction 42 mm parallel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'estimates new'!$BG$14:$BG$17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1.6</c:v>
                </c:pt>
              </c:numCache>
            </c:numRef>
          </c:xVal>
          <c:yVal>
            <c:numRef>
              <c:f>'estimates new'!$BF$14:$BF$17</c:f>
              <c:numCache>
                <c:formatCode>General</c:formatCode>
                <c:ptCount val="4"/>
                <c:pt idx="0">
                  <c:v>1</c:v>
                </c:pt>
                <c:pt idx="1">
                  <c:v>0.71641791044776126</c:v>
                </c:pt>
                <c:pt idx="2">
                  <c:v>0.67777777777777781</c:v>
                </c:pt>
                <c:pt idx="3">
                  <c:v>0.45348837209302328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9-4EA9-9A00-05EA2968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1944"/>
        <c:axId val="537102272"/>
      </c:scatterChart>
      <c:valAx>
        <c:axId val="53710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Sample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thickness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2272"/>
        <c:crosses val="autoZero"/>
        <c:crossBetween val="midCat"/>
      </c:valAx>
      <c:valAx>
        <c:axId val="5371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Skin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fraction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0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699759147131"/>
          <c:y val="0.18168727728059572"/>
          <c:w val="0.13567765058102157"/>
          <c:h val="0.189679730434603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26" Type="http://schemas.openxmlformats.org/officeDocument/2006/relationships/chart" Target="../charts/chart41.xml"/><Relationship Id="rId3" Type="http://schemas.openxmlformats.org/officeDocument/2006/relationships/chart" Target="../charts/chart18.xml"/><Relationship Id="rId21" Type="http://schemas.openxmlformats.org/officeDocument/2006/relationships/chart" Target="../charts/chart36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28" Type="http://schemas.openxmlformats.org/officeDocument/2006/relationships/chart" Target="../charts/chart43.xml"/><Relationship Id="rId10" Type="http://schemas.openxmlformats.org/officeDocument/2006/relationships/chart" Target="../charts/chart25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Relationship Id="rId27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1107704</xdr:colOff>
      <xdr:row>54</xdr:row>
      <xdr:rowOff>143694</xdr:rowOff>
    </xdr:from>
    <xdr:to>
      <xdr:col>63</xdr:col>
      <xdr:colOff>430842</xdr:colOff>
      <xdr:row>82</xdr:row>
      <xdr:rowOff>21036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77D5F9-369A-49AC-A6B1-338F2BA5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876941</xdr:colOff>
      <xdr:row>98</xdr:row>
      <xdr:rowOff>105325</xdr:rowOff>
    </xdr:from>
    <xdr:to>
      <xdr:col>55</xdr:col>
      <xdr:colOff>562254</xdr:colOff>
      <xdr:row>126</xdr:row>
      <xdr:rowOff>75178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5CEF7E-6B16-43AA-9D30-40DFCB34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553337</xdr:colOff>
      <xdr:row>98</xdr:row>
      <xdr:rowOff>89297</xdr:rowOff>
    </xdr:from>
    <xdr:to>
      <xdr:col>47</xdr:col>
      <xdr:colOff>633999</xdr:colOff>
      <xdr:row>126</xdr:row>
      <xdr:rowOff>59151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64B25C-3A71-4BA0-BC61-606D485F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815120</xdr:colOff>
      <xdr:row>98</xdr:row>
      <xdr:rowOff>83953</xdr:rowOff>
    </xdr:from>
    <xdr:to>
      <xdr:col>41</xdr:col>
      <xdr:colOff>438613</xdr:colOff>
      <xdr:row>126</xdr:row>
      <xdr:rowOff>53806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AC46C7-6524-411A-9AF1-CF0EED38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230755</xdr:colOff>
      <xdr:row>131</xdr:row>
      <xdr:rowOff>185398</xdr:rowOff>
    </xdr:from>
    <xdr:to>
      <xdr:col>46</xdr:col>
      <xdr:colOff>519624</xdr:colOff>
      <xdr:row>159</xdr:row>
      <xdr:rowOff>121057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0B7166-0E94-4936-B271-D63B51E8A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1243286</xdr:colOff>
      <xdr:row>132</xdr:row>
      <xdr:rowOff>17554</xdr:rowOff>
    </xdr:from>
    <xdr:to>
      <xdr:col>56</xdr:col>
      <xdr:colOff>356184</xdr:colOff>
      <xdr:row>159</xdr:row>
      <xdr:rowOff>126314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BF9E84-26FC-402A-9274-B89E4BD8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317500</xdr:colOff>
      <xdr:row>131</xdr:row>
      <xdr:rowOff>111125</xdr:rowOff>
    </xdr:from>
    <xdr:to>
      <xdr:col>71</xdr:col>
      <xdr:colOff>205525</xdr:colOff>
      <xdr:row>159</xdr:row>
      <xdr:rowOff>38237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2B055-51FE-4F31-B6E2-6CD151420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560376</xdr:colOff>
      <xdr:row>0</xdr:row>
      <xdr:rowOff>0</xdr:rowOff>
    </xdr:from>
    <xdr:to>
      <xdr:col>109</xdr:col>
      <xdr:colOff>406690</xdr:colOff>
      <xdr:row>27</xdr:row>
      <xdr:rowOff>86011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36394E-F508-401E-9355-77EF6CC01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423448</xdr:colOff>
      <xdr:row>0</xdr:row>
      <xdr:rowOff>0</xdr:rowOff>
    </xdr:from>
    <xdr:to>
      <xdr:col>95</xdr:col>
      <xdr:colOff>269762</xdr:colOff>
      <xdr:row>27</xdr:row>
      <xdr:rowOff>86364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A9D895-9997-4A6A-BD84-FB44CBFF2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291101</xdr:colOff>
      <xdr:row>0</xdr:row>
      <xdr:rowOff>0</xdr:rowOff>
    </xdr:from>
    <xdr:to>
      <xdr:col>81</xdr:col>
      <xdr:colOff>176838</xdr:colOff>
      <xdr:row>27</xdr:row>
      <xdr:rowOff>86363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203614-6FCE-45AB-8209-2EC834BF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837765</xdr:colOff>
      <xdr:row>51</xdr:row>
      <xdr:rowOff>149680</xdr:rowOff>
    </xdr:from>
    <xdr:to>
      <xdr:col>9</xdr:col>
      <xdr:colOff>208068</xdr:colOff>
      <xdr:row>79</xdr:row>
      <xdr:rowOff>34139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47819-C0D8-4C28-B561-6F6966FBC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393388</xdr:colOff>
      <xdr:row>52</xdr:row>
      <xdr:rowOff>104877</xdr:rowOff>
    </xdr:from>
    <xdr:to>
      <xdr:col>21</xdr:col>
      <xdr:colOff>380377</xdr:colOff>
      <xdr:row>79</xdr:row>
      <xdr:rowOff>179836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41D27-127F-4895-B065-169FD7133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232364</xdr:colOff>
      <xdr:row>52</xdr:row>
      <xdr:rowOff>58968</xdr:rowOff>
    </xdr:from>
    <xdr:to>
      <xdr:col>35</xdr:col>
      <xdr:colOff>257810</xdr:colOff>
      <xdr:row>79</xdr:row>
      <xdr:rowOff>123399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71B806-E7FC-4F84-AF6E-5BF8AD8EA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230604</xdr:colOff>
      <xdr:row>88</xdr:row>
      <xdr:rowOff>150395</xdr:rowOff>
    </xdr:from>
    <xdr:to>
      <xdr:col>8</xdr:col>
      <xdr:colOff>230217</xdr:colOff>
      <xdr:row>114</xdr:row>
      <xdr:rowOff>166198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41D9E-76BC-4A7B-9189-A6EE014CE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531394</xdr:colOff>
      <xdr:row>87</xdr:row>
      <xdr:rowOff>20052</xdr:rowOff>
    </xdr:from>
    <xdr:to>
      <xdr:col>20</xdr:col>
      <xdr:colOff>751586</xdr:colOff>
      <xdr:row>113</xdr:row>
      <xdr:rowOff>35855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83593-36E1-4B77-B0A6-D657EFD0D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200527</xdr:colOff>
      <xdr:row>86</xdr:row>
      <xdr:rowOff>100263</xdr:rowOff>
    </xdr:from>
    <xdr:to>
      <xdr:col>34</xdr:col>
      <xdr:colOff>230219</xdr:colOff>
      <xdr:row>112</xdr:row>
      <xdr:rowOff>116066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34E09-E262-466A-8A93-CC7DD55E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775663</xdr:colOff>
      <xdr:row>83</xdr:row>
      <xdr:rowOff>94017</xdr:rowOff>
    </xdr:from>
    <xdr:to>
      <xdr:col>15</xdr:col>
      <xdr:colOff>312896</xdr:colOff>
      <xdr:row>115</xdr:row>
      <xdr:rowOff>130350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9677BE-4916-48DA-9DA5-6F3711506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4141" y="16134669"/>
          <a:ext cx="8841364" cy="6220681"/>
        </a:xfrm>
        <a:prstGeom prst="rect">
          <a:avLst/>
        </a:prstGeom>
      </xdr:spPr>
    </xdr:pic>
    <xdr:clientData/>
  </xdr:twoCellAnchor>
  <xdr:twoCellAnchor>
    <xdr:from>
      <xdr:col>62</xdr:col>
      <xdr:colOff>16047</xdr:colOff>
      <xdr:row>262</xdr:row>
      <xdr:rowOff>6257</xdr:rowOff>
    </xdr:from>
    <xdr:to>
      <xdr:col>80</xdr:col>
      <xdr:colOff>348159</xdr:colOff>
      <xdr:row>288</xdr:row>
      <xdr:rowOff>106819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65C675-9157-4D2B-BB88-FF98A8CD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792078</xdr:colOff>
      <xdr:row>9</xdr:row>
      <xdr:rowOff>180474</xdr:rowOff>
    </xdr:from>
    <xdr:to>
      <xdr:col>111</xdr:col>
      <xdr:colOff>180472</xdr:colOff>
      <xdr:row>36</xdr:row>
      <xdr:rowOff>89726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549C8C-560B-45EA-A1E3-36EBF0B1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461665</xdr:colOff>
      <xdr:row>297</xdr:row>
      <xdr:rowOff>56529</xdr:rowOff>
    </xdr:from>
    <xdr:to>
      <xdr:col>80</xdr:col>
      <xdr:colOff>453324</xdr:colOff>
      <xdr:row>323</xdr:row>
      <xdr:rowOff>157091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BC1084-F23A-487A-A9B1-302A521E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165</xdr:col>
      <xdr:colOff>269058</xdr:colOff>
      <xdr:row>186</xdr:row>
      <xdr:rowOff>92199</xdr:rowOff>
    </xdr:from>
    <xdr:to>
      <xdr:col>181</xdr:col>
      <xdr:colOff>483480</xdr:colOff>
      <xdr:row>212</xdr:row>
      <xdr:rowOff>145854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6333FB-BC44-47B8-8FEF-5EA919E03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182</xdr:col>
      <xdr:colOff>195924</xdr:colOff>
      <xdr:row>184</xdr:row>
      <xdr:rowOff>117930</xdr:rowOff>
    </xdr:from>
    <xdr:to>
      <xdr:col>205</xdr:col>
      <xdr:colOff>438086</xdr:colOff>
      <xdr:row>216</xdr:row>
      <xdr:rowOff>146402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9CC14B-8ABD-4F89-9600-CA474C769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183</xdr:col>
      <xdr:colOff>217714</xdr:colOff>
      <xdr:row>154</xdr:row>
      <xdr:rowOff>47626</xdr:rowOff>
    </xdr:from>
    <xdr:to>
      <xdr:col>200</xdr:col>
      <xdr:colOff>27417</xdr:colOff>
      <xdr:row>180</xdr:row>
      <xdr:rowOff>147377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710BE1-0516-4DDF-A7EB-E6962135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166</xdr:col>
      <xdr:colOff>137783</xdr:colOff>
      <xdr:row>155</xdr:row>
      <xdr:rowOff>114120</xdr:rowOff>
    </xdr:from>
    <xdr:to>
      <xdr:col>183</xdr:col>
      <xdr:colOff>42117</xdr:colOff>
      <xdr:row>182</xdr:row>
      <xdr:rowOff>16185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960BF-CF1E-4196-B525-082638D1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3309810</xdr:colOff>
      <xdr:row>261</xdr:row>
      <xdr:rowOff>15152</xdr:rowOff>
    </xdr:from>
    <xdr:to>
      <xdr:col>61</xdr:col>
      <xdr:colOff>414154</xdr:colOff>
      <xdr:row>292</xdr:row>
      <xdr:rowOff>158460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794F54-4F6C-4392-AF29-94B6BA8D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3458415</xdr:colOff>
      <xdr:row>231</xdr:row>
      <xdr:rowOff>61569</xdr:rowOff>
    </xdr:from>
    <xdr:to>
      <xdr:col>60</xdr:col>
      <xdr:colOff>148925</xdr:colOff>
      <xdr:row>260</xdr:row>
      <xdr:rowOff>19328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8B3AD1-F0C7-428B-BCF1-9A85E0A4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2815363</xdr:colOff>
      <xdr:row>294</xdr:row>
      <xdr:rowOff>23402</xdr:rowOff>
    </xdr:from>
    <xdr:to>
      <xdr:col>61</xdr:col>
      <xdr:colOff>12911</xdr:colOff>
      <xdr:row>325</xdr:row>
      <xdr:rowOff>187885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FBD8F7-D706-4992-8285-D23680AB1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394433</xdr:colOff>
      <xdr:row>229</xdr:row>
      <xdr:rowOff>26865</xdr:rowOff>
    </xdr:from>
    <xdr:to>
      <xdr:col>82</xdr:col>
      <xdr:colOff>135080</xdr:colOff>
      <xdr:row>257</xdr:row>
      <xdr:rowOff>178178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1877AD-BD11-417E-AC17-059138DE9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637584</xdr:colOff>
      <xdr:row>348</xdr:row>
      <xdr:rowOff>58074</xdr:rowOff>
    </xdr:from>
    <xdr:to>
      <xdr:col>11</xdr:col>
      <xdr:colOff>274486</xdr:colOff>
      <xdr:row>375</xdr:row>
      <xdr:rowOff>26763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B21536-9681-49C2-92E8-B9F4D6B3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853094</xdr:colOff>
      <xdr:row>378</xdr:row>
      <xdr:rowOff>128513</xdr:rowOff>
    </xdr:from>
    <xdr:to>
      <xdr:col>11</xdr:col>
      <xdr:colOff>129335</xdr:colOff>
      <xdr:row>405</xdr:row>
      <xdr:rowOff>45515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1C1375-D068-46AF-A1BB-7E2272E2F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853736</xdr:colOff>
      <xdr:row>413</xdr:row>
      <xdr:rowOff>188665</xdr:rowOff>
    </xdr:from>
    <xdr:to>
      <xdr:col>11</xdr:col>
      <xdr:colOff>551309</xdr:colOff>
      <xdr:row>440</xdr:row>
      <xdr:rowOff>110125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7F91FD5-FE6C-40AE-9EA9-6E3445CA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140505</xdr:colOff>
      <xdr:row>447</xdr:row>
      <xdr:rowOff>165138</xdr:rowOff>
    </xdr:from>
    <xdr:to>
      <xdr:col>12</xdr:col>
      <xdr:colOff>497080</xdr:colOff>
      <xdr:row>474</xdr:row>
      <xdr:rowOff>145112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97B2052-9682-4519-80E6-88874618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204979</xdr:colOff>
      <xdr:row>271</xdr:row>
      <xdr:rowOff>136075</xdr:rowOff>
    </xdr:from>
    <xdr:to>
      <xdr:col>11</xdr:col>
      <xdr:colOff>68077</xdr:colOff>
      <xdr:row>298</xdr:row>
      <xdr:rowOff>93369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DB04831-ADD8-43A7-8414-7CE9E4AEA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169217</xdr:colOff>
      <xdr:row>273</xdr:row>
      <xdr:rowOff>96820</xdr:rowOff>
    </xdr:from>
    <xdr:to>
      <xdr:col>25</xdr:col>
      <xdr:colOff>72438</xdr:colOff>
      <xdr:row>300</xdr:row>
      <xdr:rowOff>54114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42AAD16-7136-46FB-A684-F6F26940A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260803</xdr:colOff>
      <xdr:row>301</xdr:row>
      <xdr:rowOff>90714</xdr:rowOff>
    </xdr:from>
    <xdr:to>
      <xdr:col>11</xdr:col>
      <xdr:colOff>123901</xdr:colOff>
      <xdr:row>328</xdr:row>
      <xdr:rowOff>48009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A074179-0B5A-4FD3-9E49-AE910A372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571500</xdr:colOff>
      <xdr:row>302</xdr:row>
      <xdr:rowOff>47625</xdr:rowOff>
    </xdr:from>
    <xdr:to>
      <xdr:col>25</xdr:col>
      <xdr:colOff>476989</xdr:colOff>
      <xdr:row>329</xdr:row>
      <xdr:rowOff>7187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85FC8C1-92DF-43ED-B6EB-5B8A946C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649968</xdr:colOff>
      <xdr:row>445</xdr:row>
      <xdr:rowOff>119063</xdr:rowOff>
    </xdr:from>
    <xdr:to>
      <xdr:col>25</xdr:col>
      <xdr:colOff>309858</xdr:colOff>
      <xdr:row>472</xdr:row>
      <xdr:rowOff>73862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D5249E-EBDC-4A7A-AFD9-3896AB1AD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559203</xdr:colOff>
      <xdr:row>415</xdr:row>
      <xdr:rowOff>980</xdr:rowOff>
    </xdr:from>
    <xdr:to>
      <xdr:col>40</xdr:col>
      <xdr:colOff>635905</xdr:colOff>
      <xdr:row>441</xdr:row>
      <xdr:rowOff>135786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DBB598B-18C9-4189-89EB-89A0981E4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244930</xdr:colOff>
      <xdr:row>379</xdr:row>
      <xdr:rowOff>-1</xdr:rowOff>
    </xdr:from>
    <xdr:to>
      <xdr:col>22</xdr:col>
      <xdr:colOff>222720</xdr:colOff>
      <xdr:row>405</xdr:row>
      <xdr:rowOff>129047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5037DEC-AC76-46C5-ABE4-1A60C88B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424130</xdr:colOff>
      <xdr:row>348</xdr:row>
      <xdr:rowOff>29751</xdr:rowOff>
    </xdr:from>
    <xdr:to>
      <xdr:col>39</xdr:col>
      <xdr:colOff>338585</xdr:colOff>
      <xdr:row>374</xdr:row>
      <xdr:rowOff>158552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CBA316E-E75F-4767-9379-3513212B4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535213</xdr:colOff>
      <xdr:row>349</xdr:row>
      <xdr:rowOff>95249</xdr:rowOff>
    </xdr:from>
    <xdr:to>
      <xdr:col>23</xdr:col>
      <xdr:colOff>1634</xdr:colOff>
      <xdr:row>376</xdr:row>
      <xdr:rowOff>65712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5F813D4-C519-461C-96A9-EE3D0C86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726313</xdr:colOff>
      <xdr:row>378</xdr:row>
      <xdr:rowOff>80609</xdr:rowOff>
    </xdr:from>
    <xdr:to>
      <xdr:col>38</xdr:col>
      <xdr:colOff>12089</xdr:colOff>
      <xdr:row>405</xdr:row>
      <xdr:rowOff>6648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B3F7CCE-79BA-4BE8-B870-6DF7EB5D9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390917</xdr:colOff>
      <xdr:row>414</xdr:row>
      <xdr:rowOff>60469</xdr:rowOff>
    </xdr:from>
    <xdr:to>
      <xdr:col>24</xdr:col>
      <xdr:colOff>22932</xdr:colOff>
      <xdr:row>440</xdr:row>
      <xdr:rowOff>170532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EFA894E-B91C-403C-9117-6BED3C1E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71327</xdr:colOff>
      <xdr:row>444</xdr:row>
      <xdr:rowOff>162510</xdr:rowOff>
    </xdr:from>
    <xdr:to>
      <xdr:col>40</xdr:col>
      <xdr:colOff>1525759</xdr:colOff>
      <xdr:row>471</xdr:row>
      <xdr:rowOff>129389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BDFE60-C1AF-4299-BFC8-D0F9022F5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9A6F-5B83-446D-A3E5-B31FB47D68C1}">
  <dimension ref="A1:BM231"/>
  <sheetViews>
    <sheetView topLeftCell="BK1" zoomScale="77" zoomScaleNormal="77" workbookViewId="0">
      <selection activeCell="A111" sqref="A111"/>
    </sheetView>
  </sheetViews>
  <sheetFormatPr defaultRowHeight="15" x14ac:dyDescent="0.25"/>
  <cols>
    <col min="1" max="1" width="48.28515625" bestFit="1" customWidth="1"/>
    <col min="2" max="2" width="22.85546875" bestFit="1" customWidth="1"/>
    <col min="3" max="3" width="23.140625" bestFit="1" customWidth="1"/>
    <col min="4" max="4" width="22.7109375" bestFit="1" customWidth="1"/>
    <col min="5" max="5" width="40.7109375" bestFit="1" customWidth="1"/>
    <col min="6" max="6" width="20.42578125" bestFit="1" customWidth="1"/>
    <col min="7" max="7" width="21.28515625" bestFit="1" customWidth="1"/>
    <col min="8" max="8" width="22.5703125" bestFit="1" customWidth="1"/>
    <col min="9" max="9" width="15.5703125" bestFit="1" customWidth="1"/>
    <col min="10" max="10" width="23.5703125" bestFit="1" customWidth="1"/>
    <col min="11" max="12" width="18.85546875" bestFit="1" customWidth="1"/>
    <col min="13" max="13" width="19.85546875" bestFit="1" customWidth="1"/>
    <col min="14" max="15" width="19.28515625" bestFit="1" customWidth="1"/>
    <col min="17" max="17" width="12.140625" bestFit="1" customWidth="1"/>
    <col min="18" max="18" width="12.5703125" bestFit="1" customWidth="1"/>
    <col min="22" max="22" width="53.7109375" bestFit="1" customWidth="1"/>
    <col min="23" max="23" width="16.42578125" bestFit="1" customWidth="1"/>
    <col min="24" max="24" width="18" bestFit="1" customWidth="1"/>
    <col min="25" max="25" width="22.7109375" bestFit="1" customWidth="1"/>
    <col min="26" max="26" width="14.85546875" bestFit="1" customWidth="1"/>
    <col min="27" max="27" width="20.42578125" bestFit="1" customWidth="1"/>
    <col min="28" max="28" width="21.28515625" bestFit="1" customWidth="1"/>
    <col min="29" max="29" width="14.85546875" bestFit="1" customWidth="1"/>
    <col min="30" max="30" width="15.5703125" bestFit="1" customWidth="1"/>
    <col min="31" max="31" width="13.85546875" bestFit="1" customWidth="1"/>
    <col min="32" max="33" width="18.85546875" bestFit="1" customWidth="1"/>
    <col min="34" max="34" width="19.85546875" bestFit="1" customWidth="1"/>
    <col min="35" max="35" width="19.28515625" bestFit="1" customWidth="1"/>
    <col min="36" max="36" width="21.7109375" bestFit="1" customWidth="1"/>
    <col min="38" max="38" width="12.140625" bestFit="1" customWidth="1"/>
    <col min="39" max="39" width="12.5703125" bestFit="1" customWidth="1"/>
    <col min="44" max="44" width="48.28515625" bestFit="1" customWidth="1"/>
    <col min="45" max="45" width="27.28515625" bestFit="1" customWidth="1"/>
    <col min="46" max="46" width="17.5703125" bestFit="1" customWidth="1"/>
    <col min="47" max="47" width="13.85546875" bestFit="1" customWidth="1"/>
    <col min="48" max="48" width="40.7109375" bestFit="1" customWidth="1"/>
    <col min="49" max="49" width="17.5703125" bestFit="1" customWidth="1"/>
    <col min="51" max="51" width="26.42578125" bestFit="1" customWidth="1"/>
    <col min="53" max="53" width="13.5703125" bestFit="1" customWidth="1"/>
    <col min="54" max="54" width="35.7109375" bestFit="1" customWidth="1"/>
    <col min="57" max="57" width="12.5703125" bestFit="1" customWidth="1"/>
    <col min="58" max="58" width="14.7109375" bestFit="1" customWidth="1"/>
    <col min="59" max="59" width="12.7109375" bestFit="1" customWidth="1"/>
    <col min="61" max="61" width="13.5703125" bestFit="1" customWidth="1"/>
    <col min="62" max="62" width="14.7109375" bestFit="1" customWidth="1"/>
    <col min="63" max="63" width="12.7109375" bestFit="1" customWidth="1"/>
  </cols>
  <sheetData>
    <row r="1" spans="1:63" ht="18.75" x14ac:dyDescent="0.3">
      <c r="A1" s="2" t="s">
        <v>50</v>
      </c>
      <c r="B1" s="2" t="s">
        <v>1</v>
      </c>
      <c r="C1" s="2" t="s">
        <v>52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  <c r="Q1" s="2" t="s">
        <v>53</v>
      </c>
      <c r="R1" s="2" t="s">
        <v>54</v>
      </c>
      <c r="V1" s="2" t="s">
        <v>51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68</v>
      </c>
      <c r="AL1" s="2" t="s">
        <v>53</v>
      </c>
      <c r="AM1" s="2" t="s">
        <v>54</v>
      </c>
      <c r="AR1" s="2" t="s">
        <v>87</v>
      </c>
      <c r="AS1" t="s">
        <v>156</v>
      </c>
      <c r="BB1" t="s">
        <v>128</v>
      </c>
    </row>
    <row r="2" spans="1:63" x14ac:dyDescent="0.25">
      <c r="A2" t="s">
        <v>14</v>
      </c>
      <c r="B2">
        <v>100</v>
      </c>
      <c r="C2">
        <v>10</v>
      </c>
      <c r="D2">
        <v>3</v>
      </c>
      <c r="E2">
        <f t="shared" ref="E2:E33" si="0">B2-SUM(C2:D2)</f>
        <v>87</v>
      </c>
      <c r="F2">
        <f>0</f>
        <v>0</v>
      </c>
      <c r="G2">
        <f>36-C2</f>
        <v>26</v>
      </c>
      <c r="I2">
        <f>71-C2</f>
        <v>61</v>
      </c>
      <c r="J2">
        <f>100-(SUM(C2:D2))</f>
        <v>87</v>
      </c>
      <c r="K2">
        <f>(G2-F2)/E2</f>
        <v>0.2988505747126437</v>
      </c>
      <c r="L2">
        <f>(J2-I2)/E2</f>
        <v>0.2988505747126437</v>
      </c>
      <c r="M2">
        <f>(I2-G2)/E2</f>
        <v>0.40229885057471265</v>
      </c>
      <c r="P2">
        <f>SUM($K2:$N2)</f>
        <v>1</v>
      </c>
      <c r="Q2">
        <f>SUM($K2:$L2)</f>
        <v>0.5977011494252874</v>
      </c>
      <c r="R2">
        <f>SUM($M2:$N2)</f>
        <v>0.40229885057471265</v>
      </c>
      <c r="V2" t="s">
        <v>14</v>
      </c>
      <c r="W2">
        <v>121</v>
      </c>
      <c r="X2">
        <v>18</v>
      </c>
      <c r="Y2">
        <v>12</v>
      </c>
      <c r="Z2">
        <f t="shared" ref="Z2:Z37" si="1">W2-SUM(X2:Y2)</f>
        <v>91</v>
      </c>
      <c r="AA2">
        <v>0</v>
      </c>
      <c r="AB2">
        <f>47-X2</f>
        <v>29</v>
      </c>
      <c r="AD2">
        <f>80-X2</f>
        <v>62</v>
      </c>
      <c r="AE2">
        <f t="shared" ref="AE2:AE37" si="2">Z2</f>
        <v>91</v>
      </c>
      <c r="AF2">
        <f>(AB2-AA2)/AE2</f>
        <v>0.31868131868131866</v>
      </c>
      <c r="AG2">
        <f>(AE2-AD2)/AE2</f>
        <v>0.31868131868131866</v>
      </c>
      <c r="AH2">
        <f>(AD2-AB2)/AE2</f>
        <v>0.36263736263736263</v>
      </c>
      <c r="AK2">
        <f>SUM($AF2:$AJ2)</f>
        <v>1</v>
      </c>
      <c r="AL2">
        <f>SUM($AF2:$AG2)</f>
        <v>0.63736263736263732</v>
      </c>
      <c r="AM2">
        <f>SUM($AH2:$AJ2)</f>
        <v>0.36263736263736263</v>
      </c>
      <c r="AQ2" s="10" t="s">
        <v>116</v>
      </c>
      <c r="AR2" s="10" t="s">
        <v>157</v>
      </c>
      <c r="AS2" s="10" t="s">
        <v>158</v>
      </c>
      <c r="AT2" s="10" t="s">
        <v>98</v>
      </c>
      <c r="AV2" s="10" t="s">
        <v>90</v>
      </c>
      <c r="AW2" s="10" t="s">
        <v>91</v>
      </c>
    </row>
    <row r="3" spans="1:63" x14ac:dyDescent="0.25">
      <c r="A3" t="s">
        <v>15</v>
      </c>
      <c r="B3">
        <v>100</v>
      </c>
      <c r="C3">
        <v>0</v>
      </c>
      <c r="D3">
        <v>10</v>
      </c>
      <c r="E3">
        <f t="shared" si="0"/>
        <v>90</v>
      </c>
      <c r="F3">
        <f>0</f>
        <v>0</v>
      </c>
      <c r="G3">
        <f>28-C3</f>
        <v>28</v>
      </c>
      <c r="I3">
        <f>65-C3</f>
        <v>65</v>
      </c>
      <c r="J3">
        <f t="shared" ref="J3:J33" si="3">E3</f>
        <v>90</v>
      </c>
      <c r="K3">
        <f>(G3-F3)/E3</f>
        <v>0.31111111111111112</v>
      </c>
      <c r="L3">
        <f>(J3-I3)/E3</f>
        <v>0.27777777777777779</v>
      </c>
      <c r="M3">
        <f>(I3-G3)/E3</f>
        <v>0.41111111111111109</v>
      </c>
      <c r="P3">
        <f t="shared" ref="P3:P48" si="4">SUM($K3:$N3)</f>
        <v>1</v>
      </c>
      <c r="Q3">
        <f t="shared" ref="Q3:Q48" si="5">SUM($K3:$L3)</f>
        <v>0.58888888888888891</v>
      </c>
      <c r="R3">
        <f t="shared" ref="R3:R48" si="6">SUM($M3:$N3)</f>
        <v>0.41111111111111109</v>
      </c>
      <c r="V3" t="s">
        <v>15</v>
      </c>
      <c r="W3">
        <v>111</v>
      </c>
      <c r="X3">
        <v>6</v>
      </c>
      <c r="Y3">
        <v>15</v>
      </c>
      <c r="Z3">
        <f t="shared" si="1"/>
        <v>90</v>
      </c>
      <c r="AA3">
        <v>0</v>
      </c>
      <c r="AB3">
        <f>33-X3</f>
        <v>27</v>
      </c>
      <c r="AD3">
        <f>68-X3</f>
        <v>62</v>
      </c>
      <c r="AE3">
        <f t="shared" si="2"/>
        <v>90</v>
      </c>
      <c r="AF3">
        <f>(AB3-AA3)/AE3</f>
        <v>0.3</v>
      </c>
      <c r="AG3">
        <f>(AE3-AD3)/AE3</f>
        <v>0.31111111111111112</v>
      </c>
      <c r="AH3">
        <f t="shared" ref="AH3:AH4" si="7">(AD3-AB3)/AE3</f>
        <v>0.3888888888888889</v>
      </c>
      <c r="AK3">
        <f t="shared" ref="AK3:AK49" si="8">SUM($AF3:$AJ3)</f>
        <v>1</v>
      </c>
      <c r="AL3">
        <f t="shared" ref="AL3:AL49" si="9">SUM($AF3:$AG3)</f>
        <v>0.61111111111111116</v>
      </c>
      <c r="AM3">
        <f t="shared" ref="AM3:AM48" si="10">SUM($AH3:$AJ3)</f>
        <v>0.3888888888888889</v>
      </c>
      <c r="AQ3">
        <f>2</f>
        <v>2</v>
      </c>
      <c r="AR3">
        <f>F59</f>
        <v>0.62790697674418605</v>
      </c>
      <c r="AS3">
        <f>L59</f>
        <v>0.37209302325581395</v>
      </c>
      <c r="AT3">
        <f t="shared" ref="AT3:AT14" si="11">C108</f>
        <v>1</v>
      </c>
      <c r="AV3" s="20" t="s">
        <v>82</v>
      </c>
      <c r="AW3">
        <f>(G5-F5)/J5</f>
        <v>0.34883720930232559</v>
      </c>
      <c r="AX3">
        <f>H5/J5</f>
        <v>0.37209302325581395</v>
      </c>
      <c r="AY3">
        <f>(J5-I5)/J5</f>
        <v>0.27906976744186046</v>
      </c>
      <c r="BB3" t="s">
        <v>129</v>
      </c>
      <c r="BE3" s="8"/>
      <c r="BF3" s="8" t="s">
        <v>129</v>
      </c>
      <c r="BG3" s="8"/>
      <c r="BI3" s="8"/>
      <c r="BJ3" s="8" t="s">
        <v>129</v>
      </c>
      <c r="BK3" s="8"/>
    </row>
    <row r="4" spans="1:63" x14ac:dyDescent="0.25">
      <c r="A4" t="s">
        <v>16</v>
      </c>
      <c r="B4">
        <v>100</v>
      </c>
      <c r="C4">
        <v>10</v>
      </c>
      <c r="D4">
        <v>3</v>
      </c>
      <c r="E4">
        <f t="shared" si="0"/>
        <v>87</v>
      </c>
      <c r="F4">
        <f>0</f>
        <v>0</v>
      </c>
      <c r="G4">
        <f>41-C4</f>
        <v>31</v>
      </c>
      <c r="I4">
        <f>75-C4</f>
        <v>65</v>
      </c>
      <c r="J4">
        <f t="shared" si="3"/>
        <v>87</v>
      </c>
      <c r="K4">
        <f>(G4-F4)/E4</f>
        <v>0.35632183908045978</v>
      </c>
      <c r="L4">
        <f>(J4-I4)/E4</f>
        <v>0.25287356321839083</v>
      </c>
      <c r="M4">
        <f>(I4-G4)/E4</f>
        <v>0.39080459770114945</v>
      </c>
      <c r="P4">
        <f>SUM($K4:$N4)</f>
        <v>1</v>
      </c>
      <c r="Q4">
        <f t="shared" si="5"/>
        <v>0.60919540229885061</v>
      </c>
      <c r="R4">
        <f t="shared" si="6"/>
        <v>0.39080459770114945</v>
      </c>
      <c r="V4" t="s">
        <v>16</v>
      </c>
      <c r="W4">
        <v>121</v>
      </c>
      <c r="X4">
        <v>19</v>
      </c>
      <c r="Y4">
        <v>14</v>
      </c>
      <c r="Z4">
        <f t="shared" si="1"/>
        <v>88</v>
      </c>
      <c r="AA4">
        <v>0</v>
      </c>
      <c r="AB4">
        <f>51-X4</f>
        <v>32</v>
      </c>
      <c r="AD4">
        <f>84-X4</f>
        <v>65</v>
      </c>
      <c r="AE4">
        <f t="shared" si="2"/>
        <v>88</v>
      </c>
      <c r="AF4">
        <f>(AB4-AA4)/AE4</f>
        <v>0.36363636363636365</v>
      </c>
      <c r="AG4">
        <f>(AE4-AD4)/AE4</f>
        <v>0.26136363636363635</v>
      </c>
      <c r="AH4">
        <f t="shared" si="7"/>
        <v>0.375</v>
      </c>
      <c r="AK4">
        <f t="shared" si="8"/>
        <v>1</v>
      </c>
      <c r="AL4">
        <f t="shared" si="9"/>
        <v>0.625</v>
      </c>
      <c r="AM4">
        <f t="shared" si="10"/>
        <v>0.375</v>
      </c>
      <c r="AQ4">
        <f>AQ3+1</f>
        <v>3</v>
      </c>
      <c r="AR4">
        <f>F63</f>
        <v>0.68292682926829262</v>
      </c>
      <c r="AS4">
        <f>L63</f>
        <v>0.31707317073170732</v>
      </c>
      <c r="AT4">
        <f>C109</f>
        <v>1</v>
      </c>
      <c r="AV4" s="20" t="s">
        <v>113</v>
      </c>
      <c r="AW4" s="8">
        <f>(G9-F9)/J9</f>
        <v>0.36585365853658536</v>
      </c>
      <c r="AX4" s="8">
        <f>H9/J9</f>
        <v>0.31707317073170732</v>
      </c>
      <c r="AY4" s="8">
        <f>(J9-I9)/J9</f>
        <v>0.31707317073170732</v>
      </c>
      <c r="BA4" t="s">
        <v>122</v>
      </c>
      <c r="BB4" t="s">
        <v>107</v>
      </c>
      <c r="BC4" t="s">
        <v>98</v>
      </c>
      <c r="BE4" s="8" t="s">
        <v>126</v>
      </c>
      <c r="BF4" s="8" t="s">
        <v>107</v>
      </c>
      <c r="BG4" s="8" t="s">
        <v>98</v>
      </c>
      <c r="BI4" s="8" t="s">
        <v>127</v>
      </c>
      <c r="BJ4" s="8" t="s">
        <v>107</v>
      </c>
      <c r="BK4" s="8" t="s">
        <v>98</v>
      </c>
    </row>
    <row r="5" spans="1:63" x14ac:dyDescent="0.25">
      <c r="A5" s="1" t="s">
        <v>17</v>
      </c>
      <c r="B5" s="1">
        <v>100</v>
      </c>
      <c r="C5" s="1">
        <v>7</v>
      </c>
      <c r="D5" s="1">
        <v>7</v>
      </c>
      <c r="E5" s="1">
        <f t="shared" si="0"/>
        <v>86</v>
      </c>
      <c r="F5" s="1">
        <f>0</f>
        <v>0</v>
      </c>
      <c r="G5" s="1">
        <f>37-C5</f>
        <v>30</v>
      </c>
      <c r="H5" s="1">
        <f>I5-G5</f>
        <v>32</v>
      </c>
      <c r="I5" s="1">
        <f>69-C5</f>
        <v>62</v>
      </c>
      <c r="J5" s="1">
        <f t="shared" si="3"/>
        <v>86</v>
      </c>
      <c r="K5" s="1">
        <f xml:space="preserve"> H5/E5</f>
        <v>0.37209302325581395</v>
      </c>
      <c r="L5" s="1"/>
      <c r="M5" s="1">
        <f xml:space="preserve"> (G5-F5)/E5</f>
        <v>0.34883720930232559</v>
      </c>
      <c r="N5" s="1">
        <f>(J5-I5)/E5</f>
        <v>0.27906976744186046</v>
      </c>
      <c r="P5">
        <f t="shared" si="4"/>
        <v>1</v>
      </c>
      <c r="Q5">
        <f t="shared" si="5"/>
        <v>0.37209302325581395</v>
      </c>
      <c r="R5">
        <f t="shared" si="6"/>
        <v>0.62790697674418605</v>
      </c>
      <c r="V5" s="1" t="s">
        <v>17</v>
      </c>
      <c r="W5">
        <v>121</v>
      </c>
      <c r="X5">
        <v>16</v>
      </c>
      <c r="Y5">
        <v>18</v>
      </c>
      <c r="Z5">
        <f t="shared" si="1"/>
        <v>87</v>
      </c>
      <c r="AA5">
        <v>0</v>
      </c>
      <c r="AB5">
        <f>47-X5</f>
        <v>31</v>
      </c>
      <c r="AC5">
        <f>AD5-AB5</f>
        <v>33</v>
      </c>
      <c r="AD5">
        <f>80-X5</f>
        <v>64</v>
      </c>
      <c r="AE5">
        <f t="shared" si="2"/>
        <v>87</v>
      </c>
      <c r="AF5">
        <f>AC5/AE5</f>
        <v>0.37931034482758619</v>
      </c>
      <c r="AH5">
        <f>(AB5-AA5)/AE5</f>
        <v>0.35632183908045978</v>
      </c>
      <c r="AI5">
        <f>(AE5-AD5)/AE5</f>
        <v>0.26436781609195403</v>
      </c>
      <c r="AK5">
        <f t="shared" si="8"/>
        <v>1</v>
      </c>
      <c r="AL5">
        <f t="shared" si="9"/>
        <v>0.37931034482758619</v>
      </c>
      <c r="AM5">
        <f t="shared" si="10"/>
        <v>0.62068965517241381</v>
      </c>
      <c r="AQ5">
        <f t="shared" ref="AQ5:AQ13" si="12">AQ4+1</f>
        <v>4</v>
      </c>
      <c r="AR5">
        <f>F67</f>
        <v>0.78021978021978022</v>
      </c>
      <c r="AS5">
        <f>L67</f>
        <v>0.21978021978021978</v>
      </c>
      <c r="AT5">
        <f t="shared" si="11"/>
        <v>1</v>
      </c>
      <c r="AV5" s="20" t="s">
        <v>114</v>
      </c>
      <c r="AW5" s="8">
        <f>(G13-F13)/J13</f>
        <v>0.39560439560439559</v>
      </c>
      <c r="AX5" s="8">
        <f>H13/J13</f>
        <v>0.21978021978021978</v>
      </c>
      <c r="AY5" s="8">
        <f>(J13-I13)/J13</f>
        <v>0.38461538461538464</v>
      </c>
      <c r="BB5">
        <f>1-AS6</f>
        <v>0.53246753246753253</v>
      </c>
      <c r="BC5" s="8">
        <f>AT6</f>
        <v>0.3</v>
      </c>
      <c r="BE5" s="8"/>
      <c r="BF5" s="8">
        <f>1-AS8</f>
        <v>0.73076923076923084</v>
      </c>
      <c r="BG5" s="8">
        <f>AT8</f>
        <v>0.3</v>
      </c>
      <c r="BI5" s="8"/>
      <c r="BJ5" s="8">
        <f>1-AS7</f>
        <v>0.64835164835164827</v>
      </c>
      <c r="BK5" s="8">
        <f>AT7</f>
        <v>0.3</v>
      </c>
    </row>
    <row r="6" spans="1:63" x14ac:dyDescent="0.25">
      <c r="A6" t="s">
        <v>18</v>
      </c>
      <c r="B6">
        <v>100</v>
      </c>
      <c r="C6">
        <v>5</v>
      </c>
      <c r="D6">
        <v>7</v>
      </c>
      <c r="E6">
        <f t="shared" si="0"/>
        <v>88</v>
      </c>
      <c r="F6">
        <v>0</v>
      </c>
      <c r="G6">
        <f>24-C6</f>
        <v>19</v>
      </c>
      <c r="I6">
        <f>74-C6</f>
        <v>69</v>
      </c>
      <c r="J6">
        <f t="shared" si="3"/>
        <v>88</v>
      </c>
      <c r="K6">
        <f>(G6-F6)/E6</f>
        <v>0.21590909090909091</v>
      </c>
      <c r="L6">
        <f>(J6-I6)/E6</f>
        <v>0.21590909090909091</v>
      </c>
      <c r="M6">
        <f>(I6-G6)/E6</f>
        <v>0.56818181818181823</v>
      </c>
      <c r="P6">
        <f t="shared" si="4"/>
        <v>1</v>
      </c>
      <c r="Q6">
        <f t="shared" si="5"/>
        <v>0.43181818181818182</v>
      </c>
      <c r="R6">
        <f t="shared" si="6"/>
        <v>0.56818181818181823</v>
      </c>
      <c r="V6" t="s">
        <v>18</v>
      </c>
      <c r="W6">
        <v>121</v>
      </c>
      <c r="X6">
        <v>8</v>
      </c>
      <c r="Y6">
        <v>19</v>
      </c>
      <c r="Z6">
        <f t="shared" si="1"/>
        <v>94</v>
      </c>
      <c r="AA6">
        <v>0</v>
      </c>
      <c r="AB6">
        <f>29-X6</f>
        <v>21</v>
      </c>
      <c r="AD6">
        <f>82-X6</f>
        <v>74</v>
      </c>
      <c r="AE6">
        <f t="shared" si="2"/>
        <v>94</v>
      </c>
      <c r="AF6">
        <f>(AB6-AA6)/AE6</f>
        <v>0.22340425531914893</v>
      </c>
      <c r="AG6">
        <f>(AE6-AD6)/AE6</f>
        <v>0.21276595744680851</v>
      </c>
      <c r="AH6">
        <f>(AD6-AB6)/AE6</f>
        <v>0.56382978723404253</v>
      </c>
      <c r="AK6">
        <f t="shared" si="8"/>
        <v>1</v>
      </c>
      <c r="AL6">
        <f t="shared" si="9"/>
        <v>0.43617021276595747</v>
      </c>
      <c r="AM6">
        <f t="shared" si="10"/>
        <v>0.56382978723404253</v>
      </c>
      <c r="AQ6">
        <f t="shared" si="12"/>
        <v>5</v>
      </c>
      <c r="AR6">
        <f>F71</f>
        <v>0.53246753246753242</v>
      </c>
      <c r="AS6">
        <f>L71</f>
        <v>0.46753246753246752</v>
      </c>
      <c r="AT6">
        <f t="shared" si="11"/>
        <v>0.3</v>
      </c>
      <c r="AV6" s="20" t="s">
        <v>82</v>
      </c>
      <c r="AW6" s="8">
        <f>(G17-F17)/J17</f>
        <v>0.31168831168831168</v>
      </c>
      <c r="AX6" s="8">
        <f>H17/J17</f>
        <v>0.46753246753246752</v>
      </c>
      <c r="AY6" s="8">
        <f>(J17-I17)/J17</f>
        <v>0.22077922077922077</v>
      </c>
      <c r="BB6">
        <f>1-AS9</f>
        <v>0.7846153846153846</v>
      </c>
      <c r="BC6" s="8">
        <f>AT9</f>
        <v>0.5</v>
      </c>
      <c r="BE6" s="8"/>
      <c r="BF6" s="8">
        <f>1-AS11</f>
        <v>0.69117647058823528</v>
      </c>
      <c r="BG6" s="8">
        <f>AT11</f>
        <v>0.5</v>
      </c>
      <c r="BI6" s="8"/>
      <c r="BJ6" s="8">
        <f>1-AS10</f>
        <v>0.7857142857142857</v>
      </c>
      <c r="BK6" s="8">
        <f>AT10</f>
        <v>0.5</v>
      </c>
    </row>
    <row r="7" spans="1:63" x14ac:dyDescent="0.25">
      <c r="A7" t="s">
        <v>19</v>
      </c>
      <c r="B7">
        <v>100</v>
      </c>
      <c r="C7">
        <v>5</v>
      </c>
      <c r="D7">
        <v>5</v>
      </c>
      <c r="E7">
        <f t="shared" si="0"/>
        <v>90</v>
      </c>
      <c r="F7">
        <f>0</f>
        <v>0</v>
      </c>
      <c r="G7">
        <f>34-C7</f>
        <v>29</v>
      </c>
      <c r="I7">
        <f>68-C7</f>
        <v>63</v>
      </c>
      <c r="J7">
        <f t="shared" si="3"/>
        <v>90</v>
      </c>
      <c r="K7">
        <f>(G7-F7)/E7</f>
        <v>0.32222222222222224</v>
      </c>
      <c r="L7">
        <f>(J7-I7)/E7</f>
        <v>0.3</v>
      </c>
      <c r="M7">
        <f>(I7-G7)/E7</f>
        <v>0.37777777777777777</v>
      </c>
      <c r="P7">
        <f t="shared" si="4"/>
        <v>1</v>
      </c>
      <c r="Q7">
        <f t="shared" si="5"/>
        <v>0.62222222222222223</v>
      </c>
      <c r="R7">
        <f t="shared" si="6"/>
        <v>0.37777777777777777</v>
      </c>
      <c r="V7" t="s">
        <v>19</v>
      </c>
      <c r="W7">
        <v>111</v>
      </c>
      <c r="X7">
        <v>7</v>
      </c>
      <c r="Y7">
        <v>9</v>
      </c>
      <c r="Z7">
        <f t="shared" si="1"/>
        <v>95</v>
      </c>
      <c r="AA7">
        <v>0</v>
      </c>
      <c r="AB7">
        <f>36-X7</f>
        <v>29</v>
      </c>
      <c r="AD7">
        <f>73-X7</f>
        <v>66</v>
      </c>
      <c r="AE7">
        <f t="shared" si="2"/>
        <v>95</v>
      </c>
      <c r="AF7">
        <f>(AB7-AA7)/AE7</f>
        <v>0.30526315789473685</v>
      </c>
      <c r="AG7">
        <f>(AE7-AD7)/AE7</f>
        <v>0.30526315789473685</v>
      </c>
      <c r="AH7">
        <f>(AD7-AB7)/AE7</f>
        <v>0.38947368421052631</v>
      </c>
      <c r="AK7">
        <f t="shared" si="8"/>
        <v>1</v>
      </c>
      <c r="AL7">
        <f t="shared" si="9"/>
        <v>0.61052631578947369</v>
      </c>
      <c r="AM7">
        <f t="shared" si="10"/>
        <v>0.38947368421052631</v>
      </c>
      <c r="AQ7">
        <f t="shared" si="12"/>
        <v>6</v>
      </c>
      <c r="AR7">
        <f>F95</f>
        <v>0.64835164835164838</v>
      </c>
      <c r="AS7">
        <f>L95</f>
        <v>0.35164835164835168</v>
      </c>
      <c r="AT7">
        <f t="shared" si="11"/>
        <v>0.3</v>
      </c>
      <c r="AV7" s="20" t="s">
        <v>113</v>
      </c>
      <c r="AW7" s="8">
        <f>(G41-F41)/J41</f>
        <v>0.35164835164835168</v>
      </c>
      <c r="AX7" s="8">
        <f>H41/J41</f>
        <v>0.35164835164835168</v>
      </c>
      <c r="AY7" s="8">
        <f>(J41-I41)/J41</f>
        <v>0.2967032967032967</v>
      </c>
      <c r="BB7">
        <f>1-AS3</f>
        <v>0.62790697674418605</v>
      </c>
      <c r="BC7" s="8">
        <f>AT3</f>
        <v>1</v>
      </c>
      <c r="BE7" s="8"/>
      <c r="BF7" s="8">
        <f>1-AS5</f>
        <v>0.78021978021978022</v>
      </c>
      <c r="BG7" s="8">
        <f>AT5</f>
        <v>1</v>
      </c>
      <c r="BI7" s="8"/>
      <c r="BJ7" s="8">
        <f>1-AS4</f>
        <v>0.68292682926829262</v>
      </c>
      <c r="BK7" s="8">
        <f>AT4</f>
        <v>1</v>
      </c>
    </row>
    <row r="8" spans="1:63" x14ac:dyDescent="0.25">
      <c r="A8" t="s">
        <v>20</v>
      </c>
      <c r="B8">
        <v>100</v>
      </c>
      <c r="C8">
        <v>5</v>
      </c>
      <c r="D8">
        <v>6</v>
      </c>
      <c r="E8">
        <f t="shared" si="0"/>
        <v>89</v>
      </c>
      <c r="F8">
        <f>0</f>
        <v>0</v>
      </c>
      <c r="G8">
        <f>36-C8</f>
        <v>31</v>
      </c>
      <c r="I8">
        <f>66-C8</f>
        <v>61</v>
      </c>
      <c r="J8">
        <f t="shared" si="3"/>
        <v>89</v>
      </c>
      <c r="K8">
        <f>(G8-F8)/E8</f>
        <v>0.34831460674157305</v>
      </c>
      <c r="L8">
        <f>(J8-I8)/E8</f>
        <v>0.3146067415730337</v>
      </c>
      <c r="M8">
        <f>(I8-G8)/E8</f>
        <v>0.33707865168539325</v>
      </c>
      <c r="P8">
        <f t="shared" si="4"/>
        <v>1</v>
      </c>
      <c r="Q8">
        <f t="shared" si="5"/>
        <v>0.66292134831460681</v>
      </c>
      <c r="R8">
        <f t="shared" si="6"/>
        <v>0.33707865168539325</v>
      </c>
      <c r="V8" t="s">
        <v>20</v>
      </c>
      <c r="W8">
        <v>121</v>
      </c>
      <c r="X8">
        <v>14</v>
      </c>
      <c r="Y8">
        <v>18</v>
      </c>
      <c r="Z8">
        <f t="shared" si="1"/>
        <v>89</v>
      </c>
      <c r="AA8">
        <v>0</v>
      </c>
      <c r="AB8">
        <f>45-X8</f>
        <v>31</v>
      </c>
      <c r="AD8">
        <f>77-X8</f>
        <v>63</v>
      </c>
      <c r="AE8">
        <f t="shared" si="2"/>
        <v>89</v>
      </c>
      <c r="AF8">
        <f>(AB8-AA8)/AE8</f>
        <v>0.34831460674157305</v>
      </c>
      <c r="AG8">
        <f>(AE8-AD8)/AE8</f>
        <v>0.29213483146067415</v>
      </c>
      <c r="AH8">
        <f>(AD8-AB8)/AE8</f>
        <v>0.3595505617977528</v>
      </c>
      <c r="AK8">
        <f t="shared" si="8"/>
        <v>1</v>
      </c>
      <c r="AL8">
        <f t="shared" si="9"/>
        <v>0.6404494382022472</v>
      </c>
      <c r="AM8">
        <f t="shared" si="10"/>
        <v>0.3595505617977528</v>
      </c>
      <c r="AQ8">
        <f t="shared" si="12"/>
        <v>7</v>
      </c>
      <c r="AR8">
        <f>F99</f>
        <v>0.73076923076923084</v>
      </c>
      <c r="AS8">
        <f>L99</f>
        <v>0.26923076923076922</v>
      </c>
      <c r="AT8">
        <f t="shared" si="11"/>
        <v>0.3</v>
      </c>
      <c r="AV8" s="20" t="s">
        <v>114</v>
      </c>
      <c r="AW8" s="8">
        <f>(G45-F45)/J45</f>
        <v>0.48076923076923078</v>
      </c>
      <c r="AX8" s="8">
        <f>H45/J45</f>
        <v>0.26923076923076922</v>
      </c>
      <c r="AY8" s="8">
        <f>(J45-I45)/J45</f>
        <v>0.25</v>
      </c>
      <c r="BB8">
        <f>1-AS13</f>
        <v>0.3772455089820359</v>
      </c>
      <c r="BC8" s="8">
        <f>AT13</f>
        <v>1.6</v>
      </c>
      <c r="BE8" s="8"/>
      <c r="BF8" s="8">
        <f>1-AS12</f>
        <v>0.54069767441860472</v>
      </c>
      <c r="BG8" s="8">
        <f>AT12</f>
        <v>1.6</v>
      </c>
      <c r="BI8" s="8"/>
      <c r="BJ8" s="8">
        <f>1-AS14</f>
        <v>9.8837209302325535E-2</v>
      </c>
      <c r="BK8" s="8">
        <f>AT14</f>
        <v>1.6</v>
      </c>
    </row>
    <row r="9" spans="1:63" x14ac:dyDescent="0.25">
      <c r="A9" s="1" t="s">
        <v>21</v>
      </c>
      <c r="B9" s="1">
        <v>100</v>
      </c>
      <c r="C9" s="1">
        <v>6</v>
      </c>
      <c r="D9" s="1">
        <v>12</v>
      </c>
      <c r="E9" s="1">
        <f t="shared" si="0"/>
        <v>82</v>
      </c>
      <c r="F9" s="1">
        <f>0</f>
        <v>0</v>
      </c>
      <c r="G9" s="1">
        <f>36-C9</f>
        <v>30</v>
      </c>
      <c r="H9" s="1">
        <f>I9-G9</f>
        <v>26</v>
      </c>
      <c r="I9" s="1">
        <f>62-C9</f>
        <v>56</v>
      </c>
      <c r="J9" s="1">
        <f t="shared" si="3"/>
        <v>82</v>
      </c>
      <c r="K9" s="1">
        <f>H9/J9</f>
        <v>0.31707317073170732</v>
      </c>
      <c r="L9" s="1"/>
      <c r="M9" s="1">
        <f>(G9-F9)/J9</f>
        <v>0.36585365853658536</v>
      </c>
      <c r="N9" s="1">
        <f>(J9-I9)/J9</f>
        <v>0.31707317073170732</v>
      </c>
      <c r="P9">
        <f t="shared" si="4"/>
        <v>1</v>
      </c>
      <c r="Q9">
        <f t="shared" si="5"/>
        <v>0.31707317073170732</v>
      </c>
      <c r="R9">
        <f t="shared" si="6"/>
        <v>0.68292682926829262</v>
      </c>
      <c r="V9" s="1" t="s">
        <v>21</v>
      </c>
      <c r="W9">
        <v>121</v>
      </c>
      <c r="X9">
        <v>12</v>
      </c>
      <c r="Y9">
        <v>13</v>
      </c>
      <c r="Z9">
        <f t="shared" si="1"/>
        <v>96</v>
      </c>
      <c r="AA9">
        <f>0</f>
        <v>0</v>
      </c>
      <c r="AB9">
        <f>44-X9</f>
        <v>32</v>
      </c>
      <c r="AC9">
        <f>AD9-AB9</f>
        <v>25</v>
      </c>
      <c r="AD9">
        <f>69-X9</f>
        <v>57</v>
      </c>
      <c r="AE9">
        <f t="shared" si="2"/>
        <v>96</v>
      </c>
      <c r="AF9">
        <f>AC9/AE9</f>
        <v>0.26041666666666669</v>
      </c>
      <c r="AH9">
        <f>(AB9-AA9)/AE9</f>
        <v>0.33333333333333331</v>
      </c>
      <c r="AI9">
        <f>(AE9-AD9)/AE9</f>
        <v>0.40625</v>
      </c>
      <c r="AK9">
        <f t="shared" si="8"/>
        <v>1</v>
      </c>
      <c r="AL9">
        <f t="shared" si="9"/>
        <v>0.26041666666666669</v>
      </c>
      <c r="AM9">
        <f t="shared" si="10"/>
        <v>0.73958333333333326</v>
      </c>
      <c r="AQ9">
        <f t="shared" si="12"/>
        <v>8</v>
      </c>
      <c r="AR9">
        <f>F75</f>
        <v>0.78461538461538471</v>
      </c>
      <c r="AS9">
        <f>L75</f>
        <v>0.2153846153846154</v>
      </c>
      <c r="AT9">
        <f t="shared" si="11"/>
        <v>0.5</v>
      </c>
      <c r="AV9" s="20" t="s">
        <v>82</v>
      </c>
      <c r="AW9" s="8">
        <f>(G21-F21)/J21</f>
        <v>0.44615384615384618</v>
      </c>
      <c r="AX9" s="8">
        <f>H21/J21</f>
        <v>0.2153846153846154</v>
      </c>
      <c r="AY9" s="8">
        <f>(J21-I21)/J21</f>
        <v>0.33846153846153848</v>
      </c>
      <c r="BE9" s="8"/>
      <c r="BF9" s="8"/>
      <c r="BG9" s="8"/>
      <c r="BI9" s="8"/>
      <c r="BJ9" s="8"/>
      <c r="BK9" s="8"/>
    </row>
    <row r="10" spans="1:63" x14ac:dyDescent="0.25">
      <c r="A10" t="s">
        <v>22</v>
      </c>
      <c r="B10">
        <v>100</v>
      </c>
      <c r="C10">
        <v>5</v>
      </c>
      <c r="D10">
        <v>6</v>
      </c>
      <c r="E10">
        <f t="shared" si="0"/>
        <v>89</v>
      </c>
      <c r="F10">
        <f>0</f>
        <v>0</v>
      </c>
      <c r="G10">
        <f>23-C10</f>
        <v>18</v>
      </c>
      <c r="I10">
        <f>77-C10</f>
        <v>72</v>
      </c>
      <c r="J10">
        <f t="shared" si="3"/>
        <v>89</v>
      </c>
      <c r="K10">
        <f>(G10-F10)/J10</f>
        <v>0.20224719101123595</v>
      </c>
      <c r="L10">
        <f>(J10-I10)/E10</f>
        <v>0.19101123595505617</v>
      </c>
      <c r="M10">
        <f>(I10-G10)/J10</f>
        <v>0.6067415730337079</v>
      </c>
      <c r="P10">
        <f t="shared" si="4"/>
        <v>1</v>
      </c>
      <c r="Q10">
        <f t="shared" si="5"/>
        <v>0.3932584269662921</v>
      </c>
      <c r="R10">
        <f t="shared" si="6"/>
        <v>0.6067415730337079</v>
      </c>
      <c r="V10" t="s">
        <v>22</v>
      </c>
      <c r="W10">
        <v>121</v>
      </c>
      <c r="X10">
        <v>16</v>
      </c>
      <c r="Y10">
        <v>18</v>
      </c>
      <c r="Z10">
        <f t="shared" si="1"/>
        <v>87</v>
      </c>
      <c r="AA10">
        <v>0</v>
      </c>
      <c r="AB10">
        <f>35-X10</f>
        <v>19</v>
      </c>
      <c r="AD10">
        <f>85-X10</f>
        <v>69</v>
      </c>
      <c r="AE10">
        <f t="shared" si="2"/>
        <v>87</v>
      </c>
      <c r="AF10">
        <f>(AB10-AA10)/AE10</f>
        <v>0.21839080459770116</v>
      </c>
      <c r="AG10">
        <f>(AE10-AD10)/AE10</f>
        <v>0.20689655172413793</v>
      </c>
      <c r="AH10">
        <f>(AD10-AB10)/AE10</f>
        <v>0.57471264367816088</v>
      </c>
      <c r="AK10">
        <f t="shared" si="8"/>
        <v>1</v>
      </c>
      <c r="AL10">
        <f t="shared" si="9"/>
        <v>0.42528735632183912</v>
      </c>
      <c r="AM10">
        <f t="shared" si="10"/>
        <v>0.57471264367816088</v>
      </c>
      <c r="AQ10">
        <f t="shared" si="12"/>
        <v>9</v>
      </c>
      <c r="AR10">
        <f>F79</f>
        <v>0.7857142857142857</v>
      </c>
      <c r="AS10">
        <f>L79</f>
        <v>0.21428571428571427</v>
      </c>
      <c r="AT10">
        <f t="shared" si="11"/>
        <v>0.5</v>
      </c>
      <c r="AV10" s="20" t="s">
        <v>115</v>
      </c>
      <c r="AW10" s="8">
        <f>(G25-F25)/J25</f>
        <v>0.34285714285714286</v>
      </c>
      <c r="AX10" s="8">
        <f>H25/J25</f>
        <v>0.21428571428571427</v>
      </c>
      <c r="AY10" s="8">
        <f>(J25-I25)/J25</f>
        <v>0.44285714285714284</v>
      </c>
      <c r="BE10" s="8"/>
      <c r="BF10" s="8"/>
      <c r="BG10" s="8"/>
      <c r="BI10" s="8"/>
      <c r="BJ10" s="8"/>
      <c r="BK10" s="8"/>
    </row>
    <row r="11" spans="1:63" x14ac:dyDescent="0.25">
      <c r="A11" t="s">
        <v>23</v>
      </c>
      <c r="B11">
        <v>100</v>
      </c>
      <c r="C11">
        <v>6</v>
      </c>
      <c r="D11">
        <f>5</f>
        <v>5</v>
      </c>
      <c r="E11">
        <f t="shared" si="0"/>
        <v>89</v>
      </c>
      <c r="F11">
        <f>0</f>
        <v>0</v>
      </c>
      <c r="G11">
        <f>33-C11</f>
        <v>27</v>
      </c>
      <c r="I11">
        <f>68-C11</f>
        <v>62</v>
      </c>
      <c r="J11">
        <f t="shared" si="3"/>
        <v>89</v>
      </c>
      <c r="K11">
        <f>(G11-F11)/J11</f>
        <v>0.30337078651685395</v>
      </c>
      <c r="L11">
        <f>(J11-I11)/E11</f>
        <v>0.30337078651685395</v>
      </c>
      <c r="M11">
        <f>(I11-G11)/J11</f>
        <v>0.39325842696629215</v>
      </c>
      <c r="P11">
        <f t="shared" si="4"/>
        <v>1</v>
      </c>
      <c r="Q11">
        <f t="shared" si="5"/>
        <v>0.6067415730337079</v>
      </c>
      <c r="R11">
        <f t="shared" si="6"/>
        <v>0.39325842696629215</v>
      </c>
      <c r="V11" t="s">
        <v>23</v>
      </c>
      <c r="W11">
        <v>111</v>
      </c>
      <c r="X11">
        <v>10</v>
      </c>
      <c r="Y11">
        <v>12</v>
      </c>
      <c r="Z11">
        <f t="shared" si="1"/>
        <v>89</v>
      </c>
      <c r="AA11">
        <v>0</v>
      </c>
      <c r="AB11">
        <f>37-X11</f>
        <v>27</v>
      </c>
      <c r="AD11">
        <f>74-X11</f>
        <v>64</v>
      </c>
      <c r="AE11">
        <f t="shared" si="2"/>
        <v>89</v>
      </c>
      <c r="AF11">
        <f>(AB11-AA11)/AE11</f>
        <v>0.30337078651685395</v>
      </c>
      <c r="AG11">
        <f>(AE11-AD11)/AE11</f>
        <v>0.2808988764044944</v>
      </c>
      <c r="AH11">
        <f>(AD11-AB11)/AE11</f>
        <v>0.4157303370786517</v>
      </c>
      <c r="AK11">
        <f t="shared" si="8"/>
        <v>1</v>
      </c>
      <c r="AL11">
        <f t="shared" si="9"/>
        <v>0.58426966292134841</v>
      </c>
      <c r="AM11">
        <f t="shared" si="10"/>
        <v>0.4157303370786517</v>
      </c>
      <c r="AQ11">
        <f t="shared" si="12"/>
        <v>10</v>
      </c>
      <c r="AR11">
        <f>F83</f>
        <v>0.69117647058823528</v>
      </c>
      <c r="AS11">
        <f>L83</f>
        <v>0.30882352941176472</v>
      </c>
      <c r="AT11">
        <f t="shared" si="11"/>
        <v>0.5</v>
      </c>
      <c r="AV11" s="20" t="s">
        <v>83</v>
      </c>
      <c r="AW11" s="8">
        <f>(G29-F29)/J29</f>
        <v>0.33823529411764708</v>
      </c>
      <c r="AX11" s="8">
        <f>H29/J29</f>
        <v>0.30882352941176472</v>
      </c>
      <c r="AY11" s="8">
        <f>(J29-I29)/J29</f>
        <v>0.35294117647058826</v>
      </c>
      <c r="BE11" s="8"/>
      <c r="BF11" s="8"/>
      <c r="BG11" s="8"/>
      <c r="BI11" s="8"/>
      <c r="BJ11" s="8"/>
      <c r="BK11" s="8"/>
    </row>
    <row r="12" spans="1:63" x14ac:dyDescent="0.25">
      <c r="A12" t="s">
        <v>24</v>
      </c>
      <c r="B12">
        <v>100</v>
      </c>
      <c r="C12">
        <f>0</f>
        <v>0</v>
      </c>
      <c r="D12">
        <v>10</v>
      </c>
      <c r="E12">
        <f t="shared" si="0"/>
        <v>90</v>
      </c>
      <c r="F12">
        <f>0</f>
        <v>0</v>
      </c>
      <c r="G12">
        <f>33-C12</f>
        <v>33</v>
      </c>
      <c r="I12">
        <f>62-C12</f>
        <v>62</v>
      </c>
      <c r="J12">
        <f t="shared" si="3"/>
        <v>90</v>
      </c>
      <c r="K12">
        <f>(G12-F12)/J12</f>
        <v>0.36666666666666664</v>
      </c>
      <c r="L12">
        <f>(J12-I12)/E12</f>
        <v>0.31111111111111112</v>
      </c>
      <c r="M12">
        <f>(I12-G12)/J12</f>
        <v>0.32222222222222224</v>
      </c>
      <c r="P12">
        <f t="shared" si="4"/>
        <v>1</v>
      </c>
      <c r="Q12">
        <f t="shared" si="5"/>
        <v>0.67777777777777781</v>
      </c>
      <c r="R12">
        <f t="shared" si="6"/>
        <v>0.32222222222222224</v>
      </c>
      <c r="V12" t="s">
        <v>24</v>
      </c>
      <c r="W12">
        <v>121</v>
      </c>
      <c r="X12">
        <v>12</v>
      </c>
      <c r="Y12">
        <v>20</v>
      </c>
      <c r="Z12">
        <f t="shared" si="1"/>
        <v>89</v>
      </c>
      <c r="AA12">
        <v>0</v>
      </c>
      <c r="AB12">
        <f>45-X12</f>
        <v>33</v>
      </c>
      <c r="AD12">
        <f>72-X12</f>
        <v>60</v>
      </c>
      <c r="AE12">
        <f t="shared" si="2"/>
        <v>89</v>
      </c>
      <c r="AF12">
        <f>(AB12-AA12)/AE12</f>
        <v>0.3707865168539326</v>
      </c>
      <c r="AG12">
        <f>(AE12-AD12)/AE12</f>
        <v>0.3258426966292135</v>
      </c>
      <c r="AH12">
        <f>(AD12-AB12)/AE12</f>
        <v>0.30337078651685395</v>
      </c>
      <c r="AK12">
        <f t="shared" si="8"/>
        <v>1</v>
      </c>
      <c r="AL12">
        <f t="shared" si="9"/>
        <v>0.6966292134831461</v>
      </c>
      <c r="AM12">
        <f t="shared" si="10"/>
        <v>0.30337078651685395</v>
      </c>
      <c r="AQ12">
        <f t="shared" si="12"/>
        <v>11</v>
      </c>
      <c r="AR12">
        <f>F87</f>
        <v>0.54069767441860461</v>
      </c>
      <c r="AS12">
        <f>L87</f>
        <v>0.45930232558139533</v>
      </c>
      <c r="AT12">
        <f t="shared" si="11"/>
        <v>1.6</v>
      </c>
      <c r="AV12" s="20" t="s">
        <v>83</v>
      </c>
      <c r="AW12" s="8">
        <f>(G33-F33)/J33</f>
        <v>0.27325581395348836</v>
      </c>
      <c r="AX12" s="8">
        <f>H33/J33</f>
        <v>0.45930232558139533</v>
      </c>
      <c r="AY12" s="8">
        <f>(J33-I33)/J33</f>
        <v>0.26744186046511625</v>
      </c>
      <c r="BA12" t="s">
        <v>122</v>
      </c>
      <c r="BB12" t="s">
        <v>130</v>
      </c>
      <c r="BE12" s="8" t="s">
        <v>126</v>
      </c>
      <c r="BF12" s="8" t="s">
        <v>130</v>
      </c>
      <c r="BG12" s="8"/>
      <c r="BI12" s="8" t="s">
        <v>127</v>
      </c>
      <c r="BJ12" s="8" t="s">
        <v>130</v>
      </c>
      <c r="BK12" s="8"/>
    </row>
    <row r="13" spans="1:63" x14ac:dyDescent="0.25">
      <c r="A13" s="1" t="s">
        <v>26</v>
      </c>
      <c r="B13" s="1">
        <v>100</v>
      </c>
      <c r="C13" s="1">
        <v>5</v>
      </c>
      <c r="D13" s="1">
        <v>4</v>
      </c>
      <c r="E13" s="1">
        <f t="shared" si="0"/>
        <v>91</v>
      </c>
      <c r="F13" s="1">
        <f>0</f>
        <v>0</v>
      </c>
      <c r="G13" s="1">
        <f>41-C13</f>
        <v>36</v>
      </c>
      <c r="H13" s="1">
        <f>I13-G13</f>
        <v>20</v>
      </c>
      <c r="I13" s="1">
        <f>61-C13</f>
        <v>56</v>
      </c>
      <c r="J13" s="1">
        <f t="shared" si="3"/>
        <v>91</v>
      </c>
      <c r="K13" s="1">
        <f>H13/J13</f>
        <v>0.21978021978021978</v>
      </c>
      <c r="L13" s="1"/>
      <c r="M13" s="1">
        <f>(G13-F13)/J13</f>
        <v>0.39560439560439559</v>
      </c>
      <c r="N13" s="1">
        <f>(J13-I13)/J13</f>
        <v>0.38461538461538464</v>
      </c>
      <c r="P13">
        <f t="shared" si="4"/>
        <v>1</v>
      </c>
      <c r="Q13">
        <f t="shared" si="5"/>
        <v>0.21978021978021978</v>
      </c>
      <c r="R13">
        <f t="shared" si="6"/>
        <v>0.78021978021978022</v>
      </c>
      <c r="V13" s="1" t="s">
        <v>26</v>
      </c>
      <c r="W13">
        <v>121</v>
      </c>
      <c r="X13">
        <v>15</v>
      </c>
      <c r="Y13">
        <v>15</v>
      </c>
      <c r="Z13">
        <f t="shared" si="1"/>
        <v>91</v>
      </c>
      <c r="AA13">
        <v>0</v>
      </c>
      <c r="AB13">
        <f>52-X13</f>
        <v>37</v>
      </c>
      <c r="AC13">
        <f>AD13-AB13</f>
        <v>18</v>
      </c>
      <c r="AD13">
        <f>70-X13</f>
        <v>55</v>
      </c>
      <c r="AE13">
        <f t="shared" si="2"/>
        <v>91</v>
      </c>
      <c r="AF13">
        <f>AC13/AE13</f>
        <v>0.19780219780219779</v>
      </c>
      <c r="AH13">
        <f>(AB13-AA13)/AE13</f>
        <v>0.40659340659340659</v>
      </c>
      <c r="AI13">
        <f>(AE13-AD13)/AE13</f>
        <v>0.39560439560439559</v>
      </c>
      <c r="AK13">
        <f t="shared" si="8"/>
        <v>1</v>
      </c>
      <c r="AL13">
        <f t="shared" si="9"/>
        <v>0.19780219780219779</v>
      </c>
      <c r="AM13">
        <f t="shared" si="10"/>
        <v>0.80219780219780223</v>
      </c>
      <c r="AQ13">
        <f t="shared" si="12"/>
        <v>12</v>
      </c>
      <c r="AR13">
        <f>F91</f>
        <v>0.3772455089820359</v>
      </c>
      <c r="AS13">
        <f>L91</f>
        <v>0.6227544910179641</v>
      </c>
      <c r="AT13">
        <f t="shared" si="11"/>
        <v>1.6</v>
      </c>
      <c r="AV13" s="20" t="s">
        <v>84</v>
      </c>
      <c r="AW13" s="8">
        <f>(G37-F37)/J37</f>
        <v>0.19161676646706588</v>
      </c>
      <c r="AX13" s="8">
        <f>H37/J37</f>
        <v>0.6227544910179641</v>
      </c>
      <c r="AY13" s="8">
        <f>(J37-I37)/J37</f>
        <v>0.18562874251497005</v>
      </c>
      <c r="BB13" t="s">
        <v>107</v>
      </c>
      <c r="BC13" t="s">
        <v>98</v>
      </c>
      <c r="BE13" s="8"/>
      <c r="BF13" s="8" t="s">
        <v>107</v>
      </c>
      <c r="BG13" s="8" t="s">
        <v>98</v>
      </c>
      <c r="BI13" s="8"/>
      <c r="BJ13" s="8" t="s">
        <v>107</v>
      </c>
      <c r="BK13" s="8" t="s">
        <v>98</v>
      </c>
    </row>
    <row r="14" spans="1:63" x14ac:dyDescent="0.25">
      <c r="A14" t="s">
        <v>25</v>
      </c>
      <c r="B14">
        <v>81</v>
      </c>
      <c r="C14">
        <f>16</f>
        <v>16</v>
      </c>
      <c r="D14">
        <v>15</v>
      </c>
      <c r="E14">
        <f t="shared" si="0"/>
        <v>50</v>
      </c>
      <c r="F14">
        <v>0</v>
      </c>
      <c r="G14">
        <f>30-C14</f>
        <v>14</v>
      </c>
      <c r="I14">
        <f>46-C14</f>
        <v>30</v>
      </c>
      <c r="J14">
        <f t="shared" si="3"/>
        <v>50</v>
      </c>
      <c r="K14">
        <f>(G14-F14)/J14</f>
        <v>0.28000000000000003</v>
      </c>
      <c r="L14">
        <f>(J14-I14)/J14</f>
        <v>0.4</v>
      </c>
      <c r="M14">
        <f>(I14-G14)/J14</f>
        <v>0.32</v>
      </c>
      <c r="P14">
        <f t="shared" si="4"/>
        <v>1</v>
      </c>
      <c r="Q14">
        <f t="shared" si="5"/>
        <v>0.68</v>
      </c>
      <c r="R14">
        <f t="shared" si="6"/>
        <v>0.32</v>
      </c>
      <c r="S14" s="3"/>
      <c r="V14" t="s">
        <v>25</v>
      </c>
      <c r="W14">
        <v>81</v>
      </c>
      <c r="X14">
        <v>16</v>
      </c>
      <c r="Y14">
        <v>14</v>
      </c>
      <c r="Z14">
        <f t="shared" si="1"/>
        <v>51</v>
      </c>
      <c r="AA14">
        <v>0</v>
      </c>
      <c r="AB14">
        <f>27-X14</f>
        <v>11</v>
      </c>
      <c r="AD14">
        <f>49-X14</f>
        <v>33</v>
      </c>
      <c r="AE14">
        <f t="shared" si="2"/>
        <v>51</v>
      </c>
      <c r="AF14">
        <f>(AB14-AA14)/AE14</f>
        <v>0.21568627450980393</v>
      </c>
      <c r="AG14">
        <f>(AE14-AD14)/AE14</f>
        <v>0.35294117647058826</v>
      </c>
      <c r="AH14">
        <f>(AD14-AB14)/AE14</f>
        <v>0.43137254901960786</v>
      </c>
      <c r="AK14">
        <f t="shared" si="8"/>
        <v>1</v>
      </c>
      <c r="AL14">
        <f t="shared" si="9"/>
        <v>0.56862745098039214</v>
      </c>
      <c r="AM14">
        <f t="shared" si="10"/>
        <v>0.43137254901960786</v>
      </c>
      <c r="AQ14">
        <f>14</f>
        <v>14</v>
      </c>
      <c r="AR14">
        <f>F103</f>
        <v>9.8837209302325577E-2</v>
      </c>
      <c r="AS14">
        <f>L103</f>
        <v>0.90116279069767447</v>
      </c>
      <c r="AT14">
        <f t="shared" si="11"/>
        <v>1.6</v>
      </c>
      <c r="AV14" s="20" t="s">
        <v>85</v>
      </c>
      <c r="AW14" s="8">
        <f>(G49-F49)/J49</f>
        <v>0.76162790697674421</v>
      </c>
      <c r="AX14" s="8">
        <f>H49/J49</f>
        <v>9.8837209302325577E-2</v>
      </c>
      <c r="AY14" s="8">
        <f>(J49-I49)/J49</f>
        <v>0.13953488372093023</v>
      </c>
      <c r="BB14">
        <f>'Plots for injection pts'!Q8</f>
        <v>1</v>
      </c>
      <c r="BC14" s="8">
        <f>'Plots for injection pts'!R8</f>
        <v>0.3</v>
      </c>
      <c r="BE14" s="8"/>
      <c r="BF14" s="8">
        <f>'Plots for injection pts'!AA3</f>
        <v>1</v>
      </c>
      <c r="BG14" s="8">
        <f>'Plots for injection pts'!AB3</f>
        <v>0.3</v>
      </c>
      <c r="BI14" s="8"/>
      <c r="BJ14" s="8">
        <f>'Plots for injection pts'!AA11</f>
        <v>0.68493150684931503</v>
      </c>
      <c r="BK14" s="8">
        <f>'Plots for injection pts'!AB11</f>
        <v>0.3</v>
      </c>
    </row>
    <row r="15" spans="1:63" x14ac:dyDescent="0.25">
      <c r="A15" t="s">
        <v>27</v>
      </c>
      <c r="B15">
        <f>81</f>
        <v>81</v>
      </c>
      <c r="C15">
        <f>17</f>
        <v>17</v>
      </c>
      <c r="D15">
        <f>14</f>
        <v>14</v>
      </c>
      <c r="E15">
        <f t="shared" si="0"/>
        <v>50</v>
      </c>
      <c r="F15">
        <f>0</f>
        <v>0</v>
      </c>
      <c r="G15">
        <f>37-C15</f>
        <v>20</v>
      </c>
      <c r="I15">
        <f>42-C15</f>
        <v>25</v>
      </c>
      <c r="J15">
        <f t="shared" si="3"/>
        <v>50</v>
      </c>
      <c r="K15">
        <f>(G15-F15)/J15</f>
        <v>0.4</v>
      </c>
      <c r="L15">
        <f>(J15-I15)/J15</f>
        <v>0.5</v>
      </c>
      <c r="M15">
        <f>(I15-G15)/J15</f>
        <v>0.1</v>
      </c>
      <c r="P15">
        <f t="shared" si="4"/>
        <v>1</v>
      </c>
      <c r="Q15">
        <f t="shared" si="5"/>
        <v>0.9</v>
      </c>
      <c r="R15">
        <f t="shared" si="6"/>
        <v>0.1</v>
      </c>
      <c r="S15" s="3"/>
      <c r="T15" s="21" t="s">
        <v>112</v>
      </c>
      <c r="V15" t="s">
        <v>27</v>
      </c>
      <c r="W15">
        <v>81</v>
      </c>
      <c r="X15">
        <v>17</v>
      </c>
      <c r="Y15">
        <v>15</v>
      </c>
      <c r="Z15">
        <f t="shared" si="1"/>
        <v>49</v>
      </c>
      <c r="AA15">
        <v>0</v>
      </c>
      <c r="AB15">
        <f>31-X15</f>
        <v>14</v>
      </c>
      <c r="AD15">
        <f>57-X15</f>
        <v>40</v>
      </c>
      <c r="AE15">
        <f t="shared" si="2"/>
        <v>49</v>
      </c>
      <c r="AF15">
        <f>(AB15-AA15)/AE15</f>
        <v>0.2857142857142857</v>
      </c>
      <c r="AG15">
        <f>(AE15-AD15)/AE15</f>
        <v>0.18367346938775511</v>
      </c>
      <c r="AH15">
        <f>(AD15-AB15)/AE15</f>
        <v>0.53061224489795922</v>
      </c>
      <c r="AK15">
        <f t="shared" si="8"/>
        <v>1</v>
      </c>
      <c r="AL15">
        <f t="shared" si="9"/>
        <v>0.46938775510204078</v>
      </c>
      <c r="AM15">
        <f t="shared" si="10"/>
        <v>0.53061224489795922</v>
      </c>
      <c r="BB15" s="8">
        <f>'Plots for injection pts'!Q9</f>
        <v>0.95774647887323949</v>
      </c>
      <c r="BC15" s="8">
        <f>'Plots for injection pts'!R9</f>
        <v>0.5</v>
      </c>
      <c r="BE15" s="8"/>
      <c r="BF15" s="8">
        <f>'Plots for injection pts'!AA4</f>
        <v>0.71641791044776126</v>
      </c>
      <c r="BG15" s="8">
        <f>'Plots for injection pts'!AB4</f>
        <v>0.5</v>
      </c>
      <c r="BI15" s="8"/>
      <c r="BJ15" s="8">
        <f>'Plots for injection pts'!AA12</f>
        <v>0.74626865671641784</v>
      </c>
      <c r="BK15" s="8">
        <f>'Plots for injection pts'!AB12</f>
        <v>0.5</v>
      </c>
    </row>
    <row r="16" spans="1:63" x14ac:dyDescent="0.25">
      <c r="A16" t="s">
        <v>28</v>
      </c>
      <c r="B16" s="3">
        <v>81</v>
      </c>
      <c r="C16" s="3">
        <v>18</v>
      </c>
      <c r="D16" s="3">
        <v>15</v>
      </c>
      <c r="E16" s="3">
        <f t="shared" si="0"/>
        <v>48</v>
      </c>
      <c r="F16" s="3">
        <v>0</v>
      </c>
      <c r="G16" s="3">
        <v>0</v>
      </c>
      <c r="H16" s="3"/>
      <c r="I16" s="3">
        <v>0</v>
      </c>
      <c r="J16" s="3">
        <f t="shared" si="3"/>
        <v>48</v>
      </c>
      <c r="K16" s="3">
        <f>(G16-F16)/J16</f>
        <v>0</v>
      </c>
      <c r="L16" s="3">
        <f>(J16-I16)/J16</f>
        <v>1</v>
      </c>
      <c r="M16" s="3">
        <f>(I16-G16)/J16</f>
        <v>0</v>
      </c>
      <c r="N16" s="3"/>
      <c r="P16">
        <f t="shared" si="4"/>
        <v>1</v>
      </c>
      <c r="Q16">
        <f t="shared" si="5"/>
        <v>1</v>
      </c>
      <c r="R16">
        <f t="shared" si="6"/>
        <v>0</v>
      </c>
      <c r="S16" s="3"/>
      <c r="V16" t="s">
        <v>28</v>
      </c>
      <c r="W16">
        <v>81</v>
      </c>
      <c r="X16">
        <v>18</v>
      </c>
      <c r="Y16">
        <f>16</f>
        <v>16</v>
      </c>
      <c r="Z16">
        <f t="shared" si="1"/>
        <v>47</v>
      </c>
      <c r="AA16">
        <f>0</f>
        <v>0</v>
      </c>
      <c r="AB16">
        <f>25-X16</f>
        <v>7</v>
      </c>
      <c r="AD16">
        <f>50-X16</f>
        <v>32</v>
      </c>
      <c r="AE16">
        <f t="shared" si="2"/>
        <v>47</v>
      </c>
      <c r="AF16">
        <f>(AB16-AA16)/AE16</f>
        <v>0.14893617021276595</v>
      </c>
      <c r="AG16">
        <f>(AE16-AD16)/AE16</f>
        <v>0.31914893617021278</v>
      </c>
      <c r="AH16">
        <f>(AD16-AB16)/AE16</f>
        <v>0.53191489361702127</v>
      </c>
      <c r="AK16">
        <f t="shared" si="8"/>
        <v>1</v>
      </c>
      <c r="AL16">
        <f t="shared" si="9"/>
        <v>0.46808510638297873</v>
      </c>
      <c r="AM16">
        <f t="shared" si="10"/>
        <v>0.53191489361702127</v>
      </c>
      <c r="BB16" s="8">
        <f>'Plots for injection pts'!Q10</f>
        <v>0.60919540229885061</v>
      </c>
      <c r="BC16" s="8">
        <f>'Plots for injection pts'!R10</f>
        <v>1</v>
      </c>
      <c r="BE16" s="8"/>
      <c r="BF16" s="8">
        <f>'Plots for injection pts'!AA5</f>
        <v>0.67777777777777781</v>
      </c>
      <c r="BG16" s="8">
        <f>'Plots for injection pts'!AB5</f>
        <v>1</v>
      </c>
      <c r="BI16" s="8"/>
      <c r="BJ16" s="8">
        <f>'Plots for injection pts'!AA13</f>
        <v>0.66292134831460681</v>
      </c>
      <c r="BK16" s="8">
        <f>'Plots for injection pts'!AB13</f>
        <v>1</v>
      </c>
    </row>
    <row r="17" spans="1:63" x14ac:dyDescent="0.25">
      <c r="A17" s="1" t="s">
        <v>29</v>
      </c>
      <c r="B17" s="1">
        <v>100</v>
      </c>
      <c r="C17" s="1">
        <v>13</v>
      </c>
      <c r="D17" s="1">
        <v>10</v>
      </c>
      <c r="E17" s="1">
        <f t="shared" si="0"/>
        <v>77</v>
      </c>
      <c r="F17" s="1">
        <f>0</f>
        <v>0</v>
      </c>
      <c r="G17" s="1">
        <f>37-C17</f>
        <v>24</v>
      </c>
      <c r="H17" s="1">
        <f>I17-G17</f>
        <v>36</v>
      </c>
      <c r="I17" s="1">
        <f>73-C17</f>
        <v>60</v>
      </c>
      <c r="J17" s="1">
        <f t="shared" si="3"/>
        <v>77</v>
      </c>
      <c r="K17" s="1">
        <f>H17/J17</f>
        <v>0.46753246753246752</v>
      </c>
      <c r="L17" s="1"/>
      <c r="M17" s="1">
        <f>(G17-F17)/J17</f>
        <v>0.31168831168831168</v>
      </c>
      <c r="N17" s="1">
        <f>(J17-I17)/J17</f>
        <v>0.22077922077922077</v>
      </c>
      <c r="P17">
        <f t="shared" si="4"/>
        <v>1</v>
      </c>
      <c r="Q17">
        <f t="shared" si="5"/>
        <v>0.46753246753246752</v>
      </c>
      <c r="R17">
        <f t="shared" si="6"/>
        <v>0.53246753246753242</v>
      </c>
      <c r="V17" s="1" t="s">
        <v>29</v>
      </c>
      <c r="W17">
        <v>101</v>
      </c>
      <c r="X17">
        <v>10</v>
      </c>
      <c r="Y17">
        <v>4</v>
      </c>
      <c r="Z17">
        <f t="shared" si="1"/>
        <v>87</v>
      </c>
      <c r="AA17">
        <v>0</v>
      </c>
      <c r="AB17">
        <f>42-X17</f>
        <v>32</v>
      </c>
      <c r="AC17">
        <f>AD17-AB17</f>
        <v>32</v>
      </c>
      <c r="AD17">
        <f>74-X17</f>
        <v>64</v>
      </c>
      <c r="AE17">
        <f t="shared" si="2"/>
        <v>87</v>
      </c>
      <c r="AF17">
        <f>AC17/AE17</f>
        <v>0.36781609195402298</v>
      </c>
      <c r="AH17">
        <f>(AB17-AA17)/AE17</f>
        <v>0.36781609195402298</v>
      </c>
      <c r="AI17">
        <f>(AE17-AD17)/AE17</f>
        <v>0.26436781609195403</v>
      </c>
      <c r="AK17">
        <f t="shared" si="8"/>
        <v>1</v>
      </c>
      <c r="AL17">
        <f t="shared" si="9"/>
        <v>0.36781609195402298</v>
      </c>
      <c r="AM17">
        <f t="shared" si="10"/>
        <v>0.63218390804597702</v>
      </c>
      <c r="AR17" t="s">
        <v>93</v>
      </c>
      <c r="BB17" s="8">
        <f>'Plots for injection pts'!Q11</f>
        <v>0.39490445859872614</v>
      </c>
      <c r="BC17" s="8">
        <f>'Plots for injection pts'!R11</f>
        <v>1.6</v>
      </c>
      <c r="BE17" s="8"/>
      <c r="BF17" s="8">
        <f>'Plots for injection pts'!AA6</f>
        <v>0.45348837209302328</v>
      </c>
      <c r="BG17" s="8">
        <f>'Plots for injection pts'!AB6</f>
        <v>1.6</v>
      </c>
      <c r="BI17" s="8"/>
      <c r="BJ17" s="8">
        <f>'Plots for injection pts'!AA14</f>
        <v>9.5238095238095233E-2</v>
      </c>
      <c r="BK17" s="8">
        <f>'Plots for injection pts'!AB14</f>
        <v>1.6</v>
      </c>
    </row>
    <row r="18" spans="1:63" ht="18.75" x14ac:dyDescent="0.3">
      <c r="A18" t="s">
        <v>30</v>
      </c>
      <c r="B18">
        <v>76</v>
      </c>
      <c r="C18">
        <v>0</v>
      </c>
      <c r="D18">
        <v>0</v>
      </c>
      <c r="E18">
        <f t="shared" si="0"/>
        <v>76</v>
      </c>
      <c r="F18">
        <v>0</v>
      </c>
      <c r="G18">
        <f>23-C18</f>
        <v>23</v>
      </c>
      <c r="I18">
        <f>50-C18</f>
        <v>50</v>
      </c>
      <c r="J18">
        <f t="shared" si="3"/>
        <v>76</v>
      </c>
      <c r="K18">
        <f>(G18-F18)/J18</f>
        <v>0.30263157894736842</v>
      </c>
      <c r="L18">
        <f>(J18-I18)/J18</f>
        <v>0.34210526315789475</v>
      </c>
      <c r="M18">
        <f>(I18-G18)/J18</f>
        <v>0.35526315789473684</v>
      </c>
      <c r="P18">
        <f t="shared" si="4"/>
        <v>1</v>
      </c>
      <c r="Q18">
        <f t="shared" si="5"/>
        <v>0.64473684210526316</v>
      </c>
      <c r="R18">
        <f t="shared" si="6"/>
        <v>0.35526315789473684</v>
      </c>
      <c r="V18" t="s">
        <v>30</v>
      </c>
      <c r="W18">
        <v>81</v>
      </c>
      <c r="X18">
        <v>5</v>
      </c>
      <c r="Y18">
        <v>3</v>
      </c>
      <c r="Z18">
        <f t="shared" si="1"/>
        <v>73</v>
      </c>
      <c r="AA18">
        <v>0</v>
      </c>
      <c r="AB18">
        <f>27-X18</f>
        <v>22</v>
      </c>
      <c r="AD18">
        <f>51-X18</f>
        <v>46</v>
      </c>
      <c r="AE18">
        <f t="shared" si="2"/>
        <v>73</v>
      </c>
      <c r="AF18">
        <f>(AB18-AA18)/AE18</f>
        <v>0.30136986301369861</v>
      </c>
      <c r="AG18">
        <f>(AE18-AD18)/AE18</f>
        <v>0.36986301369863012</v>
      </c>
      <c r="AH18">
        <f>(AD18-AB18)/AE18</f>
        <v>0.32876712328767121</v>
      </c>
      <c r="AK18">
        <f t="shared" si="8"/>
        <v>1</v>
      </c>
      <c r="AL18">
        <f t="shared" si="9"/>
        <v>0.67123287671232879</v>
      </c>
      <c r="AM18">
        <f t="shared" si="10"/>
        <v>0.32876712328767121</v>
      </c>
      <c r="AR18" s="2" t="s">
        <v>50</v>
      </c>
      <c r="AS18" s="10" t="s">
        <v>92</v>
      </c>
      <c r="AT18" s="10" t="s">
        <v>91</v>
      </c>
      <c r="BB18" s="8"/>
    </row>
    <row r="19" spans="1:63" x14ac:dyDescent="0.25">
      <c r="A19" t="s">
        <v>31</v>
      </c>
      <c r="B19">
        <v>72</v>
      </c>
      <c r="C19">
        <v>1</v>
      </c>
      <c r="D19">
        <v>5</v>
      </c>
      <c r="E19">
        <f t="shared" si="0"/>
        <v>66</v>
      </c>
      <c r="F19">
        <v>0</v>
      </c>
      <c r="G19">
        <f>24-C19</f>
        <v>23</v>
      </c>
      <c r="I19">
        <f>44-C19</f>
        <v>43</v>
      </c>
      <c r="J19">
        <f t="shared" si="3"/>
        <v>66</v>
      </c>
      <c r="K19">
        <f>(G19-F19)/J19</f>
        <v>0.34848484848484851</v>
      </c>
      <c r="L19">
        <f>(J19-I19)/J19</f>
        <v>0.34848484848484851</v>
      </c>
      <c r="M19">
        <f>(I19-G19)/J19</f>
        <v>0.30303030303030304</v>
      </c>
      <c r="P19">
        <f t="shared" si="4"/>
        <v>1</v>
      </c>
      <c r="Q19">
        <f t="shared" si="5"/>
        <v>0.69696969696969702</v>
      </c>
      <c r="R19">
        <f t="shared" si="6"/>
        <v>0.30303030303030304</v>
      </c>
      <c r="V19" t="s">
        <v>31</v>
      </c>
      <c r="W19">
        <v>81</v>
      </c>
      <c r="X19">
        <v>11</v>
      </c>
      <c r="Y19">
        <v>4</v>
      </c>
      <c r="Z19">
        <f t="shared" si="1"/>
        <v>66</v>
      </c>
      <c r="AA19">
        <v>0</v>
      </c>
      <c r="AB19">
        <f>34-X19</f>
        <v>23</v>
      </c>
      <c r="AD19">
        <f>52-X19</f>
        <v>41</v>
      </c>
      <c r="AE19">
        <f t="shared" si="2"/>
        <v>66</v>
      </c>
      <c r="AF19">
        <f>(AB19-AA19)/AE19</f>
        <v>0.34848484848484851</v>
      </c>
      <c r="AG19">
        <f>(AE19-AD19)/AE19</f>
        <v>0.37878787878787878</v>
      </c>
      <c r="AH19">
        <f>(AD19-AB19)/AE19</f>
        <v>0.27272727272727271</v>
      </c>
      <c r="AK19">
        <f t="shared" si="8"/>
        <v>1</v>
      </c>
      <c r="AL19">
        <f t="shared" si="9"/>
        <v>0.72727272727272729</v>
      </c>
      <c r="AM19">
        <f t="shared" si="10"/>
        <v>0.27272727272727271</v>
      </c>
      <c r="AR19" t="s">
        <v>14</v>
      </c>
      <c r="AS19">
        <f>12</f>
        <v>12</v>
      </c>
      <c r="AT19" s="8">
        <v>1</v>
      </c>
      <c r="AU19">
        <f>($G2-$F2)/$J2</f>
        <v>0.2988505747126437</v>
      </c>
      <c r="AV19">
        <f>($I2-$G2)/$J2</f>
        <v>0.40229885057471265</v>
      </c>
      <c r="AW19">
        <f>($J2-$I2)/$J2</f>
        <v>0.2988505747126437</v>
      </c>
      <c r="BA19" s="8"/>
      <c r="BB19" s="8"/>
      <c r="BC19" s="8"/>
      <c r="BD19" s="8"/>
      <c r="BE19" s="8"/>
      <c r="BF19" s="8"/>
      <c r="BG19" s="8"/>
    </row>
    <row r="20" spans="1:63" x14ac:dyDescent="0.25">
      <c r="A20" s="23" t="s">
        <v>32</v>
      </c>
      <c r="B20">
        <v>81</v>
      </c>
      <c r="C20">
        <v>10</v>
      </c>
      <c r="D20">
        <v>0</v>
      </c>
      <c r="E20">
        <f t="shared" si="0"/>
        <v>71</v>
      </c>
      <c r="F20">
        <v>0</v>
      </c>
      <c r="G20">
        <f>45-C20</f>
        <v>35</v>
      </c>
      <c r="I20">
        <f>48-C20</f>
        <v>38</v>
      </c>
      <c r="J20">
        <f t="shared" si="3"/>
        <v>71</v>
      </c>
      <c r="K20">
        <f>(G20-F20)/J20</f>
        <v>0.49295774647887325</v>
      </c>
      <c r="L20">
        <f>(J20-I20)/J20</f>
        <v>0.46478873239436619</v>
      </c>
      <c r="M20">
        <f>(I20-G20)/J20</f>
        <v>4.2253521126760563E-2</v>
      </c>
      <c r="P20">
        <f t="shared" si="4"/>
        <v>1</v>
      </c>
      <c r="Q20">
        <f t="shared" si="5"/>
        <v>0.95774647887323949</v>
      </c>
      <c r="R20">
        <f t="shared" si="6"/>
        <v>4.2253521126760563E-2</v>
      </c>
      <c r="V20" t="s">
        <v>32</v>
      </c>
      <c r="W20">
        <v>81</v>
      </c>
      <c r="X20">
        <v>10</v>
      </c>
      <c r="Y20">
        <v>7</v>
      </c>
      <c r="Z20">
        <f t="shared" si="1"/>
        <v>64</v>
      </c>
      <c r="AA20">
        <v>0</v>
      </c>
      <c r="AB20">
        <f>45-X20</f>
        <v>35</v>
      </c>
      <c r="AD20">
        <f>48-X20</f>
        <v>38</v>
      </c>
      <c r="AE20">
        <f t="shared" si="2"/>
        <v>64</v>
      </c>
      <c r="AF20">
        <f>(AB20-AA20)/AE20</f>
        <v>0.546875</v>
      </c>
      <c r="AG20">
        <f>(AE20-AD20)/AE20</f>
        <v>0.40625</v>
      </c>
      <c r="AH20">
        <f>(AD20-AB20)/AE20</f>
        <v>4.6875E-2</v>
      </c>
      <c r="AK20">
        <f t="shared" si="8"/>
        <v>1</v>
      </c>
      <c r="AL20">
        <f t="shared" si="9"/>
        <v>0.953125</v>
      </c>
      <c r="AM20">
        <f t="shared" si="10"/>
        <v>4.6875E-2</v>
      </c>
      <c r="AR20" t="s">
        <v>15</v>
      </c>
      <c r="AS20">
        <v>27</v>
      </c>
      <c r="AT20" s="8">
        <v>1</v>
      </c>
      <c r="AU20">
        <f>($G3-$F3)/$J3</f>
        <v>0.31111111111111112</v>
      </c>
      <c r="AV20">
        <f t="shared" ref="AV20:AV21" si="13">($I3-$G3)/$J3</f>
        <v>0.41111111111111109</v>
      </c>
      <c r="AW20">
        <f t="shared" ref="AW20:AW21" si="14">($J3-$I3)/$J3</f>
        <v>0.27777777777777779</v>
      </c>
      <c r="BA20" s="8"/>
      <c r="BB20" s="8"/>
      <c r="BC20" s="8"/>
      <c r="BD20" s="8"/>
      <c r="BE20" s="8"/>
      <c r="BF20" s="8"/>
      <c r="BG20" s="8"/>
    </row>
    <row r="21" spans="1:63" x14ac:dyDescent="0.25">
      <c r="A21" s="1" t="s">
        <v>33</v>
      </c>
      <c r="B21" s="1">
        <v>81</v>
      </c>
      <c r="C21" s="1">
        <v>10</v>
      </c>
      <c r="D21" s="1">
        <v>6</v>
      </c>
      <c r="E21" s="1">
        <f t="shared" si="0"/>
        <v>65</v>
      </c>
      <c r="F21" s="1">
        <f>0</f>
        <v>0</v>
      </c>
      <c r="G21" s="1">
        <f>39-C21</f>
        <v>29</v>
      </c>
      <c r="H21" s="1">
        <f>I21-G21</f>
        <v>14</v>
      </c>
      <c r="I21" s="1">
        <f>53-C21</f>
        <v>43</v>
      </c>
      <c r="J21" s="1">
        <f t="shared" si="3"/>
        <v>65</v>
      </c>
      <c r="K21" s="1">
        <f>H21/J21</f>
        <v>0.2153846153846154</v>
      </c>
      <c r="L21" s="1"/>
      <c r="M21" s="1">
        <f>(G21-F21)/J21</f>
        <v>0.44615384615384618</v>
      </c>
      <c r="N21" s="1">
        <f>(J21-I21)/J21</f>
        <v>0.33846153846153848</v>
      </c>
      <c r="P21">
        <f t="shared" si="4"/>
        <v>1</v>
      </c>
      <c r="Q21">
        <f t="shared" si="5"/>
        <v>0.2153846153846154</v>
      </c>
      <c r="R21">
        <f t="shared" si="6"/>
        <v>0.78461538461538471</v>
      </c>
      <c r="V21" s="1" t="s">
        <v>33</v>
      </c>
      <c r="W21">
        <v>81</v>
      </c>
      <c r="X21">
        <v>3</v>
      </c>
      <c r="Y21">
        <v>2</v>
      </c>
      <c r="Z21">
        <f t="shared" si="1"/>
        <v>76</v>
      </c>
      <c r="AA21">
        <v>0</v>
      </c>
      <c r="AB21">
        <f>38-X21</f>
        <v>35</v>
      </c>
      <c r="AC21">
        <f>AD21-AB21</f>
        <v>15</v>
      </c>
      <c r="AD21">
        <f>53-X21</f>
        <v>50</v>
      </c>
      <c r="AE21">
        <f t="shared" si="2"/>
        <v>76</v>
      </c>
      <c r="AF21">
        <f>AC21/AE21</f>
        <v>0.19736842105263158</v>
      </c>
      <c r="AH21">
        <f>(AB21-AA21)/AE21</f>
        <v>0.46052631578947367</v>
      </c>
      <c r="AI21">
        <f>(AE21-AD21)/AE21</f>
        <v>0.34210526315789475</v>
      </c>
      <c r="AK21">
        <f t="shared" si="8"/>
        <v>1</v>
      </c>
      <c r="AL21">
        <f t="shared" si="9"/>
        <v>0.19736842105263158</v>
      </c>
      <c r="AM21">
        <f t="shared" si="10"/>
        <v>0.80263157894736836</v>
      </c>
      <c r="AR21" t="s">
        <v>16</v>
      </c>
      <c r="AS21">
        <v>42</v>
      </c>
      <c r="AT21" s="8">
        <v>1</v>
      </c>
      <c r="AU21">
        <f t="shared" ref="AU21" si="15">($G4-$F4)/$J4</f>
        <v>0.35632183908045978</v>
      </c>
      <c r="AV21">
        <f t="shared" si="13"/>
        <v>0.39080459770114945</v>
      </c>
      <c r="AW21">
        <f t="shared" si="14"/>
        <v>0.25287356321839083</v>
      </c>
      <c r="BA21" s="8"/>
      <c r="BB21" s="8"/>
      <c r="BC21" s="8"/>
      <c r="BD21" s="8"/>
      <c r="BE21" s="8"/>
      <c r="BF21" s="8"/>
      <c r="BG21" s="8"/>
    </row>
    <row r="22" spans="1:63" x14ac:dyDescent="0.25">
      <c r="A22" t="s">
        <v>34</v>
      </c>
      <c r="B22">
        <v>73</v>
      </c>
      <c r="C22">
        <v>0</v>
      </c>
      <c r="D22">
        <v>0</v>
      </c>
      <c r="E22">
        <f t="shared" si="0"/>
        <v>73</v>
      </c>
      <c r="F22">
        <v>0</v>
      </c>
      <c r="G22">
        <f>14-C22</f>
        <v>14</v>
      </c>
      <c r="I22">
        <f>55 -C22</f>
        <v>55</v>
      </c>
      <c r="J22">
        <f t="shared" si="3"/>
        <v>73</v>
      </c>
      <c r="K22">
        <f>(G22-F22)/J22</f>
        <v>0.19178082191780821</v>
      </c>
      <c r="L22">
        <f>(J22-I22)/J22</f>
        <v>0.24657534246575341</v>
      </c>
      <c r="M22">
        <f>(I22-G22)/J22</f>
        <v>0.56164383561643838</v>
      </c>
      <c r="P22">
        <f t="shared" si="4"/>
        <v>1</v>
      </c>
      <c r="Q22">
        <f t="shared" si="5"/>
        <v>0.43835616438356162</v>
      </c>
      <c r="R22">
        <f t="shared" si="6"/>
        <v>0.56164383561643838</v>
      </c>
      <c r="V22" t="s">
        <v>34</v>
      </c>
      <c r="W22">
        <v>81</v>
      </c>
      <c r="X22">
        <v>6</v>
      </c>
      <c r="Y22">
        <v>2</v>
      </c>
      <c r="Z22">
        <f t="shared" si="1"/>
        <v>73</v>
      </c>
      <c r="AA22">
        <v>0</v>
      </c>
      <c r="AB22">
        <f>22-X22</f>
        <v>16</v>
      </c>
      <c r="AD22">
        <f>52-X22</f>
        <v>46</v>
      </c>
      <c r="AE22">
        <f t="shared" si="2"/>
        <v>73</v>
      </c>
      <c r="AF22">
        <f>(AB22-AA22)/AE22</f>
        <v>0.21917808219178081</v>
      </c>
      <c r="AG22">
        <f>(AE22-AD22)/AE22</f>
        <v>0.36986301369863012</v>
      </c>
      <c r="AH22">
        <f>(AD22-AB22)/AE22</f>
        <v>0.41095890410958902</v>
      </c>
      <c r="AK22">
        <f t="shared" si="8"/>
        <v>0.99999999999999989</v>
      </c>
      <c r="AL22">
        <f t="shared" si="9"/>
        <v>0.58904109589041087</v>
      </c>
      <c r="AM22">
        <f t="shared" si="10"/>
        <v>0.41095890410958902</v>
      </c>
      <c r="AR22" t="s">
        <v>18</v>
      </c>
      <c r="AS22">
        <v>12</v>
      </c>
      <c r="AT22" s="8">
        <v>1</v>
      </c>
      <c r="AU22">
        <f>($G6-$F6)/$J6</f>
        <v>0.21590909090909091</v>
      </c>
      <c r="AV22">
        <f>($I6-$G6)/$J6</f>
        <v>0.56818181818181823</v>
      </c>
      <c r="AW22">
        <f>($J6-$I6)/$J6</f>
        <v>0.21590909090909091</v>
      </c>
      <c r="BA22" s="8"/>
      <c r="BB22" s="8"/>
      <c r="BC22" s="8"/>
      <c r="BD22" s="8"/>
      <c r="BE22" s="8"/>
      <c r="BF22" s="8"/>
      <c r="BG22" s="8"/>
    </row>
    <row r="23" spans="1:63" x14ac:dyDescent="0.25">
      <c r="A23" s="23" t="s">
        <v>35</v>
      </c>
      <c r="B23">
        <v>81</v>
      </c>
      <c r="C23">
        <v>7</v>
      </c>
      <c r="D23">
        <v>8</v>
      </c>
      <c r="E23">
        <f t="shared" si="0"/>
        <v>66</v>
      </c>
      <c r="F23">
        <v>0</v>
      </c>
      <c r="G23">
        <f>24-C23</f>
        <v>17</v>
      </c>
      <c r="I23">
        <f>55-C23</f>
        <v>48</v>
      </c>
      <c r="J23">
        <f t="shared" si="3"/>
        <v>66</v>
      </c>
      <c r="K23">
        <f>(G23-F23)/J23</f>
        <v>0.25757575757575757</v>
      </c>
      <c r="L23">
        <f>(J23-I23)/J23</f>
        <v>0.27272727272727271</v>
      </c>
      <c r="M23">
        <f>(I23-G23)/J23</f>
        <v>0.46969696969696972</v>
      </c>
      <c r="P23">
        <f t="shared" si="4"/>
        <v>1</v>
      </c>
      <c r="Q23">
        <f t="shared" si="5"/>
        <v>0.53030303030303028</v>
      </c>
      <c r="R23">
        <f t="shared" si="6"/>
        <v>0.46969696969696972</v>
      </c>
      <c r="V23" t="s">
        <v>35</v>
      </c>
      <c r="W23">
        <v>81</v>
      </c>
      <c r="X23">
        <v>7</v>
      </c>
      <c r="Y23">
        <v>8</v>
      </c>
      <c r="Z23">
        <f t="shared" si="1"/>
        <v>66</v>
      </c>
      <c r="AA23">
        <v>0</v>
      </c>
      <c r="AB23">
        <f>24-X23</f>
        <v>17</v>
      </c>
      <c r="AD23">
        <f>30-X23</f>
        <v>23</v>
      </c>
      <c r="AE23">
        <f t="shared" si="2"/>
        <v>66</v>
      </c>
      <c r="AF23">
        <f>(AB23-AA23)/AE23</f>
        <v>0.25757575757575757</v>
      </c>
      <c r="AG23">
        <f>(AE23-AD23)/AE23</f>
        <v>0.65151515151515149</v>
      </c>
      <c r="AH23">
        <f>(AD23-AB23)/AE23</f>
        <v>9.0909090909090912E-2</v>
      </c>
      <c r="AK23">
        <f t="shared" si="8"/>
        <v>1</v>
      </c>
      <c r="AL23">
        <f t="shared" si="9"/>
        <v>0.90909090909090906</v>
      </c>
      <c r="AM23">
        <f t="shared" si="10"/>
        <v>9.0909090909090912E-2</v>
      </c>
      <c r="AR23" t="s">
        <v>19</v>
      </c>
      <c r="AS23">
        <v>27</v>
      </c>
      <c r="AT23" s="8">
        <v>1</v>
      </c>
      <c r="AU23">
        <f>($G7-$F7)/$J7</f>
        <v>0.32222222222222224</v>
      </c>
      <c r="AV23">
        <f>($I7-$G7)/$J7</f>
        <v>0.37777777777777777</v>
      </c>
      <c r="AW23">
        <f>($J7-$I7)/$J7</f>
        <v>0.3</v>
      </c>
      <c r="BA23" s="8"/>
      <c r="BB23" s="8"/>
      <c r="BC23" s="8"/>
      <c r="BD23" s="8"/>
      <c r="BE23" s="8"/>
      <c r="BF23" s="8"/>
      <c r="BG23" s="8"/>
    </row>
    <row r="24" spans="1:63" x14ac:dyDescent="0.25">
      <c r="A24" t="s">
        <v>36</v>
      </c>
      <c r="B24">
        <v>67</v>
      </c>
      <c r="C24">
        <v>0</v>
      </c>
      <c r="D24">
        <v>0</v>
      </c>
      <c r="E24">
        <f t="shared" si="0"/>
        <v>67</v>
      </c>
      <c r="F24">
        <v>0</v>
      </c>
      <c r="G24">
        <f>23-C24</f>
        <v>23</v>
      </c>
      <c r="I24">
        <f>40-C24</f>
        <v>40</v>
      </c>
      <c r="J24">
        <f t="shared" si="3"/>
        <v>67</v>
      </c>
      <c r="K24">
        <f>(G24-F24)/J24</f>
        <v>0.34328358208955223</v>
      </c>
      <c r="L24">
        <f>(J24-I24)/J24</f>
        <v>0.40298507462686567</v>
      </c>
      <c r="M24">
        <f>(I24-G24)/J24</f>
        <v>0.2537313432835821</v>
      </c>
      <c r="P24">
        <f t="shared" si="4"/>
        <v>1</v>
      </c>
      <c r="Q24">
        <f t="shared" si="5"/>
        <v>0.74626865671641784</v>
      </c>
      <c r="R24">
        <f t="shared" si="6"/>
        <v>0.2537313432835821</v>
      </c>
      <c r="V24" t="s">
        <v>36</v>
      </c>
      <c r="W24">
        <v>81</v>
      </c>
      <c r="X24">
        <v>5</v>
      </c>
      <c r="Y24">
        <v>11</v>
      </c>
      <c r="Z24">
        <f t="shared" si="1"/>
        <v>65</v>
      </c>
      <c r="AA24">
        <v>0</v>
      </c>
      <c r="AB24">
        <f>26-X24</f>
        <v>21</v>
      </c>
      <c r="AD24">
        <f>43-X24</f>
        <v>38</v>
      </c>
      <c r="AE24">
        <f t="shared" si="2"/>
        <v>65</v>
      </c>
      <c r="AF24">
        <f>(AB24-AA24)/AE24</f>
        <v>0.32307692307692309</v>
      </c>
      <c r="AG24">
        <f>(AE24-AD24)/AE24</f>
        <v>0.41538461538461541</v>
      </c>
      <c r="AH24">
        <f>(AD24-AB24)/AE24</f>
        <v>0.26153846153846155</v>
      </c>
      <c r="AK24">
        <f t="shared" si="8"/>
        <v>1</v>
      </c>
      <c r="AL24">
        <f t="shared" si="9"/>
        <v>0.7384615384615385</v>
      </c>
      <c r="AM24">
        <f t="shared" si="10"/>
        <v>0.26153846153846155</v>
      </c>
      <c r="AR24" t="s">
        <v>20</v>
      </c>
      <c r="AS24">
        <v>42</v>
      </c>
      <c r="AT24" s="8">
        <v>1</v>
      </c>
      <c r="AU24">
        <f>($G8-$F8)/$J8</f>
        <v>0.34831460674157305</v>
      </c>
      <c r="AV24">
        <f>($I8-$G8)/$J8</f>
        <v>0.33707865168539325</v>
      </c>
      <c r="AW24">
        <f>($J8-$I8)/$J8</f>
        <v>0.3146067415730337</v>
      </c>
      <c r="BA24" s="8"/>
      <c r="BB24" s="8"/>
      <c r="BC24" s="8"/>
      <c r="BD24" s="8"/>
      <c r="BE24" s="8"/>
      <c r="BF24" s="8"/>
      <c r="BG24" s="8"/>
    </row>
    <row r="25" spans="1:63" x14ac:dyDescent="0.25">
      <c r="A25" s="23" t="s">
        <v>37</v>
      </c>
      <c r="B25" s="1">
        <v>81</v>
      </c>
      <c r="C25" s="1">
        <v>5</v>
      </c>
      <c r="D25" s="1">
        <v>6</v>
      </c>
      <c r="E25" s="1">
        <f t="shared" si="0"/>
        <v>70</v>
      </c>
      <c r="F25" s="1">
        <v>0</v>
      </c>
      <c r="G25" s="1">
        <f>29-C25</f>
        <v>24</v>
      </c>
      <c r="H25" s="1">
        <f>I25-G25</f>
        <v>15</v>
      </c>
      <c r="I25" s="1">
        <f>44-C25</f>
        <v>39</v>
      </c>
      <c r="J25" s="1">
        <f t="shared" si="3"/>
        <v>70</v>
      </c>
      <c r="K25" s="1">
        <f>H25/J25</f>
        <v>0.21428571428571427</v>
      </c>
      <c r="L25" s="1"/>
      <c r="M25" s="1">
        <f>(G25-F25)/J25</f>
        <v>0.34285714285714286</v>
      </c>
      <c r="N25" s="1">
        <f>(J25-I25)/J25</f>
        <v>0.44285714285714284</v>
      </c>
      <c r="P25">
        <f t="shared" si="4"/>
        <v>1</v>
      </c>
      <c r="Q25">
        <f t="shared" si="5"/>
        <v>0.21428571428571427</v>
      </c>
      <c r="R25">
        <f t="shared" si="6"/>
        <v>0.7857142857142857</v>
      </c>
      <c r="V25" s="1" t="s">
        <v>37</v>
      </c>
      <c r="W25">
        <v>81</v>
      </c>
      <c r="X25">
        <v>5</v>
      </c>
      <c r="Y25">
        <v>0</v>
      </c>
      <c r="Z25">
        <f t="shared" si="1"/>
        <v>76</v>
      </c>
      <c r="AA25">
        <v>0</v>
      </c>
      <c r="AB25">
        <f>34-X25</f>
        <v>29</v>
      </c>
      <c r="AC25">
        <f>AD25-AB25</f>
        <v>11</v>
      </c>
      <c r="AD25">
        <f>45-X25</f>
        <v>40</v>
      </c>
      <c r="AE25">
        <f t="shared" si="2"/>
        <v>76</v>
      </c>
      <c r="AF25">
        <f>AC25/AE25</f>
        <v>0.14473684210526316</v>
      </c>
      <c r="AH25">
        <f>(AB25-AA25)/AE25</f>
        <v>0.38157894736842107</v>
      </c>
      <c r="AI25">
        <f>(AE25-AD25)/AE25</f>
        <v>0.47368421052631576</v>
      </c>
      <c r="AK25">
        <f t="shared" si="8"/>
        <v>1</v>
      </c>
      <c r="AL25">
        <f t="shared" si="9"/>
        <v>0.14473684210526316</v>
      </c>
      <c r="AM25">
        <f t="shared" si="10"/>
        <v>0.85526315789473684</v>
      </c>
      <c r="AR25" t="s">
        <v>22</v>
      </c>
      <c r="AS25">
        <v>12</v>
      </c>
      <c r="AT25" s="8">
        <v>1</v>
      </c>
      <c r="AU25">
        <f>($G10-$F10)/$J10</f>
        <v>0.20224719101123595</v>
      </c>
      <c r="AV25">
        <f>($I10-$G10)/$J10</f>
        <v>0.6067415730337079</v>
      </c>
      <c r="AW25">
        <f>($J10-$I10)/$J10</f>
        <v>0.19101123595505617</v>
      </c>
    </row>
    <row r="26" spans="1:63" x14ac:dyDescent="0.25">
      <c r="A26" t="s">
        <v>38</v>
      </c>
      <c r="B26">
        <v>76</v>
      </c>
      <c r="C26">
        <v>0</v>
      </c>
      <c r="D26">
        <v>0</v>
      </c>
      <c r="E26">
        <f t="shared" si="0"/>
        <v>76</v>
      </c>
      <c r="F26">
        <v>0</v>
      </c>
      <c r="G26">
        <f>26-C26</f>
        <v>26</v>
      </c>
      <c r="I26">
        <f>56-C26</f>
        <v>56</v>
      </c>
      <c r="J26">
        <f t="shared" si="3"/>
        <v>76</v>
      </c>
      <c r="K26">
        <f>(G26-F26)/J26</f>
        <v>0.34210526315789475</v>
      </c>
      <c r="L26">
        <f>(J26-I26)/J26</f>
        <v>0.26315789473684209</v>
      </c>
      <c r="M26">
        <f>(I26-G26)/J26</f>
        <v>0.39473684210526316</v>
      </c>
      <c r="P26">
        <f t="shared" si="4"/>
        <v>1</v>
      </c>
      <c r="Q26">
        <f t="shared" si="5"/>
        <v>0.60526315789473684</v>
      </c>
      <c r="R26">
        <f t="shared" si="6"/>
        <v>0.39473684210526316</v>
      </c>
      <c r="V26" t="s">
        <v>38</v>
      </c>
      <c r="W26">
        <v>81</v>
      </c>
      <c r="X26">
        <v>3</v>
      </c>
      <c r="Y26">
        <v>5</v>
      </c>
      <c r="Z26">
        <f t="shared" si="1"/>
        <v>73</v>
      </c>
      <c r="AA26">
        <v>0</v>
      </c>
      <c r="AB26">
        <f>26-X26</f>
        <v>23</v>
      </c>
      <c r="AD26">
        <f>56-X26</f>
        <v>53</v>
      </c>
      <c r="AE26">
        <f t="shared" si="2"/>
        <v>73</v>
      </c>
      <c r="AF26">
        <f>(AB26-AA26)/AE26</f>
        <v>0.31506849315068491</v>
      </c>
      <c r="AG26">
        <f>(AE26-AD26)/AE26</f>
        <v>0.27397260273972601</v>
      </c>
      <c r="AH26">
        <f>(AD26-AB26)/AE26</f>
        <v>0.41095890410958902</v>
      </c>
      <c r="AK26">
        <f t="shared" si="8"/>
        <v>0.99999999999999989</v>
      </c>
      <c r="AL26">
        <f t="shared" si="9"/>
        <v>0.58904109589041087</v>
      </c>
      <c r="AM26">
        <f t="shared" si="10"/>
        <v>0.41095890410958902</v>
      </c>
      <c r="AR26" t="s">
        <v>23</v>
      </c>
      <c r="AS26">
        <v>27</v>
      </c>
      <c r="AT26" s="8">
        <v>1</v>
      </c>
      <c r="AU26">
        <f>($G11-$F11)/$J11</f>
        <v>0.30337078651685395</v>
      </c>
      <c r="AV26">
        <f>($I11-$G11)/$J11</f>
        <v>0.39325842696629215</v>
      </c>
      <c r="AW26">
        <f>($J11-$I11)/$J11</f>
        <v>0.30337078651685395</v>
      </c>
    </row>
    <row r="27" spans="1:63" x14ac:dyDescent="0.25">
      <c r="A27" s="23" t="s">
        <v>39</v>
      </c>
      <c r="B27">
        <v>76</v>
      </c>
      <c r="C27">
        <v>0</v>
      </c>
      <c r="D27">
        <v>0</v>
      </c>
      <c r="E27">
        <f t="shared" si="0"/>
        <v>76</v>
      </c>
      <c r="F27">
        <v>0</v>
      </c>
      <c r="G27">
        <f>26-C27</f>
        <v>26</v>
      </c>
      <c r="I27">
        <f>50-C27</f>
        <v>50</v>
      </c>
      <c r="J27">
        <f t="shared" si="3"/>
        <v>76</v>
      </c>
      <c r="K27">
        <f>(G27-F27)/J27</f>
        <v>0.34210526315789475</v>
      </c>
      <c r="L27">
        <f>(J27-I27)/J27</f>
        <v>0.34210526315789475</v>
      </c>
      <c r="M27">
        <f>(I27-G27)/J27</f>
        <v>0.31578947368421051</v>
      </c>
      <c r="P27">
        <f t="shared" si="4"/>
        <v>1</v>
      </c>
      <c r="Q27">
        <f t="shared" si="5"/>
        <v>0.68421052631578949</v>
      </c>
      <c r="R27">
        <f t="shared" si="6"/>
        <v>0.31578947368421051</v>
      </c>
      <c r="V27" t="s">
        <v>39</v>
      </c>
      <c r="W27">
        <v>81</v>
      </c>
      <c r="X27">
        <v>8</v>
      </c>
      <c r="Y27">
        <v>1</v>
      </c>
      <c r="Z27">
        <f t="shared" si="1"/>
        <v>72</v>
      </c>
      <c r="AA27">
        <f>0</f>
        <v>0</v>
      </c>
      <c r="AB27">
        <f>34-X27</f>
        <v>26</v>
      </c>
      <c r="AD27">
        <f>55-X27</f>
        <v>47</v>
      </c>
      <c r="AE27">
        <f t="shared" si="2"/>
        <v>72</v>
      </c>
      <c r="AF27">
        <f>(AB27-AA27)/AE27</f>
        <v>0.3611111111111111</v>
      </c>
      <c r="AG27">
        <f>(AE27-AD27)/AE27</f>
        <v>0.34722222222222221</v>
      </c>
      <c r="AH27">
        <f>(AD27-AB27)/AE27</f>
        <v>0.29166666666666669</v>
      </c>
      <c r="AK27">
        <f t="shared" si="8"/>
        <v>1</v>
      </c>
      <c r="AL27">
        <f t="shared" si="9"/>
        <v>0.70833333333333326</v>
      </c>
      <c r="AM27">
        <f t="shared" si="10"/>
        <v>0.29166666666666669</v>
      </c>
      <c r="AR27" t="s">
        <v>24</v>
      </c>
      <c r="AS27">
        <v>42</v>
      </c>
      <c r="AT27" s="8">
        <v>1</v>
      </c>
      <c r="AU27">
        <f>($G12-$F12)/$J12</f>
        <v>0.36666666666666664</v>
      </c>
      <c r="AV27">
        <f>($I12-$G12)/$J12</f>
        <v>0.32222222222222224</v>
      </c>
      <c r="AW27">
        <f>($J12-$I12)/$J12</f>
        <v>0.31111111111111112</v>
      </c>
    </row>
    <row r="28" spans="1:63" x14ac:dyDescent="0.25">
      <c r="A28" t="s">
        <v>40</v>
      </c>
      <c r="B28">
        <v>67</v>
      </c>
      <c r="C28">
        <v>0</v>
      </c>
      <c r="D28">
        <v>0</v>
      </c>
      <c r="E28">
        <f t="shared" si="0"/>
        <v>67</v>
      </c>
      <c r="F28">
        <v>0</v>
      </c>
      <c r="G28">
        <f>27-C28</f>
        <v>27</v>
      </c>
      <c r="I28">
        <f>46-C28</f>
        <v>46</v>
      </c>
      <c r="J28">
        <f t="shared" si="3"/>
        <v>67</v>
      </c>
      <c r="K28">
        <f>(G28-F28)/J28</f>
        <v>0.40298507462686567</v>
      </c>
      <c r="L28">
        <f>(J28-I28)/J28</f>
        <v>0.31343283582089554</v>
      </c>
      <c r="M28">
        <f>(I28-G28)/J28</f>
        <v>0.28358208955223879</v>
      </c>
      <c r="P28">
        <f t="shared" si="4"/>
        <v>1</v>
      </c>
      <c r="Q28">
        <f t="shared" si="5"/>
        <v>0.71641791044776126</v>
      </c>
      <c r="R28">
        <f t="shared" si="6"/>
        <v>0.28358208955223879</v>
      </c>
      <c r="V28" t="s">
        <v>40</v>
      </c>
      <c r="W28">
        <v>81</v>
      </c>
      <c r="X28">
        <v>10</v>
      </c>
      <c r="Y28">
        <v>5</v>
      </c>
      <c r="Z28">
        <f t="shared" si="1"/>
        <v>66</v>
      </c>
      <c r="AA28">
        <v>0</v>
      </c>
      <c r="AB28">
        <f>38-X28</f>
        <v>28</v>
      </c>
      <c r="AD28">
        <f>55-X28</f>
        <v>45</v>
      </c>
      <c r="AE28">
        <f t="shared" si="2"/>
        <v>66</v>
      </c>
      <c r="AF28">
        <f>(AB28-AA28)/AE28</f>
        <v>0.42424242424242425</v>
      </c>
      <c r="AG28">
        <f>(AE28-AD28)/AE28</f>
        <v>0.31818181818181818</v>
      </c>
      <c r="AH28">
        <f>(AD28-AB28)/AE28</f>
        <v>0.25757575757575757</v>
      </c>
      <c r="AK28">
        <f t="shared" si="8"/>
        <v>1</v>
      </c>
      <c r="AL28">
        <f t="shared" si="9"/>
        <v>0.74242424242424243</v>
      </c>
      <c r="AM28">
        <f t="shared" si="10"/>
        <v>0.25757575757575757</v>
      </c>
      <c r="AR28" t="s">
        <v>25</v>
      </c>
      <c r="AS28">
        <v>12</v>
      </c>
      <c r="AT28" s="8">
        <v>0.3</v>
      </c>
      <c r="AU28">
        <f>($G14-$F14)/$J14</f>
        <v>0.28000000000000003</v>
      </c>
      <c r="AV28">
        <f>($I14-$G14)/$J14</f>
        <v>0.32</v>
      </c>
      <c r="AW28">
        <f>($J14-$I14)/$J14</f>
        <v>0.4</v>
      </c>
    </row>
    <row r="29" spans="1:63" x14ac:dyDescent="0.25">
      <c r="A29" s="1" t="s">
        <v>41</v>
      </c>
      <c r="B29" s="1">
        <f>74</f>
        <v>74</v>
      </c>
      <c r="C29" s="1">
        <v>6</v>
      </c>
      <c r="D29" s="1">
        <v>0</v>
      </c>
      <c r="E29" s="1">
        <f t="shared" si="0"/>
        <v>68</v>
      </c>
      <c r="F29" s="1">
        <f>0</f>
        <v>0</v>
      </c>
      <c r="G29" s="1">
        <f>29-C29</f>
        <v>23</v>
      </c>
      <c r="H29" s="1">
        <f>I29-G29</f>
        <v>21</v>
      </c>
      <c r="I29" s="1">
        <f>50-C29</f>
        <v>44</v>
      </c>
      <c r="J29" s="1">
        <f t="shared" si="3"/>
        <v>68</v>
      </c>
      <c r="K29" s="1">
        <f>H29/J29</f>
        <v>0.30882352941176472</v>
      </c>
      <c r="L29" s="1"/>
      <c r="M29" s="1">
        <f>(G29-F29)/J29</f>
        <v>0.33823529411764708</v>
      </c>
      <c r="N29" s="1">
        <f>(J29-I29)/J29</f>
        <v>0.35294117647058826</v>
      </c>
      <c r="P29">
        <f t="shared" si="4"/>
        <v>1</v>
      </c>
      <c r="Q29">
        <f t="shared" si="5"/>
        <v>0.30882352941176472</v>
      </c>
      <c r="R29">
        <f t="shared" si="6"/>
        <v>0.69117647058823528</v>
      </c>
      <c r="V29" s="1" t="s">
        <v>41</v>
      </c>
      <c r="W29">
        <v>91</v>
      </c>
      <c r="X29">
        <v>14</v>
      </c>
      <c r="Y29">
        <v>0</v>
      </c>
      <c r="Z29">
        <f t="shared" si="1"/>
        <v>77</v>
      </c>
      <c r="AA29">
        <v>0</v>
      </c>
      <c r="AB29">
        <f>44-X29</f>
        <v>30</v>
      </c>
      <c r="AC29">
        <f>AD29-AB29</f>
        <v>18</v>
      </c>
      <c r="AD29">
        <f>62-X29</f>
        <v>48</v>
      </c>
      <c r="AE29">
        <f t="shared" si="2"/>
        <v>77</v>
      </c>
      <c r="AF29">
        <f>AC29/AE29</f>
        <v>0.23376623376623376</v>
      </c>
      <c r="AH29">
        <f>(AB29-AA29)/AE29</f>
        <v>0.38961038961038963</v>
      </c>
      <c r="AI29">
        <f>(AE29-AD29)/AE29</f>
        <v>0.37662337662337664</v>
      </c>
      <c r="AK29">
        <f t="shared" si="8"/>
        <v>1</v>
      </c>
      <c r="AL29">
        <f t="shared" si="9"/>
        <v>0.23376623376623376</v>
      </c>
      <c r="AM29">
        <f t="shared" si="10"/>
        <v>0.76623376623376627</v>
      </c>
      <c r="AR29" t="s">
        <v>27</v>
      </c>
      <c r="AS29">
        <v>27</v>
      </c>
      <c r="AT29" s="8">
        <v>0.3</v>
      </c>
      <c r="AU29">
        <f>($G15-$F15)/$J15</f>
        <v>0.4</v>
      </c>
      <c r="AV29">
        <f>($I15-$G15)/$J15</f>
        <v>0.1</v>
      </c>
      <c r="AW29">
        <f>($J15-$I15)/$J15</f>
        <v>0.5</v>
      </c>
    </row>
    <row r="30" spans="1:63" x14ac:dyDescent="0.25">
      <c r="A30" t="s">
        <v>42</v>
      </c>
      <c r="B30">
        <v>161</v>
      </c>
      <c r="C30">
        <v>0</v>
      </c>
      <c r="D30">
        <v>0</v>
      </c>
      <c r="E30">
        <f t="shared" si="0"/>
        <v>161</v>
      </c>
      <c r="F30">
        <v>0</v>
      </c>
      <c r="G30">
        <f>9-C30</f>
        <v>9</v>
      </c>
      <c r="I30">
        <f>130-C30</f>
        <v>130</v>
      </c>
      <c r="J30">
        <f t="shared" si="3"/>
        <v>161</v>
      </c>
      <c r="K30">
        <f>(G30-F30)/J30</f>
        <v>5.5900621118012424E-2</v>
      </c>
      <c r="L30">
        <f>(J30-I30)/J30</f>
        <v>0.19254658385093168</v>
      </c>
      <c r="M30">
        <f>(I30-G30)/J30</f>
        <v>0.75155279503105588</v>
      </c>
      <c r="P30">
        <f t="shared" si="4"/>
        <v>1</v>
      </c>
      <c r="Q30">
        <f t="shared" si="5"/>
        <v>0.2484472049689441</v>
      </c>
      <c r="R30">
        <f t="shared" si="6"/>
        <v>0.75155279503105588</v>
      </c>
      <c r="V30" t="s">
        <v>42</v>
      </c>
      <c r="W30">
        <v>191</v>
      </c>
      <c r="X30">
        <v>21</v>
      </c>
      <c r="Y30">
        <v>9</v>
      </c>
      <c r="Z30">
        <f t="shared" si="1"/>
        <v>161</v>
      </c>
      <c r="AA30">
        <v>0</v>
      </c>
      <c r="AB30">
        <f>29-X30</f>
        <v>8</v>
      </c>
      <c r="AD30">
        <f>138-X30</f>
        <v>117</v>
      </c>
      <c r="AE30">
        <f t="shared" si="2"/>
        <v>161</v>
      </c>
      <c r="AF30">
        <f>(AB30-AA30)/AE30</f>
        <v>4.9689440993788817E-2</v>
      </c>
      <c r="AG30">
        <f>(AE30-AD30)/AE30</f>
        <v>0.27329192546583853</v>
      </c>
      <c r="AH30">
        <f>(AD30-AB30)/AE30</f>
        <v>0.67701863354037262</v>
      </c>
      <c r="AK30">
        <f t="shared" si="8"/>
        <v>1</v>
      </c>
      <c r="AL30">
        <f t="shared" si="9"/>
        <v>0.32298136645962733</v>
      </c>
      <c r="AM30">
        <f t="shared" si="10"/>
        <v>0.67701863354037262</v>
      </c>
      <c r="AR30" t="s">
        <v>28</v>
      </c>
      <c r="AS30">
        <v>42</v>
      </c>
      <c r="AT30" s="8">
        <v>0.3</v>
      </c>
      <c r="AU30">
        <f>($G16-$F16)/$J16</f>
        <v>0</v>
      </c>
      <c r="AV30">
        <f>($I16-$G16)/$J16</f>
        <v>0</v>
      </c>
      <c r="AW30">
        <f>($J16-$I16)/$J16</f>
        <v>1</v>
      </c>
    </row>
    <row r="31" spans="1:63" x14ac:dyDescent="0.25">
      <c r="A31" t="s">
        <v>43</v>
      </c>
      <c r="B31">
        <v>171</v>
      </c>
      <c r="C31">
        <v>0</v>
      </c>
      <c r="D31">
        <v>0</v>
      </c>
      <c r="E31">
        <f t="shared" si="0"/>
        <v>171</v>
      </c>
      <c r="F31">
        <f>0</f>
        <v>0</v>
      </c>
      <c r="G31">
        <f>31-C31</f>
        <v>31</v>
      </c>
      <c r="I31">
        <f>129-C31</f>
        <v>129</v>
      </c>
      <c r="J31">
        <f t="shared" si="3"/>
        <v>171</v>
      </c>
      <c r="K31">
        <f>(G31-F31)/J31</f>
        <v>0.18128654970760233</v>
      </c>
      <c r="L31">
        <f>(J31-I31)/J31</f>
        <v>0.24561403508771928</v>
      </c>
      <c r="M31">
        <f>(I31-G31)/J31</f>
        <v>0.57309941520467833</v>
      </c>
      <c r="P31">
        <f t="shared" si="4"/>
        <v>1</v>
      </c>
      <c r="Q31">
        <f t="shared" si="5"/>
        <v>0.42690058479532161</v>
      </c>
      <c r="R31">
        <f t="shared" si="6"/>
        <v>0.57309941520467833</v>
      </c>
      <c r="V31" t="s">
        <v>43</v>
      </c>
      <c r="W31">
        <v>191</v>
      </c>
      <c r="X31">
        <v>12</v>
      </c>
      <c r="Y31">
        <v>8</v>
      </c>
      <c r="Z31">
        <f t="shared" si="1"/>
        <v>171</v>
      </c>
      <c r="AA31">
        <v>0</v>
      </c>
      <c r="AB31">
        <f>43-X31</f>
        <v>31</v>
      </c>
      <c r="AD31">
        <f>140-X31</f>
        <v>128</v>
      </c>
      <c r="AE31">
        <f t="shared" si="2"/>
        <v>171</v>
      </c>
      <c r="AF31">
        <f>(AB31-AA31)/AE31</f>
        <v>0.18128654970760233</v>
      </c>
      <c r="AG31">
        <f>(AE31-AD31)/AE31</f>
        <v>0.25146198830409355</v>
      </c>
      <c r="AH31">
        <f>(AD31-AB31)/AE31</f>
        <v>0.56725146198830412</v>
      </c>
      <c r="AK31">
        <f t="shared" si="8"/>
        <v>1</v>
      </c>
      <c r="AL31">
        <f t="shared" si="9"/>
        <v>0.43274853801169588</v>
      </c>
      <c r="AM31">
        <f t="shared" si="10"/>
        <v>0.56725146198830412</v>
      </c>
      <c r="AR31" t="s">
        <v>30</v>
      </c>
      <c r="AS31">
        <v>12</v>
      </c>
      <c r="AT31" s="8">
        <v>0.5</v>
      </c>
      <c r="AU31">
        <f>($G18-$F18)/$J18</f>
        <v>0.30263157894736842</v>
      </c>
      <c r="AV31">
        <f>($I18-$G18)/$J18</f>
        <v>0.35526315789473684</v>
      </c>
      <c r="AW31">
        <f>($J18-$I18)/$J18</f>
        <v>0.34210526315789475</v>
      </c>
    </row>
    <row r="32" spans="1:63" x14ac:dyDescent="0.25">
      <c r="A32" t="s">
        <v>44</v>
      </c>
      <c r="B32">
        <v>177</v>
      </c>
      <c r="C32">
        <v>5</v>
      </c>
      <c r="D32">
        <v>0</v>
      </c>
      <c r="E32">
        <f t="shared" si="0"/>
        <v>172</v>
      </c>
      <c r="F32">
        <f>0</f>
        <v>0</v>
      </c>
      <c r="G32">
        <f>34-C32</f>
        <v>29</v>
      </c>
      <c r="I32">
        <f>128-C32</f>
        <v>123</v>
      </c>
      <c r="J32">
        <f t="shared" si="3"/>
        <v>172</v>
      </c>
      <c r="K32">
        <f>(G32-F32)/J32</f>
        <v>0.16860465116279069</v>
      </c>
      <c r="L32">
        <f>(J32-I32)/J32</f>
        <v>0.28488372093023256</v>
      </c>
      <c r="M32">
        <f>(I32-G32)/J32</f>
        <v>0.54651162790697672</v>
      </c>
      <c r="P32">
        <f t="shared" si="4"/>
        <v>1</v>
      </c>
      <c r="Q32">
        <f t="shared" si="5"/>
        <v>0.45348837209302328</v>
      </c>
      <c r="R32">
        <f t="shared" si="6"/>
        <v>0.54651162790697672</v>
      </c>
      <c r="V32" t="s">
        <v>44</v>
      </c>
      <c r="W32">
        <v>191</v>
      </c>
      <c r="X32">
        <v>7</v>
      </c>
      <c r="Y32">
        <v>11</v>
      </c>
      <c r="Z32">
        <f t="shared" si="1"/>
        <v>173</v>
      </c>
      <c r="AA32">
        <v>0</v>
      </c>
      <c r="AB32">
        <f>42-X32</f>
        <v>35</v>
      </c>
      <c r="AD32">
        <f>133-X32</f>
        <v>126</v>
      </c>
      <c r="AE32">
        <f t="shared" si="2"/>
        <v>173</v>
      </c>
      <c r="AF32">
        <f>(AB32-AA32)/AE32</f>
        <v>0.20231213872832371</v>
      </c>
      <c r="AG32">
        <f>(AE32-AD32)/AE32</f>
        <v>0.27167630057803466</v>
      </c>
      <c r="AH32">
        <f>(AD32-AB32)/AE32</f>
        <v>0.52601156069364163</v>
      </c>
      <c r="AK32">
        <f t="shared" si="8"/>
        <v>1</v>
      </c>
      <c r="AL32">
        <f t="shared" si="9"/>
        <v>0.47398843930635837</v>
      </c>
      <c r="AM32">
        <f t="shared" si="10"/>
        <v>0.52601156069364163</v>
      </c>
      <c r="AR32" t="s">
        <v>31</v>
      </c>
      <c r="AS32">
        <v>27</v>
      </c>
      <c r="AT32" s="8">
        <v>0.5</v>
      </c>
      <c r="AU32">
        <f>($G19-$F19)/$J19</f>
        <v>0.34848484848484851</v>
      </c>
      <c r="AV32">
        <f>($I19-$G19)/$J19</f>
        <v>0.30303030303030304</v>
      </c>
      <c r="AW32">
        <f>($J19-$I19)/$J19</f>
        <v>0.34848484848484851</v>
      </c>
    </row>
    <row r="33" spans="1:49" x14ac:dyDescent="0.25">
      <c r="A33" s="1" t="s">
        <v>45</v>
      </c>
      <c r="B33" s="1">
        <v>181</v>
      </c>
      <c r="C33" s="1">
        <v>9</v>
      </c>
      <c r="D33" s="1">
        <v>0</v>
      </c>
      <c r="E33" s="1">
        <f t="shared" si="0"/>
        <v>172</v>
      </c>
      <c r="F33" s="1">
        <v>0</v>
      </c>
      <c r="G33" s="1">
        <f>56-C33</f>
        <v>47</v>
      </c>
      <c r="H33" s="1">
        <f>I33-G33</f>
        <v>79</v>
      </c>
      <c r="I33" s="1">
        <f>135-C33</f>
        <v>126</v>
      </c>
      <c r="J33" s="1">
        <f t="shared" si="3"/>
        <v>172</v>
      </c>
      <c r="K33" s="1">
        <f>H33/J33</f>
        <v>0.45930232558139533</v>
      </c>
      <c r="L33" s="1"/>
      <c r="M33" s="1">
        <f>(G33-F33)/J33</f>
        <v>0.27325581395348836</v>
      </c>
      <c r="N33" s="1">
        <f>(J33-I33)/J33</f>
        <v>0.26744186046511625</v>
      </c>
      <c r="P33">
        <f t="shared" si="4"/>
        <v>1</v>
      </c>
      <c r="Q33">
        <f t="shared" si="5"/>
        <v>0.45930232558139533</v>
      </c>
      <c r="R33">
        <f t="shared" si="6"/>
        <v>0.54069767441860461</v>
      </c>
      <c r="V33" s="1" t="s">
        <v>45</v>
      </c>
      <c r="W33">
        <v>181</v>
      </c>
      <c r="X33">
        <v>9</v>
      </c>
      <c r="Y33">
        <v>0</v>
      </c>
      <c r="Z33">
        <f t="shared" si="1"/>
        <v>172</v>
      </c>
      <c r="AA33">
        <v>0</v>
      </c>
      <c r="AB33">
        <f>64-X33</f>
        <v>55</v>
      </c>
      <c r="AC33">
        <f>AD33-AB33</f>
        <v>69</v>
      </c>
      <c r="AD33">
        <f>133-X33</f>
        <v>124</v>
      </c>
      <c r="AE33">
        <f t="shared" si="2"/>
        <v>172</v>
      </c>
      <c r="AF33">
        <f>AC33/AE33</f>
        <v>0.40116279069767441</v>
      </c>
      <c r="AH33">
        <f>(AB33-AA33)/AE33</f>
        <v>0.31976744186046513</v>
      </c>
      <c r="AI33">
        <f>(AE33-AD33)/AE33</f>
        <v>0.27906976744186046</v>
      </c>
      <c r="AK33">
        <f t="shared" si="8"/>
        <v>1</v>
      </c>
      <c r="AL33">
        <f t="shared" si="9"/>
        <v>0.40116279069767441</v>
      </c>
      <c r="AM33">
        <f t="shared" si="10"/>
        <v>0.59883720930232553</v>
      </c>
      <c r="AR33" t="s">
        <v>32</v>
      </c>
      <c r="AS33">
        <v>42</v>
      </c>
      <c r="AT33" s="8">
        <v>0.5</v>
      </c>
      <c r="AU33">
        <f>($G20-$F20)/$J20</f>
        <v>0.49295774647887325</v>
      </c>
      <c r="AV33">
        <f>($I20-$G20)/$J20</f>
        <v>4.2253521126760563E-2</v>
      </c>
      <c r="AW33">
        <f>($J20-$I20)/$J20</f>
        <v>0.46478873239436619</v>
      </c>
    </row>
    <row r="34" spans="1:49" x14ac:dyDescent="0.25">
      <c r="A34" t="s">
        <v>46</v>
      </c>
      <c r="B34">
        <v>191</v>
      </c>
      <c r="C34">
        <f>5</f>
        <v>5</v>
      </c>
      <c r="D34">
        <v>11</v>
      </c>
      <c r="E34">
        <f t="shared" ref="E34:E49" si="16">B34-SUM(C34:D34)</f>
        <v>175</v>
      </c>
      <c r="F34">
        <f>0</f>
        <v>0</v>
      </c>
      <c r="G34">
        <f>32-C34</f>
        <v>27</v>
      </c>
      <c r="I34">
        <f>135-C34</f>
        <v>130</v>
      </c>
      <c r="J34">
        <f t="shared" ref="J34:J49" si="17">E34</f>
        <v>175</v>
      </c>
      <c r="K34">
        <f>(G34-F34)/J34</f>
        <v>0.15428571428571428</v>
      </c>
      <c r="L34">
        <f>(J34-I34)/J34</f>
        <v>0.25714285714285712</v>
      </c>
      <c r="M34">
        <f>(I34-G34)/J34</f>
        <v>0.58857142857142852</v>
      </c>
      <c r="P34">
        <f t="shared" si="4"/>
        <v>0.99999999999999989</v>
      </c>
      <c r="Q34">
        <f t="shared" si="5"/>
        <v>0.41142857142857137</v>
      </c>
      <c r="R34">
        <f t="shared" si="6"/>
        <v>0.58857142857142852</v>
      </c>
      <c r="V34" t="s">
        <v>46</v>
      </c>
      <c r="W34">
        <v>191</v>
      </c>
      <c r="X34">
        <v>12</v>
      </c>
      <c r="Y34">
        <v>13</v>
      </c>
      <c r="Z34">
        <f t="shared" si="1"/>
        <v>166</v>
      </c>
      <c r="AA34">
        <f>0</f>
        <v>0</v>
      </c>
      <c r="AB34">
        <f>39-X34</f>
        <v>27</v>
      </c>
      <c r="AD34">
        <f>133-X34</f>
        <v>121</v>
      </c>
      <c r="AE34">
        <f t="shared" si="2"/>
        <v>166</v>
      </c>
      <c r="AF34">
        <f>(AB34-AA34)/AE34</f>
        <v>0.16265060240963855</v>
      </c>
      <c r="AG34">
        <f>(AE34-AD34)/AE34</f>
        <v>0.27108433734939757</v>
      </c>
      <c r="AH34">
        <f>(AD34-AB34)/AE34</f>
        <v>0.5662650602409639</v>
      </c>
      <c r="AK34">
        <f t="shared" si="8"/>
        <v>1</v>
      </c>
      <c r="AL34">
        <f t="shared" si="9"/>
        <v>0.4337349397590361</v>
      </c>
      <c r="AM34">
        <f t="shared" si="10"/>
        <v>0.5662650602409639</v>
      </c>
      <c r="AR34" t="s">
        <v>34</v>
      </c>
      <c r="AS34">
        <v>12</v>
      </c>
      <c r="AT34" s="8">
        <v>0.5</v>
      </c>
      <c r="AU34">
        <f>($G22-$F22)/$J22</f>
        <v>0.19178082191780821</v>
      </c>
      <c r="AV34">
        <f>($I22-$G22)/$J22</f>
        <v>0.56164383561643838</v>
      </c>
      <c r="AW34">
        <f>($J22-$I22)/$J22</f>
        <v>0.24657534246575341</v>
      </c>
    </row>
    <row r="35" spans="1:49" x14ac:dyDescent="0.25">
      <c r="A35" t="s">
        <v>47</v>
      </c>
      <c r="B35">
        <v>180</v>
      </c>
      <c r="C35">
        <v>5</v>
      </c>
      <c r="D35">
        <v>13</v>
      </c>
      <c r="E35">
        <f t="shared" si="16"/>
        <v>162</v>
      </c>
      <c r="F35">
        <v>0</v>
      </c>
      <c r="G35">
        <f>30-C35</f>
        <v>25</v>
      </c>
      <c r="I35">
        <f>132-C35</f>
        <v>127</v>
      </c>
      <c r="J35">
        <f t="shared" si="17"/>
        <v>162</v>
      </c>
      <c r="K35">
        <f>(G35-F35)/J35</f>
        <v>0.15432098765432098</v>
      </c>
      <c r="L35">
        <f>(J35-I35)/J35</f>
        <v>0.21604938271604937</v>
      </c>
      <c r="M35">
        <f>(I35-G35)/J35</f>
        <v>0.62962962962962965</v>
      </c>
      <c r="P35">
        <f t="shared" si="4"/>
        <v>1</v>
      </c>
      <c r="Q35">
        <f t="shared" si="5"/>
        <v>0.37037037037037035</v>
      </c>
      <c r="R35">
        <f t="shared" si="6"/>
        <v>0.62962962962962965</v>
      </c>
      <c r="V35" t="s">
        <v>47</v>
      </c>
      <c r="W35">
        <v>191</v>
      </c>
      <c r="X35">
        <v>15</v>
      </c>
      <c r="Y35">
        <v>12</v>
      </c>
      <c r="Z35">
        <f t="shared" si="1"/>
        <v>164</v>
      </c>
      <c r="AA35">
        <v>0</v>
      </c>
      <c r="AB35">
        <f>40-X35</f>
        <v>25</v>
      </c>
      <c r="AD35">
        <f>149-X35</f>
        <v>134</v>
      </c>
      <c r="AE35">
        <f t="shared" si="2"/>
        <v>164</v>
      </c>
      <c r="AF35">
        <f>(AB35-AA35)/AE35</f>
        <v>0.1524390243902439</v>
      </c>
      <c r="AG35">
        <f>(AE35-AD35)/AE35</f>
        <v>0.18292682926829268</v>
      </c>
      <c r="AH35">
        <f>(AD35-AB35)/AE35</f>
        <v>0.66463414634146345</v>
      </c>
      <c r="AK35">
        <f t="shared" si="8"/>
        <v>1</v>
      </c>
      <c r="AL35">
        <f t="shared" si="9"/>
        <v>0.33536585365853655</v>
      </c>
      <c r="AM35">
        <f t="shared" si="10"/>
        <v>0.66463414634146345</v>
      </c>
      <c r="AR35" t="s">
        <v>35</v>
      </c>
      <c r="AS35">
        <v>27</v>
      </c>
      <c r="AT35" s="8">
        <v>0.5</v>
      </c>
      <c r="AU35">
        <f>($G23-$F23)/$J23</f>
        <v>0.25757575757575757</v>
      </c>
      <c r="AV35">
        <f>($I23-$G23)/$J23</f>
        <v>0.46969696969696972</v>
      </c>
      <c r="AW35">
        <f>($J23-$I23)/$J23</f>
        <v>0.27272727272727271</v>
      </c>
    </row>
    <row r="36" spans="1:49" x14ac:dyDescent="0.25">
      <c r="A36" t="s">
        <v>48</v>
      </c>
      <c r="B36">
        <v>166</v>
      </c>
      <c r="C36">
        <v>4</v>
      </c>
      <c r="D36">
        <v>5</v>
      </c>
      <c r="E36">
        <f t="shared" si="16"/>
        <v>157</v>
      </c>
      <c r="F36">
        <v>0</v>
      </c>
      <c r="G36">
        <f>29-C36</f>
        <v>25</v>
      </c>
      <c r="I36">
        <f>124-C36</f>
        <v>120</v>
      </c>
      <c r="J36">
        <f t="shared" si="17"/>
        <v>157</v>
      </c>
      <c r="K36">
        <f>(G36-F36)/J36</f>
        <v>0.15923566878980891</v>
      </c>
      <c r="L36">
        <f>(J36-I36)/J36</f>
        <v>0.2356687898089172</v>
      </c>
      <c r="M36">
        <f>(I36-G36)/J36</f>
        <v>0.60509554140127386</v>
      </c>
      <c r="P36">
        <f t="shared" si="4"/>
        <v>1</v>
      </c>
      <c r="Q36">
        <f t="shared" si="5"/>
        <v>0.39490445859872614</v>
      </c>
      <c r="R36">
        <f t="shared" si="6"/>
        <v>0.60509554140127386</v>
      </c>
      <c r="V36" t="s">
        <v>48</v>
      </c>
      <c r="W36">
        <v>191</v>
      </c>
      <c r="X36">
        <v>14</v>
      </c>
      <c r="Y36">
        <v>20</v>
      </c>
      <c r="Z36">
        <f t="shared" si="1"/>
        <v>157</v>
      </c>
      <c r="AA36">
        <v>0</v>
      </c>
      <c r="AB36">
        <f>39-X36</f>
        <v>25</v>
      </c>
      <c r="AD36">
        <f>137-X36</f>
        <v>123</v>
      </c>
      <c r="AE36">
        <f t="shared" si="2"/>
        <v>157</v>
      </c>
      <c r="AF36">
        <f>(AB36-AA36)/AE36</f>
        <v>0.15923566878980891</v>
      </c>
      <c r="AG36">
        <f>(AE36-AD36)/AE36</f>
        <v>0.21656050955414013</v>
      </c>
      <c r="AH36">
        <f>(AD36-AB36)/AE36</f>
        <v>0.62420382165605093</v>
      </c>
      <c r="AK36">
        <f t="shared" si="8"/>
        <v>1</v>
      </c>
      <c r="AL36">
        <f t="shared" si="9"/>
        <v>0.37579617834394907</v>
      </c>
      <c r="AM36">
        <f t="shared" si="10"/>
        <v>0.62420382165605093</v>
      </c>
      <c r="AR36" t="s">
        <v>36</v>
      </c>
      <c r="AS36">
        <v>42</v>
      </c>
      <c r="AT36" s="8">
        <v>0.5</v>
      </c>
      <c r="AU36">
        <f>($G24-$F24)/$J24</f>
        <v>0.34328358208955223</v>
      </c>
      <c r="AV36">
        <f>($I24-$G24)/$J24</f>
        <v>0.2537313432835821</v>
      </c>
      <c r="AW36">
        <f>($J24-$I24)/$J24</f>
        <v>0.40298507462686567</v>
      </c>
    </row>
    <row r="37" spans="1:49" x14ac:dyDescent="0.25">
      <c r="A37" s="1" t="s">
        <v>49</v>
      </c>
      <c r="B37" s="1">
        <v>182</v>
      </c>
      <c r="C37" s="1">
        <v>3</v>
      </c>
      <c r="D37" s="1">
        <v>12</v>
      </c>
      <c r="E37" s="1">
        <f t="shared" si="16"/>
        <v>167</v>
      </c>
      <c r="F37" s="1">
        <f>0</f>
        <v>0</v>
      </c>
      <c r="G37" s="1">
        <f>35-C37</f>
        <v>32</v>
      </c>
      <c r="H37" s="1">
        <f>I37-G37</f>
        <v>104</v>
      </c>
      <c r="I37" s="1">
        <f>139-C37</f>
        <v>136</v>
      </c>
      <c r="J37" s="1">
        <f t="shared" si="17"/>
        <v>167</v>
      </c>
      <c r="K37" s="1">
        <f>H37/J37</f>
        <v>0.6227544910179641</v>
      </c>
      <c r="L37" s="1"/>
      <c r="M37" s="1">
        <f>(G37-F37)/J37</f>
        <v>0.19161676646706588</v>
      </c>
      <c r="N37" s="1">
        <f>(J37-I37)/J37</f>
        <v>0.18562874251497005</v>
      </c>
      <c r="P37">
        <f t="shared" si="4"/>
        <v>1</v>
      </c>
      <c r="Q37">
        <f t="shared" si="5"/>
        <v>0.6227544910179641</v>
      </c>
      <c r="R37">
        <f t="shared" si="6"/>
        <v>0.3772455089820359</v>
      </c>
      <c r="V37" s="1" t="s">
        <v>49</v>
      </c>
      <c r="W37">
        <v>199</v>
      </c>
      <c r="X37">
        <v>20</v>
      </c>
      <c r="Y37">
        <v>13</v>
      </c>
      <c r="Z37">
        <f t="shared" si="1"/>
        <v>166</v>
      </c>
      <c r="AA37">
        <v>0</v>
      </c>
      <c r="AB37">
        <f>53-X37</f>
        <v>33</v>
      </c>
      <c r="AC37">
        <f>AD37-AB37</f>
        <v>100</v>
      </c>
      <c r="AD37">
        <f>153-X37</f>
        <v>133</v>
      </c>
      <c r="AE37">
        <f t="shared" si="2"/>
        <v>166</v>
      </c>
      <c r="AF37">
        <f>AC37/AE37</f>
        <v>0.60240963855421692</v>
      </c>
      <c r="AH37">
        <f>(AB37-AA37)/AE37</f>
        <v>0.19879518072289157</v>
      </c>
      <c r="AI37">
        <f>(AE37-AD37)/AE37</f>
        <v>0.19879518072289157</v>
      </c>
      <c r="AK37">
        <f t="shared" si="8"/>
        <v>1</v>
      </c>
      <c r="AL37">
        <f t="shared" si="9"/>
        <v>0.60240963855421692</v>
      </c>
      <c r="AM37">
        <f t="shared" si="10"/>
        <v>0.39759036144578314</v>
      </c>
      <c r="AR37" t="s">
        <v>38</v>
      </c>
      <c r="AS37">
        <v>12</v>
      </c>
      <c r="AT37" s="8">
        <v>0.5</v>
      </c>
      <c r="AU37">
        <f>($G26-$F26)/$J26</f>
        <v>0.34210526315789475</v>
      </c>
      <c r="AV37">
        <f>($I26-$G26)/$J26</f>
        <v>0.39473684210526316</v>
      </c>
      <c r="AW37">
        <f>($J26-$I26)/$J26</f>
        <v>0.26315789473684209</v>
      </c>
    </row>
    <row r="38" spans="1:49" x14ac:dyDescent="0.25">
      <c r="A38" t="s">
        <v>56</v>
      </c>
      <c r="B38">
        <v>81</v>
      </c>
      <c r="C38">
        <v>0</v>
      </c>
      <c r="D38">
        <v>0</v>
      </c>
      <c r="E38">
        <f t="shared" si="16"/>
        <v>81</v>
      </c>
      <c r="F38">
        <v>0</v>
      </c>
      <c r="G38">
        <v>0</v>
      </c>
      <c r="I38">
        <v>0</v>
      </c>
      <c r="J38">
        <f t="shared" si="17"/>
        <v>81</v>
      </c>
      <c r="K38">
        <f>(F38-G38)/J38</f>
        <v>0</v>
      </c>
      <c r="L38">
        <f>(J38-I38)/J38</f>
        <v>1</v>
      </c>
      <c r="M38">
        <f>(I38-G38)/J38</f>
        <v>0</v>
      </c>
      <c r="P38">
        <f t="shared" si="4"/>
        <v>1</v>
      </c>
      <c r="Q38">
        <f t="shared" si="5"/>
        <v>1</v>
      </c>
      <c r="R38">
        <f t="shared" si="6"/>
        <v>0</v>
      </c>
      <c r="S38" s="3"/>
      <c r="V38" t="s">
        <v>56</v>
      </c>
      <c r="AK38">
        <f t="shared" si="8"/>
        <v>0</v>
      </c>
      <c r="AL38">
        <f t="shared" si="9"/>
        <v>0</v>
      </c>
      <c r="AM38">
        <f t="shared" si="10"/>
        <v>0</v>
      </c>
      <c r="AR38" t="s">
        <v>39</v>
      </c>
      <c r="AS38">
        <v>27</v>
      </c>
      <c r="AT38" s="8">
        <v>0.5</v>
      </c>
      <c r="AU38">
        <f>($G27-$F27)/$J27</f>
        <v>0.34210526315789475</v>
      </c>
      <c r="AV38">
        <f>($I27-$G27)/$J27</f>
        <v>0.31578947368421051</v>
      </c>
      <c r="AW38">
        <f>($J27-$I27)/$J27</f>
        <v>0.34210526315789475</v>
      </c>
    </row>
    <row r="39" spans="1:49" x14ac:dyDescent="0.25">
      <c r="A39" t="s">
        <v>57</v>
      </c>
      <c r="B39">
        <v>81</v>
      </c>
      <c r="C39">
        <v>0</v>
      </c>
      <c r="D39">
        <v>0</v>
      </c>
      <c r="E39">
        <f t="shared" si="16"/>
        <v>81</v>
      </c>
      <c r="F39">
        <v>0</v>
      </c>
      <c r="G39">
        <f>31-C39</f>
        <v>31</v>
      </c>
      <c r="I39">
        <f>55-C39</f>
        <v>55</v>
      </c>
      <c r="J39">
        <f t="shared" si="17"/>
        <v>81</v>
      </c>
      <c r="K39">
        <f>(G39-F39)/J39</f>
        <v>0.38271604938271603</v>
      </c>
      <c r="L39">
        <f>(J39-I39)/J39</f>
        <v>0.32098765432098764</v>
      </c>
      <c r="M39">
        <f>(I39-G39)/J39</f>
        <v>0.29629629629629628</v>
      </c>
      <c r="P39">
        <f t="shared" si="4"/>
        <v>1</v>
      </c>
      <c r="Q39">
        <f t="shared" si="5"/>
        <v>0.70370370370370372</v>
      </c>
      <c r="R39">
        <f t="shared" si="6"/>
        <v>0.29629629629629628</v>
      </c>
      <c r="V39" t="s">
        <v>57</v>
      </c>
      <c r="W39">
        <v>81</v>
      </c>
      <c r="X39">
        <v>0</v>
      </c>
      <c r="Y39">
        <f>1</f>
        <v>1</v>
      </c>
      <c r="Z39">
        <f t="shared" ref="Z39:Z49" si="18">W39-SUM(X39:Y39)</f>
        <v>80</v>
      </c>
      <c r="AA39">
        <v>0</v>
      </c>
      <c r="AB39">
        <f>31-X39</f>
        <v>31</v>
      </c>
      <c r="AD39">
        <f>53-X39</f>
        <v>53</v>
      </c>
      <c r="AE39">
        <f t="shared" ref="AE39:AE49" si="19">Z39</f>
        <v>80</v>
      </c>
      <c r="AF39">
        <f>(AB39-AA39)/AE39</f>
        <v>0.38750000000000001</v>
      </c>
      <c r="AG39">
        <f>(AE39-AD39)/AE39</f>
        <v>0.33750000000000002</v>
      </c>
      <c r="AH39">
        <f>(AD39-AB39)/AE39</f>
        <v>0.27500000000000002</v>
      </c>
      <c r="AK39">
        <f t="shared" si="8"/>
        <v>1</v>
      </c>
      <c r="AL39">
        <f t="shared" si="9"/>
        <v>0.72500000000000009</v>
      </c>
      <c r="AM39">
        <f t="shared" si="10"/>
        <v>0.27500000000000002</v>
      </c>
      <c r="AR39" t="s">
        <v>40</v>
      </c>
      <c r="AS39">
        <v>42</v>
      </c>
      <c r="AT39" s="8">
        <v>0.5</v>
      </c>
      <c r="AU39">
        <f>($G28-$F28)/$J28</f>
        <v>0.40298507462686567</v>
      </c>
      <c r="AV39">
        <f>($I28-$G28)/$J28</f>
        <v>0.28358208955223879</v>
      </c>
      <c r="AW39">
        <f>($J28-$I28)/$J28</f>
        <v>0.31343283582089554</v>
      </c>
    </row>
    <row r="40" spans="1:49" x14ac:dyDescent="0.25">
      <c r="A40" t="s">
        <v>58</v>
      </c>
      <c r="B40">
        <v>81</v>
      </c>
      <c r="C40">
        <v>4</v>
      </c>
      <c r="D40">
        <v>4</v>
      </c>
      <c r="E40">
        <f t="shared" si="16"/>
        <v>73</v>
      </c>
      <c r="F40">
        <v>0</v>
      </c>
      <c r="G40">
        <f>32-C40</f>
        <v>28</v>
      </c>
      <c r="I40">
        <f>55-C40</f>
        <v>51</v>
      </c>
      <c r="J40">
        <f t="shared" si="17"/>
        <v>73</v>
      </c>
      <c r="K40">
        <f>(G40-F40)/J40</f>
        <v>0.38356164383561642</v>
      </c>
      <c r="L40">
        <f>(J40-I40)/J40</f>
        <v>0.30136986301369861</v>
      </c>
      <c r="M40">
        <f>(I40-G40)/J40</f>
        <v>0.31506849315068491</v>
      </c>
      <c r="P40">
        <f t="shared" si="4"/>
        <v>1</v>
      </c>
      <c r="Q40">
        <f t="shared" si="5"/>
        <v>0.68493150684931503</v>
      </c>
      <c r="R40">
        <f t="shared" si="6"/>
        <v>0.31506849315068491</v>
      </c>
      <c r="V40" t="s">
        <v>58</v>
      </c>
      <c r="W40">
        <v>81</v>
      </c>
      <c r="X40">
        <v>4</v>
      </c>
      <c r="Y40">
        <v>2</v>
      </c>
      <c r="Z40">
        <f t="shared" si="18"/>
        <v>75</v>
      </c>
      <c r="AA40">
        <v>0</v>
      </c>
      <c r="AB40">
        <f>31-X40</f>
        <v>27</v>
      </c>
      <c r="AD40">
        <f>54-X40</f>
        <v>50</v>
      </c>
      <c r="AE40">
        <f t="shared" si="19"/>
        <v>75</v>
      </c>
      <c r="AF40">
        <f>(AB40-AA40)/AE40</f>
        <v>0.36</v>
      </c>
      <c r="AG40">
        <f>(AE40-AD40)/AE40</f>
        <v>0.33333333333333331</v>
      </c>
      <c r="AH40">
        <f>(AD40-AB40)/AE40</f>
        <v>0.30666666666666664</v>
      </c>
      <c r="AK40">
        <f t="shared" si="8"/>
        <v>1</v>
      </c>
      <c r="AL40">
        <f t="shared" si="9"/>
        <v>0.69333333333333336</v>
      </c>
      <c r="AM40">
        <f t="shared" si="10"/>
        <v>0.30666666666666664</v>
      </c>
      <c r="AR40" t="s">
        <v>42</v>
      </c>
      <c r="AS40">
        <v>12</v>
      </c>
      <c r="AT40" s="8">
        <v>1.6</v>
      </c>
      <c r="AU40">
        <f>($G30-$F30)/$J30</f>
        <v>5.5900621118012424E-2</v>
      </c>
      <c r="AV40">
        <f>($I30-$G30)/$J30</f>
        <v>0.75155279503105588</v>
      </c>
      <c r="AW40">
        <f>($J30-$I30)/$J30</f>
        <v>0.19254658385093168</v>
      </c>
    </row>
    <row r="41" spans="1:49" x14ac:dyDescent="0.25">
      <c r="A41" s="1" t="s">
        <v>59</v>
      </c>
      <c r="B41" s="1">
        <v>101</v>
      </c>
      <c r="C41" s="1">
        <v>10</v>
      </c>
      <c r="D41" s="1">
        <v>0</v>
      </c>
      <c r="E41" s="1">
        <f t="shared" si="16"/>
        <v>91</v>
      </c>
      <c r="F41" s="1">
        <f>0</f>
        <v>0</v>
      </c>
      <c r="G41" s="1">
        <f>42-C41</f>
        <v>32</v>
      </c>
      <c r="H41" s="1">
        <f>I41-G41</f>
        <v>32</v>
      </c>
      <c r="I41" s="1">
        <f>74-C41</f>
        <v>64</v>
      </c>
      <c r="J41" s="1">
        <f t="shared" si="17"/>
        <v>91</v>
      </c>
      <c r="K41" s="1">
        <f>H41/J41</f>
        <v>0.35164835164835168</v>
      </c>
      <c r="L41" s="1"/>
      <c r="M41" s="1">
        <f>(G41-F41)/J41</f>
        <v>0.35164835164835168</v>
      </c>
      <c r="N41" s="1">
        <f>(J41-I41)/J41</f>
        <v>0.2967032967032967</v>
      </c>
      <c r="P41">
        <f t="shared" si="4"/>
        <v>1</v>
      </c>
      <c r="Q41">
        <f t="shared" si="5"/>
        <v>0.35164835164835168</v>
      </c>
      <c r="R41">
        <f t="shared" si="6"/>
        <v>0.64835164835164838</v>
      </c>
      <c r="V41" s="1" t="s">
        <v>59</v>
      </c>
      <c r="W41">
        <v>101</v>
      </c>
      <c r="X41">
        <v>10</v>
      </c>
      <c r="Y41">
        <v>0</v>
      </c>
      <c r="Z41">
        <f t="shared" si="18"/>
        <v>91</v>
      </c>
      <c r="AA41">
        <v>0</v>
      </c>
      <c r="AB41">
        <f>58-X41</f>
        <v>48</v>
      </c>
      <c r="AC41">
        <f>AD41-AB41</f>
        <v>2</v>
      </c>
      <c r="AD41">
        <f>60-X41</f>
        <v>50</v>
      </c>
      <c r="AE41">
        <f t="shared" si="19"/>
        <v>91</v>
      </c>
      <c r="AF41">
        <f>AC41/AE41</f>
        <v>2.197802197802198E-2</v>
      </c>
      <c r="AH41">
        <f>(AB41-AA41)/AE41</f>
        <v>0.52747252747252749</v>
      </c>
      <c r="AI41">
        <f>(AE41-AD41)/AE41</f>
        <v>0.45054945054945056</v>
      </c>
      <c r="AK41">
        <f t="shared" si="8"/>
        <v>1</v>
      </c>
      <c r="AL41">
        <f t="shared" si="9"/>
        <v>2.197802197802198E-2</v>
      </c>
      <c r="AM41">
        <f t="shared" si="10"/>
        <v>0.9780219780219781</v>
      </c>
      <c r="AR41" t="s">
        <v>43</v>
      </c>
      <c r="AS41">
        <v>27</v>
      </c>
      <c r="AT41" s="8">
        <v>1.6</v>
      </c>
      <c r="AU41">
        <f>($G31-$F31)/$J31</f>
        <v>0.18128654970760233</v>
      </c>
      <c r="AV41">
        <f>($I31-$G31)/$J31</f>
        <v>0.57309941520467833</v>
      </c>
      <c r="AW41">
        <f>($J31-$I31)/$J31</f>
        <v>0.24561403508771928</v>
      </c>
    </row>
    <row r="42" spans="1:49" x14ac:dyDescent="0.25">
      <c r="A42" t="s">
        <v>55</v>
      </c>
      <c r="B42">
        <f>101</f>
        <v>101</v>
      </c>
      <c r="C42">
        <v>11</v>
      </c>
      <c r="D42">
        <v>17</v>
      </c>
      <c r="E42" s="1">
        <f t="shared" si="16"/>
        <v>73</v>
      </c>
      <c r="F42">
        <v>0</v>
      </c>
      <c r="G42">
        <f>0</f>
        <v>0</v>
      </c>
      <c r="I42">
        <f>0</f>
        <v>0</v>
      </c>
      <c r="J42">
        <f t="shared" si="17"/>
        <v>73</v>
      </c>
      <c r="K42">
        <f>(G42-F42)/J42</f>
        <v>0</v>
      </c>
      <c r="L42">
        <f>(J42-I42)/J42</f>
        <v>1</v>
      </c>
      <c r="M42">
        <f>(I42-G42)/J42</f>
        <v>0</v>
      </c>
      <c r="P42">
        <f t="shared" si="4"/>
        <v>1</v>
      </c>
      <c r="Q42">
        <f t="shared" si="5"/>
        <v>1</v>
      </c>
      <c r="R42">
        <f t="shared" si="6"/>
        <v>0</v>
      </c>
      <c r="S42" s="22"/>
      <c r="V42" t="s">
        <v>55</v>
      </c>
      <c r="W42">
        <v>101</v>
      </c>
      <c r="X42">
        <v>10</v>
      </c>
      <c r="Y42">
        <v>11</v>
      </c>
      <c r="Z42">
        <f t="shared" si="18"/>
        <v>80</v>
      </c>
      <c r="AA42">
        <v>0</v>
      </c>
      <c r="AB42">
        <f>20-X42</f>
        <v>10</v>
      </c>
      <c r="AD42">
        <f>54-X42</f>
        <v>44</v>
      </c>
      <c r="AE42">
        <f t="shared" si="19"/>
        <v>80</v>
      </c>
      <c r="AF42">
        <f>(AB42-AA42)/AE42</f>
        <v>0.125</v>
      </c>
      <c r="AG42">
        <f>(AE42-AD42)/AE42</f>
        <v>0.45</v>
      </c>
      <c r="AH42">
        <f>(AD42-AB42)/AE42</f>
        <v>0.42499999999999999</v>
      </c>
      <c r="AK42">
        <f t="shared" si="8"/>
        <v>1</v>
      </c>
      <c r="AL42">
        <f t="shared" si="9"/>
        <v>0.57499999999999996</v>
      </c>
      <c r="AM42">
        <f t="shared" si="10"/>
        <v>0.42499999999999999</v>
      </c>
      <c r="AR42" t="s">
        <v>44</v>
      </c>
      <c r="AS42">
        <v>42</v>
      </c>
      <c r="AT42" s="8">
        <v>1.6</v>
      </c>
      <c r="AU42">
        <f>($G32-$F32)/$J32</f>
        <v>0.16860465116279069</v>
      </c>
      <c r="AV42">
        <f>($I32-$G32)/$J32</f>
        <v>0.54651162790697672</v>
      </c>
      <c r="AW42">
        <f>($J32-$I32)/$J32</f>
        <v>0.28488372093023256</v>
      </c>
    </row>
    <row r="43" spans="1:49" x14ac:dyDescent="0.25">
      <c r="A43" s="23" t="s">
        <v>60</v>
      </c>
      <c r="B43">
        <v>81</v>
      </c>
      <c r="C43">
        <v>9</v>
      </c>
      <c r="D43">
        <v>7</v>
      </c>
      <c r="E43">
        <f t="shared" si="16"/>
        <v>65</v>
      </c>
      <c r="F43">
        <v>0</v>
      </c>
      <c r="G43">
        <f>28-C43</f>
        <v>19</v>
      </c>
      <c r="I43">
        <f>48-C43</f>
        <v>39</v>
      </c>
      <c r="J43">
        <f>E43</f>
        <v>65</v>
      </c>
      <c r="K43">
        <f>(G43-F43)/J43</f>
        <v>0.29230769230769232</v>
      </c>
      <c r="L43">
        <f>(J43-I43)/J43</f>
        <v>0.4</v>
      </c>
      <c r="M43">
        <f>(I43-G43)/J43</f>
        <v>0.30769230769230771</v>
      </c>
      <c r="P43">
        <f t="shared" si="4"/>
        <v>1</v>
      </c>
      <c r="Q43">
        <f t="shared" si="5"/>
        <v>0.69230769230769229</v>
      </c>
      <c r="R43">
        <f t="shared" si="6"/>
        <v>0.30769230769230771</v>
      </c>
      <c r="V43" t="s">
        <v>60</v>
      </c>
      <c r="W43">
        <v>81</v>
      </c>
      <c r="X43">
        <v>9</v>
      </c>
      <c r="Y43">
        <v>7</v>
      </c>
      <c r="Z43">
        <f t="shared" si="18"/>
        <v>65</v>
      </c>
      <c r="AA43">
        <v>0</v>
      </c>
      <c r="AB43">
        <f>28-X43</f>
        <v>19</v>
      </c>
      <c r="AD43">
        <f>49-X43</f>
        <v>40</v>
      </c>
      <c r="AE43">
        <f t="shared" si="19"/>
        <v>65</v>
      </c>
      <c r="AF43">
        <f>(AB43-AA43)/AE43</f>
        <v>0.29230769230769232</v>
      </c>
      <c r="AG43">
        <f>(AE43-AD43)/AE43</f>
        <v>0.38461538461538464</v>
      </c>
      <c r="AH43">
        <f>(AD43-AB43)/AE43</f>
        <v>0.32307692307692309</v>
      </c>
      <c r="AK43">
        <f t="shared" si="8"/>
        <v>1</v>
      </c>
      <c r="AL43">
        <f t="shared" si="9"/>
        <v>0.67692307692307696</v>
      </c>
      <c r="AM43">
        <f t="shared" si="10"/>
        <v>0.32307692307692309</v>
      </c>
      <c r="AR43" t="s">
        <v>46</v>
      </c>
      <c r="AS43">
        <v>12</v>
      </c>
      <c r="AT43" s="8">
        <v>1.6</v>
      </c>
      <c r="AU43">
        <f>($G34-$F34)/$J34</f>
        <v>0.15428571428571428</v>
      </c>
      <c r="AV43">
        <f>($I34-$G34)/$J34</f>
        <v>0.58857142857142852</v>
      </c>
      <c r="AW43">
        <f>($J34-$I34)/$J34</f>
        <v>0.25714285714285712</v>
      </c>
    </row>
    <row r="44" spans="1:49" x14ac:dyDescent="0.25">
      <c r="A44" t="s">
        <v>61</v>
      </c>
      <c r="B44">
        <v>81</v>
      </c>
      <c r="C44">
        <v>12</v>
      </c>
      <c r="D44">
        <v>13</v>
      </c>
      <c r="E44">
        <f t="shared" si="16"/>
        <v>56</v>
      </c>
      <c r="F44">
        <v>0</v>
      </c>
      <c r="G44">
        <v>0</v>
      </c>
      <c r="I44">
        <v>0</v>
      </c>
      <c r="J44">
        <f t="shared" si="17"/>
        <v>56</v>
      </c>
      <c r="K44" s="8">
        <f>(G44-F44)/J44</f>
        <v>0</v>
      </c>
      <c r="L44" s="8">
        <f>(J44-I44)/J44</f>
        <v>1</v>
      </c>
      <c r="M44" s="8">
        <f>(I44-G44)/J44</f>
        <v>0</v>
      </c>
      <c r="P44">
        <f t="shared" si="4"/>
        <v>1</v>
      </c>
      <c r="Q44">
        <f t="shared" si="5"/>
        <v>1</v>
      </c>
      <c r="R44">
        <f t="shared" si="6"/>
        <v>0</v>
      </c>
      <c r="S44" s="3"/>
      <c r="V44" t="s">
        <v>61</v>
      </c>
      <c r="W44">
        <v>81</v>
      </c>
      <c r="X44">
        <v>12</v>
      </c>
      <c r="Y44">
        <v>13</v>
      </c>
      <c r="Z44">
        <f t="shared" si="18"/>
        <v>56</v>
      </c>
      <c r="AA44">
        <v>0</v>
      </c>
      <c r="AE44">
        <f t="shared" si="19"/>
        <v>56</v>
      </c>
      <c r="AK44">
        <f t="shared" si="8"/>
        <v>0</v>
      </c>
      <c r="AL44">
        <f t="shared" si="9"/>
        <v>0</v>
      </c>
      <c r="AM44">
        <f t="shared" si="10"/>
        <v>0</v>
      </c>
      <c r="AR44" t="s">
        <v>47</v>
      </c>
      <c r="AS44">
        <v>27</v>
      </c>
      <c r="AT44" s="8">
        <v>1.6</v>
      </c>
      <c r="AU44">
        <f>($G35-$F35)/$J35</f>
        <v>0.15432098765432098</v>
      </c>
      <c r="AV44">
        <f>($I35-$G35)/$J35</f>
        <v>0.62962962962962965</v>
      </c>
      <c r="AW44">
        <f>($J35-$I35)/$J35</f>
        <v>0.21604938271604937</v>
      </c>
    </row>
    <row r="45" spans="1:49" x14ac:dyDescent="0.25">
      <c r="A45" s="1" t="s">
        <v>62</v>
      </c>
      <c r="B45" s="1">
        <v>52</v>
      </c>
      <c r="C45" s="1">
        <v>0</v>
      </c>
      <c r="D45" s="1">
        <v>0</v>
      </c>
      <c r="E45" s="1">
        <f t="shared" si="16"/>
        <v>52</v>
      </c>
      <c r="F45" s="1">
        <v>0</v>
      </c>
      <c r="G45" s="1">
        <f>25-C45</f>
        <v>25</v>
      </c>
      <c r="H45" s="1">
        <f>I45-G45</f>
        <v>14</v>
      </c>
      <c r="I45" s="1">
        <f>39-C45</f>
        <v>39</v>
      </c>
      <c r="J45" s="1">
        <f t="shared" si="17"/>
        <v>52</v>
      </c>
      <c r="K45" s="1">
        <f>H45/J45</f>
        <v>0.26923076923076922</v>
      </c>
      <c r="L45" s="1"/>
      <c r="M45" s="1">
        <f>(G45-F45)/J45</f>
        <v>0.48076923076923078</v>
      </c>
      <c r="N45" s="1">
        <f>(J45-I45)/J45</f>
        <v>0.25</v>
      </c>
      <c r="P45">
        <f t="shared" si="4"/>
        <v>1</v>
      </c>
      <c r="Q45">
        <f>SUM($K45:$L45)</f>
        <v>0.26923076923076922</v>
      </c>
      <c r="R45">
        <f t="shared" si="6"/>
        <v>0.73076923076923084</v>
      </c>
      <c r="V45" s="1" t="s">
        <v>62</v>
      </c>
      <c r="W45">
        <v>81</v>
      </c>
      <c r="X45">
        <v>15</v>
      </c>
      <c r="Y45">
        <v>14</v>
      </c>
      <c r="Z45">
        <f t="shared" si="18"/>
        <v>52</v>
      </c>
      <c r="AA45">
        <v>0</v>
      </c>
      <c r="AB45">
        <f>43-X45</f>
        <v>28</v>
      </c>
      <c r="AC45">
        <f>AD45-AB45</f>
        <v>10</v>
      </c>
      <c r="AD45">
        <f>53-X45</f>
        <v>38</v>
      </c>
      <c r="AE45">
        <f t="shared" si="19"/>
        <v>52</v>
      </c>
      <c r="AF45">
        <f>AC45/AE45</f>
        <v>0.19230769230769232</v>
      </c>
      <c r="AH45">
        <f>(AB45-AA45)/AE45</f>
        <v>0.53846153846153844</v>
      </c>
      <c r="AI45">
        <f>(AE45-AD45)/AE45</f>
        <v>0.26923076923076922</v>
      </c>
      <c r="AK45">
        <f t="shared" si="8"/>
        <v>1</v>
      </c>
      <c r="AL45">
        <f t="shared" si="9"/>
        <v>0.19230769230769232</v>
      </c>
      <c r="AM45">
        <f t="shared" si="10"/>
        <v>0.80769230769230771</v>
      </c>
      <c r="AR45" t="s">
        <v>48</v>
      </c>
      <c r="AS45">
        <v>42</v>
      </c>
      <c r="AT45" s="8">
        <v>1.6</v>
      </c>
      <c r="AU45">
        <f>($G36-$F36)/$J36</f>
        <v>0.15923566878980891</v>
      </c>
      <c r="AV45">
        <f>($I36-$G36)/$J36</f>
        <v>0.60509554140127386</v>
      </c>
      <c r="AW45">
        <f>($J36-$I36)/$J36</f>
        <v>0.2356687898089172</v>
      </c>
    </row>
    <row r="46" spans="1:49" x14ac:dyDescent="0.25">
      <c r="A46" t="s">
        <v>63</v>
      </c>
      <c r="B46">
        <v>221</v>
      </c>
      <c r="C46">
        <v>30</v>
      </c>
      <c r="D46">
        <v>5</v>
      </c>
      <c r="E46">
        <f t="shared" si="16"/>
        <v>186</v>
      </c>
      <c r="F46">
        <f>0</f>
        <v>0</v>
      </c>
      <c r="G46">
        <v>0</v>
      </c>
      <c r="I46">
        <f>179-C46</f>
        <v>149</v>
      </c>
      <c r="J46">
        <f t="shared" si="17"/>
        <v>186</v>
      </c>
      <c r="K46">
        <f>(G46-F46)/J46</f>
        <v>0</v>
      </c>
      <c r="L46">
        <f>(J46-I46)/J46</f>
        <v>0.19892473118279569</v>
      </c>
      <c r="M46">
        <f>(I46-G46)/J46</f>
        <v>0.80107526881720426</v>
      </c>
      <c r="P46">
        <f t="shared" si="4"/>
        <v>1</v>
      </c>
      <c r="Q46">
        <f>SUM($K46:$L46)</f>
        <v>0.19892473118279569</v>
      </c>
      <c r="R46">
        <f>SUM($M46:$N46)</f>
        <v>0.80107526881720426</v>
      </c>
      <c r="V46" t="s">
        <v>63</v>
      </c>
      <c r="W46">
        <v>222</v>
      </c>
      <c r="X46">
        <v>29</v>
      </c>
      <c r="Y46">
        <v>4</v>
      </c>
      <c r="Z46">
        <f t="shared" si="18"/>
        <v>189</v>
      </c>
      <c r="AA46">
        <v>0</v>
      </c>
      <c r="AB46">
        <f>30-X46</f>
        <v>1</v>
      </c>
      <c r="AD46">
        <f>180-X46</f>
        <v>151</v>
      </c>
      <c r="AE46">
        <f t="shared" si="19"/>
        <v>189</v>
      </c>
      <c r="AF46">
        <f>AB46/AE46</f>
        <v>5.2910052910052907E-3</v>
      </c>
      <c r="AG46">
        <f>(AE46-AD46)/AE46</f>
        <v>0.20105820105820105</v>
      </c>
      <c r="AH46">
        <f>(AD46-AB46)/AE46</f>
        <v>0.79365079365079361</v>
      </c>
      <c r="AK46">
        <f t="shared" si="8"/>
        <v>1</v>
      </c>
      <c r="AL46">
        <f t="shared" si="9"/>
        <v>0.20634920634920634</v>
      </c>
      <c r="AM46">
        <f t="shared" si="10"/>
        <v>0.79365079365079361</v>
      </c>
      <c r="AR46" t="s">
        <v>56</v>
      </c>
      <c r="AS46">
        <v>12</v>
      </c>
      <c r="AT46" s="8">
        <v>0.3</v>
      </c>
      <c r="AU46">
        <f>($G38-$F38)/$J38</f>
        <v>0</v>
      </c>
      <c r="AV46">
        <f>($I38-$G38)/$J38</f>
        <v>0</v>
      </c>
      <c r="AW46">
        <f>($J38-$I38)/$J38</f>
        <v>1</v>
      </c>
    </row>
    <row r="47" spans="1:49" x14ac:dyDescent="0.25">
      <c r="A47" t="s">
        <v>64</v>
      </c>
      <c r="B47">
        <v>191</v>
      </c>
      <c r="C47">
        <v>21</v>
      </c>
      <c r="D47">
        <v>2</v>
      </c>
      <c r="E47">
        <f t="shared" si="16"/>
        <v>168</v>
      </c>
      <c r="F47">
        <v>0</v>
      </c>
      <c r="G47">
        <f>0</f>
        <v>0</v>
      </c>
      <c r="I47">
        <f>174-C47</f>
        <v>153</v>
      </c>
      <c r="J47">
        <f>E47</f>
        <v>168</v>
      </c>
      <c r="K47">
        <f>(G47-F47)/J47</f>
        <v>0</v>
      </c>
      <c r="L47">
        <f>(J47-I47)/J47</f>
        <v>8.9285714285714288E-2</v>
      </c>
      <c r="M47">
        <f>(I47-G47)/J47</f>
        <v>0.9107142857142857</v>
      </c>
      <c r="P47">
        <f t="shared" si="4"/>
        <v>1</v>
      </c>
      <c r="Q47">
        <f t="shared" si="5"/>
        <v>8.9285714285714288E-2</v>
      </c>
      <c r="R47">
        <f t="shared" si="6"/>
        <v>0.9107142857142857</v>
      </c>
      <c r="V47" t="s">
        <v>64</v>
      </c>
      <c r="W47">
        <v>191</v>
      </c>
      <c r="X47">
        <v>24</v>
      </c>
      <c r="Y47">
        <v>3</v>
      </c>
      <c r="Z47">
        <f t="shared" si="18"/>
        <v>164</v>
      </c>
      <c r="AA47">
        <v>0</v>
      </c>
      <c r="AB47">
        <f>24-X47</f>
        <v>0</v>
      </c>
      <c r="AD47">
        <f>165-X47</f>
        <v>141</v>
      </c>
      <c r="AE47">
        <f t="shared" si="19"/>
        <v>164</v>
      </c>
      <c r="AF47">
        <f>AB47/AE47</f>
        <v>0</v>
      </c>
      <c r="AG47">
        <f>(AE47-AD47)/AE47</f>
        <v>0.1402439024390244</v>
      </c>
      <c r="AH47">
        <f t="shared" ref="AH47:AH48" si="20">(AD47-AB47)/AE47</f>
        <v>0.8597560975609756</v>
      </c>
      <c r="AK47">
        <f t="shared" si="8"/>
        <v>1</v>
      </c>
      <c r="AL47">
        <f t="shared" si="9"/>
        <v>0.1402439024390244</v>
      </c>
      <c r="AM47">
        <f t="shared" si="10"/>
        <v>0.8597560975609756</v>
      </c>
      <c r="AR47" t="s">
        <v>57</v>
      </c>
      <c r="AS47">
        <v>27</v>
      </c>
      <c r="AT47" s="8">
        <v>0.3</v>
      </c>
      <c r="AU47">
        <f>($G39-$F39)/$J39</f>
        <v>0.38271604938271603</v>
      </c>
      <c r="AV47">
        <f>($I39-$G39)/$J39</f>
        <v>0.29629629629629628</v>
      </c>
      <c r="AW47">
        <f>($J39-$I39)/$J39</f>
        <v>0.32098765432098764</v>
      </c>
    </row>
    <row r="48" spans="1:49" x14ac:dyDescent="0.25">
      <c r="A48" t="s">
        <v>65</v>
      </c>
      <c r="B48">
        <v>191</v>
      </c>
      <c r="C48">
        <v>13</v>
      </c>
      <c r="D48">
        <v>10</v>
      </c>
      <c r="E48">
        <f t="shared" si="16"/>
        <v>168</v>
      </c>
      <c r="F48">
        <v>0</v>
      </c>
      <c r="G48">
        <f>16-C48</f>
        <v>3</v>
      </c>
      <c r="I48">
        <f>168-C48</f>
        <v>155</v>
      </c>
      <c r="J48">
        <f t="shared" si="17"/>
        <v>168</v>
      </c>
      <c r="K48">
        <f>(G48-F48)/J48</f>
        <v>1.7857142857142856E-2</v>
      </c>
      <c r="L48">
        <f>(J48-I48)/J48</f>
        <v>7.7380952380952384E-2</v>
      </c>
      <c r="M48">
        <f>(I48-G48)/J48</f>
        <v>0.90476190476190477</v>
      </c>
      <c r="P48">
        <f t="shared" si="4"/>
        <v>1</v>
      </c>
      <c r="Q48">
        <f t="shared" si="5"/>
        <v>9.5238095238095233E-2</v>
      </c>
      <c r="R48">
        <f t="shared" si="6"/>
        <v>0.90476190476190477</v>
      </c>
      <c r="V48" t="s">
        <v>65</v>
      </c>
      <c r="W48">
        <v>191</v>
      </c>
      <c r="X48">
        <v>13</v>
      </c>
      <c r="Y48">
        <v>10</v>
      </c>
      <c r="Z48">
        <f t="shared" si="18"/>
        <v>168</v>
      </c>
      <c r="AA48">
        <v>0</v>
      </c>
      <c r="AB48">
        <f>13-X48</f>
        <v>0</v>
      </c>
      <c r="AD48">
        <f>168-X48</f>
        <v>155</v>
      </c>
      <c r="AE48">
        <f t="shared" si="19"/>
        <v>168</v>
      </c>
      <c r="AF48">
        <f>AB48/AE48</f>
        <v>0</v>
      </c>
      <c r="AG48">
        <f>(AE48-AD48)/AE48</f>
        <v>7.7380952380952384E-2</v>
      </c>
      <c r="AH48">
        <f t="shared" si="20"/>
        <v>0.92261904761904767</v>
      </c>
      <c r="AK48">
        <f t="shared" si="8"/>
        <v>1</v>
      </c>
      <c r="AL48">
        <f>SUM($AF48:$AG48)</f>
        <v>7.7380952380952384E-2</v>
      </c>
      <c r="AM48">
        <f t="shared" si="10"/>
        <v>0.92261904761904767</v>
      </c>
      <c r="AR48" t="s">
        <v>58</v>
      </c>
      <c r="AS48">
        <v>42</v>
      </c>
      <c r="AT48" s="8">
        <v>0.3</v>
      </c>
      <c r="AU48">
        <f>($G40-$F40)/$J40</f>
        <v>0.38356164383561642</v>
      </c>
      <c r="AV48">
        <f>($I40-$G40)/$J40</f>
        <v>0.31506849315068491</v>
      </c>
      <c r="AW48">
        <f>($J40-$I40)/$J40</f>
        <v>0.30136986301369861</v>
      </c>
    </row>
    <row r="49" spans="1:55" x14ac:dyDescent="0.25">
      <c r="A49" s="1" t="s">
        <v>66</v>
      </c>
      <c r="B49" s="1">
        <v>191</v>
      </c>
      <c r="C49" s="1">
        <f>9</f>
        <v>9</v>
      </c>
      <c r="D49" s="1">
        <v>10</v>
      </c>
      <c r="E49" s="1">
        <f t="shared" si="16"/>
        <v>172</v>
      </c>
      <c r="F49" s="1">
        <f>0</f>
        <v>0</v>
      </c>
      <c r="G49" s="1">
        <f>140-C49</f>
        <v>131</v>
      </c>
      <c r="H49" s="1">
        <f>I49-G49</f>
        <v>17</v>
      </c>
      <c r="I49" s="1">
        <f>157-C49</f>
        <v>148</v>
      </c>
      <c r="J49" s="1">
        <f t="shared" si="17"/>
        <v>172</v>
      </c>
      <c r="K49" s="1">
        <f>(G49-F49)/J49</f>
        <v>0.76162790697674421</v>
      </c>
      <c r="L49" s="1">
        <f>(J49-I49)/J49</f>
        <v>0.13953488372093023</v>
      </c>
      <c r="M49" s="1">
        <f>(I49-G49)/J49</f>
        <v>9.8837209302325577E-2</v>
      </c>
      <c r="N49" s="1"/>
      <c r="O49" s="1"/>
      <c r="P49">
        <f>SUM($K49:$O49)</f>
        <v>1</v>
      </c>
      <c r="Q49">
        <f>SUM($K49:$L49)</f>
        <v>0.90116279069767447</v>
      </c>
      <c r="R49">
        <f>SUM($M49:$O49)</f>
        <v>9.8837209302325577E-2</v>
      </c>
      <c r="S49" s="3"/>
      <c r="V49" t="s">
        <v>66</v>
      </c>
      <c r="W49">
        <v>191</v>
      </c>
      <c r="X49">
        <v>9</v>
      </c>
      <c r="Y49">
        <v>10</v>
      </c>
      <c r="Z49">
        <f t="shared" si="18"/>
        <v>172</v>
      </c>
      <c r="AA49">
        <v>0</v>
      </c>
      <c r="AB49">
        <f>140-X49</f>
        <v>131</v>
      </c>
      <c r="AC49">
        <f>AD49-AB49</f>
        <v>17</v>
      </c>
      <c r="AD49">
        <f>157-X49</f>
        <v>148</v>
      </c>
      <c r="AE49">
        <f t="shared" si="19"/>
        <v>172</v>
      </c>
      <c r="AF49">
        <f>(AB49-AA49)/AE49</f>
        <v>0.76162790697674421</v>
      </c>
      <c r="AG49">
        <f>(AE49-AD49)/AE49</f>
        <v>0.13953488372093023</v>
      </c>
      <c r="AH49">
        <f>AC49/AE49</f>
        <v>9.8837209302325577E-2</v>
      </c>
      <c r="AK49">
        <f t="shared" si="8"/>
        <v>1</v>
      </c>
      <c r="AL49">
        <f t="shared" si="9"/>
        <v>0.90116279069767447</v>
      </c>
      <c r="AM49">
        <f>SUM($AH49:$AJ49)</f>
        <v>9.8837209302325577E-2</v>
      </c>
      <c r="AR49" t="s">
        <v>55</v>
      </c>
      <c r="AS49">
        <v>12</v>
      </c>
      <c r="AT49" s="8">
        <v>0.3</v>
      </c>
      <c r="AU49">
        <f>($G42-$F42)/$J42</f>
        <v>0</v>
      </c>
      <c r="AV49">
        <f>($I42-$G42)/$J42</f>
        <v>0</v>
      </c>
      <c r="AW49">
        <f>($J42-$I42)/$J42</f>
        <v>1</v>
      </c>
    </row>
    <row r="50" spans="1:55" x14ac:dyDescent="0.25">
      <c r="AR50" t="s">
        <v>60</v>
      </c>
      <c r="AS50">
        <v>27</v>
      </c>
      <c r="AT50" s="8">
        <v>0.3</v>
      </c>
      <c r="AU50">
        <f>($G43-$F43)/$J43</f>
        <v>0.29230769230769232</v>
      </c>
      <c r="AV50">
        <f>($I43-$G43)/$J43</f>
        <v>0.30769230769230771</v>
      </c>
      <c r="AW50">
        <f>($J43-$I43)/$J43</f>
        <v>0.4</v>
      </c>
    </row>
    <row r="51" spans="1:55" x14ac:dyDescent="0.25">
      <c r="AR51" t="s">
        <v>61</v>
      </c>
      <c r="AS51">
        <v>42</v>
      </c>
      <c r="AT51" s="8">
        <v>0.3</v>
      </c>
      <c r="AU51">
        <f>($G44-$F44)/$J44</f>
        <v>0</v>
      </c>
      <c r="AV51">
        <f>($I44-$G44)/$J44</f>
        <v>0</v>
      </c>
      <c r="AW51">
        <f>($J44-$I44)/$J44</f>
        <v>1</v>
      </c>
    </row>
    <row r="52" spans="1:55" x14ac:dyDescent="0.25">
      <c r="AR52" t="s">
        <v>63</v>
      </c>
      <c r="AS52">
        <v>12</v>
      </c>
      <c r="AT52" s="8">
        <v>1.6</v>
      </c>
      <c r="AU52">
        <f>($G46-$F46)/$J46</f>
        <v>0</v>
      </c>
      <c r="AV52">
        <f>($I46-$G46)/$J46</f>
        <v>0.80107526881720426</v>
      </c>
      <c r="AW52">
        <f>($J46-$I46)/$J46</f>
        <v>0.19892473118279569</v>
      </c>
    </row>
    <row r="53" spans="1:55" ht="21" x14ac:dyDescent="0.35">
      <c r="A53" s="5" t="s">
        <v>69</v>
      </c>
      <c r="AR53" t="s">
        <v>64</v>
      </c>
      <c r="AS53">
        <v>27</v>
      </c>
      <c r="AT53" s="8">
        <v>1.6</v>
      </c>
      <c r="AU53">
        <f>($G47-$F47)/$J47</f>
        <v>0</v>
      </c>
      <c r="AV53">
        <f>($I47-$G47)/$J47</f>
        <v>0.9107142857142857</v>
      </c>
      <c r="AW53">
        <f>($J47-$I47)/$J47</f>
        <v>8.9285714285714288E-2</v>
      </c>
    </row>
    <row r="54" spans="1:55" x14ac:dyDescent="0.25">
      <c r="AR54" t="s">
        <v>65</v>
      </c>
      <c r="AS54">
        <v>42</v>
      </c>
      <c r="AT54" s="8">
        <v>1.6</v>
      </c>
      <c r="AU54">
        <f>($G48-$F48)/$J48</f>
        <v>1.7857142857142856E-2</v>
      </c>
      <c r="AV54">
        <f>($I48-$G48)/$J48</f>
        <v>0.90476190476190477</v>
      </c>
      <c r="AW54">
        <f>($J48-$I48)/$J48</f>
        <v>7.7380952380952384E-2</v>
      </c>
    </row>
    <row r="55" spans="1:55" ht="18.75" x14ac:dyDescent="0.3">
      <c r="A55" s="2" t="s">
        <v>88</v>
      </c>
      <c r="B55" s="4" t="s">
        <v>70</v>
      </c>
      <c r="C55" s="4" t="s">
        <v>71</v>
      </c>
      <c r="D55" s="4" t="s">
        <v>72</v>
      </c>
      <c r="E55" s="4" t="s">
        <v>73</v>
      </c>
      <c r="F55" s="4" t="s">
        <v>76</v>
      </c>
      <c r="H55" s="4" t="s">
        <v>74</v>
      </c>
      <c r="I55" s="4" t="s">
        <v>75</v>
      </c>
      <c r="J55" s="4" t="s">
        <v>72</v>
      </c>
      <c r="K55" s="4" t="s">
        <v>73</v>
      </c>
      <c r="L55" s="4" t="s">
        <v>76</v>
      </c>
    </row>
    <row r="56" spans="1:55" x14ac:dyDescent="0.25">
      <c r="A56" t="s">
        <v>14</v>
      </c>
      <c r="B56">
        <f>R2</f>
        <v>0.40229885057471265</v>
      </c>
      <c r="C56">
        <f>AM2</f>
        <v>0.36263736263736263</v>
      </c>
      <c r="D56">
        <f t="shared" ref="D56:D103" si="21">ABS(B56-C56)</f>
        <v>3.9661487937350026E-2</v>
      </c>
      <c r="E56">
        <f t="shared" ref="E56:E103" si="22">D56*100/AVERAGE(B56,C56)</f>
        <v>10.369881109643334</v>
      </c>
      <c r="F56">
        <f>R2</f>
        <v>0.40229885057471265</v>
      </c>
      <c r="H56">
        <f>Q2</f>
        <v>0.5977011494252874</v>
      </c>
      <c r="I56">
        <f>AL2</f>
        <v>0.63736263736263732</v>
      </c>
      <c r="J56">
        <f>ABS(H56-I56)</f>
        <v>3.9661487937349915E-2</v>
      </c>
      <c r="K56">
        <f>J56*100/AVERAGE(H56,I56)</f>
        <v>6.4225813049703264</v>
      </c>
      <c r="L56">
        <f>Q2</f>
        <v>0.5977011494252874</v>
      </c>
    </row>
    <row r="57" spans="1:55" x14ac:dyDescent="0.25">
      <c r="A57" t="s">
        <v>15</v>
      </c>
      <c r="B57">
        <f t="shared" ref="B57:B101" si="23">R3</f>
        <v>0.41111111111111109</v>
      </c>
      <c r="C57">
        <f t="shared" ref="C57:C102" si="24">AM3</f>
        <v>0.3888888888888889</v>
      </c>
      <c r="D57">
        <f t="shared" si="21"/>
        <v>2.2222222222222199E-2</v>
      </c>
      <c r="E57">
        <f t="shared" si="22"/>
        <v>5.5555555555555491</v>
      </c>
      <c r="F57" s="8">
        <f t="shared" ref="F57:F103" si="25">R3</f>
        <v>0.41111111111111109</v>
      </c>
      <c r="H57">
        <f t="shared" ref="H57:H103" si="26">Q3</f>
        <v>0.58888888888888891</v>
      </c>
      <c r="I57">
        <f t="shared" ref="I57:I103" si="27">AL3</f>
        <v>0.61111111111111116</v>
      </c>
      <c r="J57">
        <f t="shared" ref="J57:J103" si="28">ABS(H57-I57)</f>
        <v>2.2222222222222254E-2</v>
      </c>
      <c r="K57">
        <f t="shared" ref="K57:K103" si="29">J57*100/AVERAGE(H57,I57)</f>
        <v>3.7037037037037086</v>
      </c>
      <c r="L57" s="8">
        <f t="shared" ref="L57:L103" si="30">Q3</f>
        <v>0.58888888888888891</v>
      </c>
    </row>
    <row r="58" spans="1:55" x14ac:dyDescent="0.25">
      <c r="A58" t="s">
        <v>16</v>
      </c>
      <c r="B58">
        <f>R4</f>
        <v>0.39080459770114945</v>
      </c>
      <c r="C58">
        <f t="shared" si="24"/>
        <v>0.375</v>
      </c>
      <c r="D58">
        <f t="shared" si="21"/>
        <v>1.5804597701149448E-2</v>
      </c>
      <c r="E58">
        <f t="shared" si="22"/>
        <v>4.1275797373358412</v>
      </c>
      <c r="F58" s="8">
        <f t="shared" si="25"/>
        <v>0.39080459770114945</v>
      </c>
      <c r="H58">
        <f t="shared" si="26"/>
        <v>0.60919540229885061</v>
      </c>
      <c r="I58">
        <f t="shared" si="27"/>
        <v>0.625</v>
      </c>
      <c r="J58">
        <f t="shared" si="28"/>
        <v>1.5804597701149392E-2</v>
      </c>
      <c r="K58">
        <f t="shared" si="29"/>
        <v>2.5611175785797387</v>
      </c>
      <c r="L58" s="8">
        <f t="shared" si="30"/>
        <v>0.60919540229885061</v>
      </c>
    </row>
    <row r="59" spans="1:55" x14ac:dyDescent="0.25">
      <c r="A59" s="1" t="s">
        <v>17</v>
      </c>
      <c r="B59" s="1">
        <f>R5</f>
        <v>0.62790697674418605</v>
      </c>
      <c r="C59" s="1">
        <f t="shared" si="24"/>
        <v>0.62068965517241381</v>
      </c>
      <c r="D59" s="1">
        <f t="shared" si="21"/>
        <v>7.2173215717722394E-3</v>
      </c>
      <c r="E59" s="1">
        <f t="shared" si="22"/>
        <v>1.1560693641618474</v>
      </c>
      <c r="F59" s="8">
        <f t="shared" si="25"/>
        <v>0.62790697674418605</v>
      </c>
      <c r="G59" s="1"/>
      <c r="H59" s="1">
        <f t="shared" si="26"/>
        <v>0.37209302325581395</v>
      </c>
      <c r="I59" s="1">
        <f t="shared" si="27"/>
        <v>0.37931034482758619</v>
      </c>
      <c r="J59" s="1">
        <f t="shared" si="28"/>
        <v>7.2173215717722394E-3</v>
      </c>
      <c r="K59" s="1">
        <f t="shared" si="29"/>
        <v>1.9210245464247562</v>
      </c>
      <c r="L59" s="8">
        <f t="shared" si="30"/>
        <v>0.37209302325581395</v>
      </c>
    </row>
    <row r="60" spans="1:55" ht="18.75" x14ac:dyDescent="0.3">
      <c r="A60" t="s">
        <v>18</v>
      </c>
      <c r="B60">
        <f t="shared" si="23"/>
        <v>0.56818181818181823</v>
      </c>
      <c r="C60">
        <f t="shared" si="24"/>
        <v>0.56382978723404253</v>
      </c>
      <c r="D60">
        <f t="shared" si="21"/>
        <v>4.352030947775698E-3</v>
      </c>
      <c r="E60">
        <f t="shared" si="22"/>
        <v>0.7689021785561847</v>
      </c>
      <c r="F60" s="8">
        <f t="shared" si="25"/>
        <v>0.56818181818181823</v>
      </c>
      <c r="H60">
        <f t="shared" si="26"/>
        <v>0.43181818181818182</v>
      </c>
      <c r="I60">
        <f t="shared" si="27"/>
        <v>0.43617021276595747</v>
      </c>
      <c r="J60">
        <f t="shared" si="28"/>
        <v>4.3520309477756425E-3</v>
      </c>
      <c r="K60">
        <f t="shared" si="29"/>
        <v>1.0027855153203373</v>
      </c>
      <c r="L60" s="8">
        <f t="shared" si="30"/>
        <v>0.43181818181818182</v>
      </c>
      <c r="AR60" s="2" t="s">
        <v>108</v>
      </c>
      <c r="AS60" s="10" t="s">
        <v>109</v>
      </c>
      <c r="AT60" s="10" t="s">
        <v>92</v>
      </c>
      <c r="AU60" s="10" t="s">
        <v>106</v>
      </c>
      <c r="AV60" s="10" t="s">
        <v>107</v>
      </c>
      <c r="AW60" s="10" t="s">
        <v>98</v>
      </c>
    </row>
    <row r="61" spans="1:55" x14ac:dyDescent="0.25">
      <c r="A61" t="s">
        <v>19</v>
      </c>
      <c r="B61">
        <f t="shared" si="23"/>
        <v>0.37777777777777777</v>
      </c>
      <c r="C61">
        <f t="shared" si="24"/>
        <v>0.38947368421052631</v>
      </c>
      <c r="D61">
        <f t="shared" si="21"/>
        <v>1.1695906432748537E-2</v>
      </c>
      <c r="E61">
        <f t="shared" si="22"/>
        <v>3.0487804878048781</v>
      </c>
      <c r="F61" s="8">
        <f t="shared" si="25"/>
        <v>0.37777777777777777</v>
      </c>
      <c r="H61">
        <f t="shared" si="26"/>
        <v>0.62222222222222223</v>
      </c>
      <c r="I61">
        <f t="shared" si="27"/>
        <v>0.61052631578947369</v>
      </c>
      <c r="J61">
        <f t="shared" si="28"/>
        <v>1.1695906432748537E-2</v>
      </c>
      <c r="K61">
        <f t="shared" si="29"/>
        <v>1.8975332068311193</v>
      </c>
      <c r="L61" s="8">
        <f t="shared" si="30"/>
        <v>0.62222222222222223</v>
      </c>
      <c r="AR61" s="8" t="s">
        <v>14</v>
      </c>
      <c r="AS61">
        <f>2</f>
        <v>2</v>
      </c>
      <c r="AT61" s="8">
        <f>12</f>
        <v>12</v>
      </c>
      <c r="AU61">
        <f>F56</f>
        <v>0.40229885057471265</v>
      </c>
      <c r="AV61">
        <f>L56</f>
        <v>0.5977011494252874</v>
      </c>
      <c r="AW61">
        <v>1</v>
      </c>
    </row>
    <row r="62" spans="1:55" x14ac:dyDescent="0.25">
      <c r="A62" t="s">
        <v>20</v>
      </c>
      <c r="B62">
        <f t="shared" si="23"/>
        <v>0.33707865168539325</v>
      </c>
      <c r="C62">
        <f t="shared" si="24"/>
        <v>0.3595505617977528</v>
      </c>
      <c r="D62">
        <f t="shared" si="21"/>
        <v>2.247191011235955E-2</v>
      </c>
      <c r="E62">
        <f t="shared" si="22"/>
        <v>6.4516129032258078</v>
      </c>
      <c r="F62" s="8">
        <f t="shared" si="25"/>
        <v>0.33707865168539325</v>
      </c>
      <c r="H62">
        <f t="shared" si="26"/>
        <v>0.66292134831460681</v>
      </c>
      <c r="I62">
        <f t="shared" si="27"/>
        <v>0.6404494382022472</v>
      </c>
      <c r="J62">
        <f t="shared" si="28"/>
        <v>2.2471910112359605E-2</v>
      </c>
      <c r="K62">
        <f t="shared" si="29"/>
        <v>3.4482758620689737</v>
      </c>
      <c r="L62" s="8">
        <f t="shared" si="30"/>
        <v>0.66292134831460681</v>
      </c>
      <c r="AR62" s="8" t="s">
        <v>15</v>
      </c>
      <c r="AS62" s="8">
        <f>2</f>
        <v>2</v>
      </c>
      <c r="AT62" s="8">
        <v>27</v>
      </c>
      <c r="AU62" s="8">
        <f t="shared" ref="AU62:AU63" si="31">F57</f>
        <v>0.41111111111111109</v>
      </c>
      <c r="AV62" s="8">
        <f t="shared" ref="AV62:AV63" si="32">L57</f>
        <v>0.58888888888888891</v>
      </c>
      <c r="AW62" s="8">
        <v>1</v>
      </c>
      <c r="AY62" s="8"/>
      <c r="AZ62" s="8"/>
      <c r="BB62" s="8"/>
      <c r="BC62" s="8"/>
    </row>
    <row r="63" spans="1:55" x14ac:dyDescent="0.25">
      <c r="A63" s="1" t="s">
        <v>21</v>
      </c>
      <c r="B63" s="1">
        <f t="shared" si="23"/>
        <v>0.68292682926829262</v>
      </c>
      <c r="C63" s="1">
        <f t="shared" si="24"/>
        <v>0.73958333333333326</v>
      </c>
      <c r="D63" s="1">
        <f t="shared" si="21"/>
        <v>5.6656504065040636E-2</v>
      </c>
      <c r="E63" s="1">
        <f t="shared" si="22"/>
        <v>7.9657081621718149</v>
      </c>
      <c r="F63" s="8">
        <f t="shared" si="25"/>
        <v>0.68292682926829262</v>
      </c>
      <c r="G63" s="1"/>
      <c r="H63" s="1">
        <f t="shared" si="26"/>
        <v>0.31707317073170732</v>
      </c>
      <c r="I63" s="1">
        <f t="shared" si="27"/>
        <v>0.26041666666666669</v>
      </c>
      <c r="J63" s="1">
        <f t="shared" si="28"/>
        <v>5.6656504065040636E-2</v>
      </c>
      <c r="K63" s="1">
        <f t="shared" si="29"/>
        <v>19.621645402551689</v>
      </c>
      <c r="L63" s="8">
        <f t="shared" si="30"/>
        <v>0.31707317073170732</v>
      </c>
      <c r="AR63" s="8" t="s">
        <v>16</v>
      </c>
      <c r="AS63" s="8">
        <f>2</f>
        <v>2</v>
      </c>
      <c r="AT63" s="8">
        <v>42</v>
      </c>
      <c r="AU63" s="8">
        <f t="shared" si="31"/>
        <v>0.39080459770114945</v>
      </c>
      <c r="AV63" s="8">
        <f t="shared" si="32"/>
        <v>0.60919540229885061</v>
      </c>
      <c r="AW63" s="8">
        <v>1</v>
      </c>
      <c r="AY63" s="8"/>
      <c r="AZ63" s="8"/>
      <c r="BB63" s="8"/>
      <c r="BC63" s="8"/>
    </row>
    <row r="64" spans="1:55" x14ac:dyDescent="0.25">
      <c r="A64" t="s">
        <v>22</v>
      </c>
      <c r="B64">
        <f t="shared" si="23"/>
        <v>0.6067415730337079</v>
      </c>
      <c r="C64">
        <f t="shared" si="24"/>
        <v>0.57471264367816088</v>
      </c>
      <c r="D64">
        <f t="shared" si="21"/>
        <v>3.202892935554702E-2</v>
      </c>
      <c r="E64">
        <f t="shared" si="22"/>
        <v>5.421950153038928</v>
      </c>
      <c r="F64" s="8">
        <f t="shared" si="25"/>
        <v>0.6067415730337079</v>
      </c>
      <c r="H64">
        <f t="shared" si="26"/>
        <v>0.3932584269662921</v>
      </c>
      <c r="I64">
        <f t="shared" si="27"/>
        <v>0.42528735632183912</v>
      </c>
      <c r="J64">
        <f t="shared" si="28"/>
        <v>3.202892935554702E-2</v>
      </c>
      <c r="K64">
        <f t="shared" si="29"/>
        <v>7.8258125591669474</v>
      </c>
      <c r="L64" s="8">
        <f t="shared" si="30"/>
        <v>0.3932584269662921</v>
      </c>
      <c r="AR64" s="8" t="s">
        <v>18</v>
      </c>
      <c r="AS64">
        <f>3</f>
        <v>3</v>
      </c>
      <c r="AT64" s="8">
        <v>12</v>
      </c>
      <c r="AU64" s="8">
        <f>F60</f>
        <v>0.56818181818181823</v>
      </c>
      <c r="AV64">
        <f>L60</f>
        <v>0.43181818181818182</v>
      </c>
      <c r="AW64" s="8">
        <v>1</v>
      </c>
      <c r="AZ64" s="8"/>
      <c r="BC64" s="8"/>
    </row>
    <row r="65" spans="1:55" x14ac:dyDescent="0.25">
      <c r="A65" t="s">
        <v>23</v>
      </c>
      <c r="B65">
        <f t="shared" si="23"/>
        <v>0.39325842696629215</v>
      </c>
      <c r="C65">
        <f t="shared" si="24"/>
        <v>0.4157303370786517</v>
      </c>
      <c r="D65">
        <f t="shared" si="21"/>
        <v>2.247191011235955E-2</v>
      </c>
      <c r="E65">
        <f t="shared" si="22"/>
        <v>5.5555555555555562</v>
      </c>
      <c r="F65" s="8">
        <f t="shared" si="25"/>
        <v>0.39325842696629215</v>
      </c>
      <c r="H65">
        <f t="shared" si="26"/>
        <v>0.6067415730337079</v>
      </c>
      <c r="I65">
        <f t="shared" si="27"/>
        <v>0.58426966292134841</v>
      </c>
      <c r="J65">
        <f t="shared" si="28"/>
        <v>2.2471910112359494E-2</v>
      </c>
      <c r="K65">
        <f t="shared" si="29"/>
        <v>3.7735849056603672</v>
      </c>
      <c r="L65" s="8">
        <f t="shared" si="30"/>
        <v>0.6067415730337079</v>
      </c>
      <c r="AR65" s="8" t="s">
        <v>19</v>
      </c>
      <c r="AS65" s="8">
        <f>3</f>
        <v>3</v>
      </c>
      <c r="AT65" s="8">
        <v>27</v>
      </c>
      <c r="AU65" s="8">
        <f t="shared" ref="AU65:AU66" si="33">F61</f>
        <v>0.37777777777777777</v>
      </c>
      <c r="AV65" s="8">
        <f t="shared" ref="AV65:AV66" si="34">L61</f>
        <v>0.62222222222222223</v>
      </c>
      <c r="AW65" s="8">
        <v>1</v>
      </c>
      <c r="AY65" s="8"/>
      <c r="AZ65" s="8"/>
      <c r="BB65" s="8"/>
      <c r="BC65" s="8"/>
    </row>
    <row r="66" spans="1:55" x14ac:dyDescent="0.25">
      <c r="A66" t="s">
        <v>24</v>
      </c>
      <c r="B66">
        <f t="shared" si="23"/>
        <v>0.32222222222222224</v>
      </c>
      <c r="C66">
        <f t="shared" si="24"/>
        <v>0.30337078651685395</v>
      </c>
      <c r="D66">
        <f t="shared" si="21"/>
        <v>1.8851435705368291E-2</v>
      </c>
      <c r="E66">
        <f t="shared" si="22"/>
        <v>6.0267411694272601</v>
      </c>
      <c r="F66" s="8">
        <f t="shared" si="25"/>
        <v>0.32222222222222224</v>
      </c>
      <c r="H66">
        <f t="shared" si="26"/>
        <v>0.67777777777777781</v>
      </c>
      <c r="I66">
        <f t="shared" si="27"/>
        <v>0.6966292134831461</v>
      </c>
      <c r="J66">
        <f t="shared" si="28"/>
        <v>1.8851435705368291E-2</v>
      </c>
      <c r="K66">
        <f t="shared" si="29"/>
        <v>2.7432101008265963</v>
      </c>
      <c r="L66" s="8">
        <f t="shared" si="30"/>
        <v>0.67777777777777781</v>
      </c>
      <c r="AR66" s="8" t="s">
        <v>20</v>
      </c>
      <c r="AS66" s="8">
        <f>3</f>
        <v>3</v>
      </c>
      <c r="AT66" s="8">
        <v>42</v>
      </c>
      <c r="AU66" s="8">
        <f t="shared" si="33"/>
        <v>0.33707865168539325</v>
      </c>
      <c r="AV66" s="8">
        <f t="shared" si="34"/>
        <v>0.66292134831460681</v>
      </c>
      <c r="AW66" s="8">
        <v>1</v>
      </c>
      <c r="AY66" s="8"/>
      <c r="AZ66" s="8"/>
      <c r="BB66" s="8"/>
      <c r="BC66" s="8"/>
    </row>
    <row r="67" spans="1:55" x14ac:dyDescent="0.25">
      <c r="A67" s="1" t="s">
        <v>26</v>
      </c>
      <c r="B67" s="1">
        <f t="shared" si="23"/>
        <v>0.78021978021978022</v>
      </c>
      <c r="C67" s="1">
        <f t="shared" si="24"/>
        <v>0.80219780219780223</v>
      </c>
      <c r="D67" s="1">
        <f t="shared" si="21"/>
        <v>2.1978021978022011E-2</v>
      </c>
      <c r="E67" s="1">
        <f t="shared" si="22"/>
        <v>2.7777777777777817</v>
      </c>
      <c r="F67" s="8">
        <f t="shared" si="25"/>
        <v>0.78021978021978022</v>
      </c>
      <c r="G67" s="1"/>
      <c r="H67" s="1">
        <f t="shared" si="26"/>
        <v>0.21978021978021978</v>
      </c>
      <c r="I67" s="1">
        <f t="shared" si="27"/>
        <v>0.19780219780219779</v>
      </c>
      <c r="J67" s="1">
        <f t="shared" si="28"/>
        <v>2.1978021978021983E-2</v>
      </c>
      <c r="K67" s="1">
        <f t="shared" si="29"/>
        <v>10.526315789473689</v>
      </c>
      <c r="L67" s="8">
        <f t="shared" si="30"/>
        <v>0.21978021978021978</v>
      </c>
      <c r="AR67" s="8" t="s">
        <v>22</v>
      </c>
      <c r="AS67">
        <f>4</f>
        <v>4</v>
      </c>
      <c r="AT67" s="8">
        <v>12</v>
      </c>
      <c r="AU67" s="8">
        <f>F64</f>
        <v>0.6067415730337079</v>
      </c>
      <c r="AV67">
        <f>L64</f>
        <v>0.3932584269662921</v>
      </c>
      <c r="AW67" s="8">
        <v>1</v>
      </c>
      <c r="AZ67" s="8"/>
      <c r="BC67" s="8"/>
    </row>
    <row r="68" spans="1:55" x14ac:dyDescent="0.25">
      <c r="A68" s="23" t="s">
        <v>25</v>
      </c>
      <c r="B68">
        <f t="shared" si="23"/>
        <v>0.32</v>
      </c>
      <c r="C68">
        <f t="shared" si="24"/>
        <v>0.43137254901960786</v>
      </c>
      <c r="D68">
        <f t="shared" si="21"/>
        <v>0.11137254901960786</v>
      </c>
      <c r="E68">
        <f t="shared" si="22"/>
        <v>29.645093945720252</v>
      </c>
      <c r="F68" s="8">
        <f t="shared" si="25"/>
        <v>0.32</v>
      </c>
      <c r="H68">
        <f t="shared" si="26"/>
        <v>0.68</v>
      </c>
      <c r="I68">
        <f t="shared" si="27"/>
        <v>0.56862745098039214</v>
      </c>
      <c r="J68">
        <f t="shared" si="28"/>
        <v>0.11137254901960791</v>
      </c>
      <c r="K68">
        <f t="shared" si="29"/>
        <v>17.839195979899511</v>
      </c>
      <c r="L68" s="8">
        <f t="shared" si="30"/>
        <v>0.68</v>
      </c>
      <c r="AR68" s="8" t="s">
        <v>23</v>
      </c>
      <c r="AS68" s="8">
        <f>4</f>
        <v>4</v>
      </c>
      <c r="AT68" s="8">
        <v>27</v>
      </c>
      <c r="AU68" s="8">
        <f t="shared" ref="AU68:AU69" si="35">F65</f>
        <v>0.39325842696629215</v>
      </c>
      <c r="AV68" s="8">
        <f t="shared" ref="AV68:AV69" si="36">L65</f>
        <v>0.6067415730337079</v>
      </c>
      <c r="AW68" s="8">
        <v>1</v>
      </c>
      <c r="AY68" s="8"/>
      <c r="AZ68" s="8"/>
      <c r="BB68" s="8"/>
      <c r="BC68" s="8"/>
    </row>
    <row r="69" spans="1:55" x14ac:dyDescent="0.25">
      <c r="A69" s="23" t="s">
        <v>27</v>
      </c>
      <c r="B69">
        <f t="shared" si="23"/>
        <v>0.1</v>
      </c>
      <c r="C69">
        <f t="shared" si="24"/>
        <v>0.53061224489795922</v>
      </c>
      <c r="D69">
        <f t="shared" si="21"/>
        <v>0.43061224489795924</v>
      </c>
      <c r="E69">
        <f t="shared" si="22"/>
        <v>136.56957928802592</v>
      </c>
      <c r="F69" s="8">
        <f t="shared" si="25"/>
        <v>0.1</v>
      </c>
      <c r="H69">
        <f t="shared" si="26"/>
        <v>0.9</v>
      </c>
      <c r="I69">
        <f t="shared" si="27"/>
        <v>0.46938775510204078</v>
      </c>
      <c r="J69">
        <f t="shared" si="28"/>
        <v>0.43061224489795924</v>
      </c>
      <c r="K69">
        <f t="shared" si="29"/>
        <v>62.891207153502243</v>
      </c>
      <c r="L69" s="8">
        <f t="shared" si="30"/>
        <v>0.9</v>
      </c>
      <c r="AR69" s="8" t="s">
        <v>24</v>
      </c>
      <c r="AS69" s="8">
        <f>4</f>
        <v>4</v>
      </c>
      <c r="AT69" s="8">
        <v>42</v>
      </c>
      <c r="AU69" s="8">
        <f t="shared" si="35"/>
        <v>0.32222222222222224</v>
      </c>
      <c r="AV69" s="8">
        <f t="shared" si="36"/>
        <v>0.67777777777777781</v>
      </c>
      <c r="AW69" s="8">
        <v>1</v>
      </c>
      <c r="AY69" s="8"/>
      <c r="AZ69" s="8"/>
      <c r="BB69" s="8"/>
      <c r="BC69" s="8"/>
    </row>
    <row r="70" spans="1:55" x14ac:dyDescent="0.25">
      <c r="A70" s="23" t="s">
        <v>28</v>
      </c>
      <c r="B70">
        <f t="shared" si="23"/>
        <v>0</v>
      </c>
      <c r="C70">
        <f t="shared" si="24"/>
        <v>0.53191489361702127</v>
      </c>
      <c r="D70">
        <f t="shared" si="21"/>
        <v>0.53191489361702127</v>
      </c>
      <c r="E70">
        <f t="shared" si="22"/>
        <v>200</v>
      </c>
      <c r="F70" s="8">
        <f t="shared" si="25"/>
        <v>0</v>
      </c>
      <c r="H70">
        <f t="shared" si="26"/>
        <v>1</v>
      </c>
      <c r="I70">
        <f t="shared" si="27"/>
        <v>0.46808510638297873</v>
      </c>
      <c r="J70">
        <f t="shared" si="28"/>
        <v>0.53191489361702127</v>
      </c>
      <c r="K70">
        <f t="shared" si="29"/>
        <v>72.463768115942031</v>
      </c>
      <c r="L70" s="8">
        <f t="shared" si="30"/>
        <v>1</v>
      </c>
      <c r="AR70" s="8" t="s">
        <v>25</v>
      </c>
      <c r="AS70">
        <f>5</f>
        <v>5</v>
      </c>
      <c r="AT70" s="8">
        <v>12</v>
      </c>
      <c r="AU70" s="8">
        <f>F68</f>
        <v>0.32</v>
      </c>
      <c r="AV70">
        <f>L68</f>
        <v>0.68</v>
      </c>
      <c r="AW70" s="8">
        <v>0.3</v>
      </c>
      <c r="AZ70" s="8"/>
      <c r="BC70" s="8"/>
    </row>
    <row r="71" spans="1:55" x14ac:dyDescent="0.25">
      <c r="A71" s="23" t="s">
        <v>29</v>
      </c>
      <c r="B71" s="1">
        <f t="shared" si="23"/>
        <v>0.53246753246753242</v>
      </c>
      <c r="C71" s="1">
        <f t="shared" si="24"/>
        <v>0.63218390804597702</v>
      </c>
      <c r="D71" s="1">
        <f t="shared" si="21"/>
        <v>9.9716375578444594E-2</v>
      </c>
      <c r="E71" s="1">
        <f t="shared" si="22"/>
        <v>17.123814406562431</v>
      </c>
      <c r="F71" s="8">
        <f t="shared" si="25"/>
        <v>0.53246753246753242</v>
      </c>
      <c r="G71" s="1"/>
      <c r="H71" s="1">
        <f t="shared" si="26"/>
        <v>0.46753246753246752</v>
      </c>
      <c r="I71" s="1">
        <f t="shared" si="27"/>
        <v>0.36781609195402298</v>
      </c>
      <c r="J71" s="1">
        <f t="shared" si="28"/>
        <v>9.9716375578444538E-2</v>
      </c>
      <c r="K71" s="1">
        <f t="shared" si="29"/>
        <v>23.874195854181561</v>
      </c>
      <c r="L71" s="8">
        <f t="shared" si="30"/>
        <v>0.46753246753246752</v>
      </c>
      <c r="AR71" s="8" t="s">
        <v>27</v>
      </c>
      <c r="AS71" s="8">
        <f>5</f>
        <v>5</v>
      </c>
      <c r="AT71" s="8">
        <v>27</v>
      </c>
      <c r="AU71" s="8">
        <f t="shared" ref="AU71:AU72" si="37">F69</f>
        <v>0.1</v>
      </c>
      <c r="AV71" s="8">
        <f t="shared" ref="AV71:AV72" si="38">L69</f>
        <v>0.9</v>
      </c>
      <c r="AW71" s="8">
        <v>0.3</v>
      </c>
      <c r="AY71" s="8"/>
      <c r="AZ71" s="8"/>
      <c r="BB71" s="8"/>
      <c r="BC71" s="8"/>
    </row>
    <row r="72" spans="1:55" x14ac:dyDescent="0.25">
      <c r="A72" t="s">
        <v>30</v>
      </c>
      <c r="B72">
        <f t="shared" si="23"/>
        <v>0.35526315789473684</v>
      </c>
      <c r="C72">
        <f t="shared" si="24"/>
        <v>0.32876712328767121</v>
      </c>
      <c r="D72">
        <f t="shared" si="21"/>
        <v>2.6496034607065622E-2</v>
      </c>
      <c r="E72">
        <f t="shared" si="22"/>
        <v>7.7470355731225338</v>
      </c>
      <c r="F72" s="8">
        <f t="shared" si="25"/>
        <v>0.35526315789473684</v>
      </c>
      <c r="H72">
        <f t="shared" si="26"/>
        <v>0.64473684210526316</v>
      </c>
      <c r="I72">
        <f t="shared" si="27"/>
        <v>0.67123287671232879</v>
      </c>
      <c r="J72">
        <f t="shared" si="28"/>
        <v>2.6496034607065622E-2</v>
      </c>
      <c r="K72">
        <f t="shared" si="29"/>
        <v>4.0268456375838939</v>
      </c>
      <c r="L72" s="8">
        <f t="shared" si="30"/>
        <v>0.64473684210526316</v>
      </c>
      <c r="AR72" s="8" t="s">
        <v>28</v>
      </c>
      <c r="AS72" s="8">
        <f>5</f>
        <v>5</v>
      </c>
      <c r="AT72" s="8">
        <v>42</v>
      </c>
      <c r="AU72" s="8">
        <f t="shared" si="37"/>
        <v>0</v>
      </c>
      <c r="AV72" s="8">
        <f t="shared" si="38"/>
        <v>1</v>
      </c>
      <c r="AW72" s="8">
        <v>0.3</v>
      </c>
      <c r="AY72" s="8"/>
      <c r="AZ72" s="8"/>
      <c r="BB72" s="8"/>
      <c r="BC72" s="8"/>
    </row>
    <row r="73" spans="1:55" x14ac:dyDescent="0.25">
      <c r="A73" t="s">
        <v>31</v>
      </c>
      <c r="B73">
        <f t="shared" si="23"/>
        <v>0.30303030303030304</v>
      </c>
      <c r="C73">
        <f t="shared" si="24"/>
        <v>0.27272727272727271</v>
      </c>
      <c r="D73">
        <f t="shared" si="21"/>
        <v>3.0303030303030332E-2</v>
      </c>
      <c r="E73">
        <f t="shared" si="22"/>
        <v>10.526315789473694</v>
      </c>
      <c r="F73" s="8">
        <f t="shared" si="25"/>
        <v>0.30303030303030304</v>
      </c>
      <c r="H73">
        <f t="shared" si="26"/>
        <v>0.69696969696969702</v>
      </c>
      <c r="I73">
        <f t="shared" si="27"/>
        <v>0.72727272727272729</v>
      </c>
      <c r="J73">
        <f t="shared" si="28"/>
        <v>3.0303030303030276E-2</v>
      </c>
      <c r="K73">
        <f t="shared" si="29"/>
        <v>4.2553191489361666</v>
      </c>
      <c r="L73" s="8">
        <f t="shared" si="30"/>
        <v>0.69696969696969702</v>
      </c>
      <c r="AR73" s="8" t="s">
        <v>30</v>
      </c>
      <c r="AS73">
        <f>8</f>
        <v>8</v>
      </c>
      <c r="AT73" s="8">
        <v>12</v>
      </c>
      <c r="AU73" s="8">
        <f>F72</f>
        <v>0.35526315789473684</v>
      </c>
      <c r="AV73">
        <f>L72</f>
        <v>0.64473684210526316</v>
      </c>
      <c r="AW73">
        <v>0.5</v>
      </c>
      <c r="AZ73" s="8"/>
      <c r="BC73" s="8"/>
    </row>
    <row r="74" spans="1:55" x14ac:dyDescent="0.25">
      <c r="A74" t="s">
        <v>32</v>
      </c>
      <c r="B74">
        <f t="shared" si="23"/>
        <v>4.2253521126760563E-2</v>
      </c>
      <c r="C74">
        <f t="shared" si="24"/>
        <v>4.6875E-2</v>
      </c>
      <c r="D74">
        <f t="shared" si="21"/>
        <v>4.6214788732394374E-3</v>
      </c>
      <c r="E74">
        <f t="shared" si="22"/>
        <v>10.370370370370372</v>
      </c>
      <c r="F74" s="8">
        <f t="shared" si="25"/>
        <v>4.2253521126760563E-2</v>
      </c>
      <c r="H74">
        <f t="shared" si="26"/>
        <v>0.95774647887323949</v>
      </c>
      <c r="I74">
        <f t="shared" si="27"/>
        <v>0.953125</v>
      </c>
      <c r="J74">
        <f t="shared" si="28"/>
        <v>4.6214788732394929E-3</v>
      </c>
      <c r="K74">
        <f t="shared" si="29"/>
        <v>0.4837037890130198</v>
      </c>
      <c r="L74" s="8">
        <f t="shared" si="30"/>
        <v>0.95774647887323949</v>
      </c>
      <c r="AR74" s="8" t="s">
        <v>31</v>
      </c>
      <c r="AS74" s="8">
        <f>8</f>
        <v>8</v>
      </c>
      <c r="AT74" s="8">
        <v>27</v>
      </c>
      <c r="AU74" s="8">
        <f t="shared" ref="AU74:AU75" si="39">F73</f>
        <v>0.30303030303030304</v>
      </c>
      <c r="AV74" s="8">
        <f t="shared" ref="AV74:AV75" si="40">L73</f>
        <v>0.69696969696969702</v>
      </c>
      <c r="AW74" s="8">
        <v>0.5</v>
      </c>
      <c r="AY74" s="8"/>
      <c r="AZ74" s="8"/>
      <c r="BB74" s="8"/>
      <c r="BC74" s="8"/>
    </row>
    <row r="75" spans="1:55" x14ac:dyDescent="0.25">
      <c r="A75" s="1" t="s">
        <v>33</v>
      </c>
      <c r="B75" s="1">
        <f t="shared" si="23"/>
        <v>0.78461538461538471</v>
      </c>
      <c r="C75" s="1">
        <f t="shared" si="24"/>
        <v>0.80263157894736836</v>
      </c>
      <c r="D75" s="1">
        <f t="shared" si="21"/>
        <v>1.8016194331983648E-2</v>
      </c>
      <c r="E75" s="1">
        <f t="shared" si="22"/>
        <v>2.2701186073204749</v>
      </c>
      <c r="F75" s="8">
        <f t="shared" si="25"/>
        <v>0.78461538461538471</v>
      </c>
      <c r="G75" s="1"/>
      <c r="H75" s="1">
        <f t="shared" si="26"/>
        <v>0.2153846153846154</v>
      </c>
      <c r="I75" s="1">
        <f t="shared" si="27"/>
        <v>0.19736842105263158</v>
      </c>
      <c r="J75" s="1">
        <f t="shared" si="28"/>
        <v>1.8016194331983815E-2</v>
      </c>
      <c r="K75" s="1">
        <f t="shared" si="29"/>
        <v>8.7297694948504212</v>
      </c>
      <c r="L75" s="8">
        <f t="shared" si="30"/>
        <v>0.2153846153846154</v>
      </c>
      <c r="AR75" s="8" t="s">
        <v>32</v>
      </c>
      <c r="AS75" s="8">
        <f>8</f>
        <v>8</v>
      </c>
      <c r="AT75" s="8">
        <v>42</v>
      </c>
      <c r="AU75" s="8">
        <f t="shared" si="39"/>
        <v>4.2253521126760563E-2</v>
      </c>
      <c r="AV75" s="8">
        <f t="shared" si="40"/>
        <v>0.95774647887323949</v>
      </c>
      <c r="AW75" s="8">
        <v>0.5</v>
      </c>
      <c r="AY75" s="8"/>
      <c r="AZ75" s="8"/>
      <c r="BB75" s="8"/>
      <c r="BC75" s="8"/>
    </row>
    <row r="76" spans="1:55" x14ac:dyDescent="0.25">
      <c r="A76" t="s">
        <v>34</v>
      </c>
      <c r="B76">
        <f t="shared" si="23"/>
        <v>0.56164383561643838</v>
      </c>
      <c r="C76">
        <f t="shared" si="24"/>
        <v>0.41095890410958902</v>
      </c>
      <c r="D76">
        <f t="shared" si="21"/>
        <v>0.15068493150684936</v>
      </c>
      <c r="E76">
        <f t="shared" si="22"/>
        <v>30.985915492957758</v>
      </c>
      <c r="F76" s="8">
        <f t="shared" si="25"/>
        <v>0.56164383561643838</v>
      </c>
      <c r="H76">
        <f t="shared" si="26"/>
        <v>0.43835616438356162</v>
      </c>
      <c r="I76">
        <f t="shared" si="27"/>
        <v>0.58904109589041087</v>
      </c>
      <c r="J76">
        <f t="shared" si="28"/>
        <v>0.15068493150684925</v>
      </c>
      <c r="K76">
        <f t="shared" si="29"/>
        <v>29.333333333333325</v>
      </c>
      <c r="L76" s="8">
        <f t="shared" si="30"/>
        <v>0.43835616438356162</v>
      </c>
      <c r="AR76" s="8" t="s">
        <v>34</v>
      </c>
      <c r="AS76">
        <f>9</f>
        <v>9</v>
      </c>
      <c r="AT76" s="8">
        <v>12</v>
      </c>
      <c r="AU76" s="8">
        <f>F76</f>
        <v>0.56164383561643838</v>
      </c>
      <c r="AV76">
        <f>L76</f>
        <v>0.43835616438356162</v>
      </c>
      <c r="AW76" s="8">
        <v>0.5</v>
      </c>
      <c r="AZ76" s="8"/>
      <c r="BC76" s="8"/>
    </row>
    <row r="77" spans="1:55" x14ac:dyDescent="0.25">
      <c r="A77" t="s">
        <v>35</v>
      </c>
      <c r="B77">
        <f t="shared" si="23"/>
        <v>0.46969696969696972</v>
      </c>
      <c r="C77">
        <f t="shared" si="24"/>
        <v>9.0909090909090912E-2</v>
      </c>
      <c r="D77">
        <f t="shared" si="21"/>
        <v>0.37878787878787878</v>
      </c>
      <c r="E77">
        <f t="shared" si="22"/>
        <v>135.1351351351351</v>
      </c>
      <c r="F77" s="8">
        <f t="shared" si="25"/>
        <v>0.46969696969696972</v>
      </c>
      <c r="H77">
        <f t="shared" si="26"/>
        <v>0.53030303030303028</v>
      </c>
      <c r="I77">
        <f t="shared" si="27"/>
        <v>0.90909090909090906</v>
      </c>
      <c r="J77">
        <f t="shared" si="28"/>
        <v>0.37878787878787878</v>
      </c>
      <c r="K77">
        <f t="shared" si="29"/>
        <v>52.631578947368418</v>
      </c>
      <c r="L77" s="8">
        <f t="shared" si="30"/>
        <v>0.53030303030303028</v>
      </c>
      <c r="AR77" s="8" t="s">
        <v>35</v>
      </c>
      <c r="AS77" s="8">
        <f>9</f>
        <v>9</v>
      </c>
      <c r="AT77" s="8">
        <v>27</v>
      </c>
      <c r="AU77" s="8">
        <f t="shared" ref="AU77:AU78" si="41">F77</f>
        <v>0.46969696969696972</v>
      </c>
      <c r="AV77" s="8">
        <f t="shared" ref="AV77:AV78" si="42">L77</f>
        <v>0.53030303030303028</v>
      </c>
      <c r="AW77" s="8">
        <v>0.5</v>
      </c>
      <c r="AY77" s="8"/>
      <c r="AZ77" s="8"/>
      <c r="BB77" s="8"/>
      <c r="BC77" s="8"/>
    </row>
    <row r="78" spans="1:55" x14ac:dyDescent="0.25">
      <c r="A78" t="s">
        <v>36</v>
      </c>
      <c r="B78">
        <f t="shared" si="23"/>
        <v>0.2537313432835821</v>
      </c>
      <c r="C78">
        <f t="shared" si="24"/>
        <v>0.26153846153846155</v>
      </c>
      <c r="D78">
        <f t="shared" si="21"/>
        <v>7.8071182548794527E-3</v>
      </c>
      <c r="E78">
        <f t="shared" si="22"/>
        <v>3.0303030303030316</v>
      </c>
      <c r="F78" s="8">
        <f t="shared" si="25"/>
        <v>0.2537313432835821</v>
      </c>
      <c r="H78">
        <f t="shared" si="26"/>
        <v>0.74626865671641784</v>
      </c>
      <c r="I78">
        <f t="shared" si="27"/>
        <v>0.7384615384615385</v>
      </c>
      <c r="J78">
        <f t="shared" si="28"/>
        <v>7.8071182548793416E-3</v>
      </c>
      <c r="K78">
        <f t="shared" si="29"/>
        <v>1.0516548097741891</v>
      </c>
      <c r="L78" s="8">
        <f t="shared" si="30"/>
        <v>0.74626865671641784</v>
      </c>
      <c r="AR78" s="8" t="s">
        <v>36</v>
      </c>
      <c r="AS78" s="8">
        <f>9</f>
        <v>9</v>
      </c>
      <c r="AT78" s="8">
        <v>42</v>
      </c>
      <c r="AU78" s="8">
        <f t="shared" si="41"/>
        <v>0.2537313432835821</v>
      </c>
      <c r="AV78" s="8">
        <f t="shared" si="42"/>
        <v>0.74626865671641784</v>
      </c>
      <c r="AW78" s="8">
        <v>0.5</v>
      </c>
      <c r="AY78" s="8"/>
      <c r="AZ78" s="8"/>
      <c r="BB78" s="8"/>
      <c r="BC78" s="8"/>
    </row>
    <row r="79" spans="1:55" x14ac:dyDescent="0.25">
      <c r="A79" s="1" t="s">
        <v>37</v>
      </c>
      <c r="B79" s="1">
        <f t="shared" si="23"/>
        <v>0.7857142857142857</v>
      </c>
      <c r="C79" s="1">
        <f t="shared" si="24"/>
        <v>0.85526315789473684</v>
      </c>
      <c r="D79" s="1">
        <f t="shared" si="21"/>
        <v>6.9548872180451138E-2</v>
      </c>
      <c r="E79" s="1">
        <f t="shared" si="22"/>
        <v>8.4765177548682722</v>
      </c>
      <c r="F79" s="8">
        <f t="shared" si="25"/>
        <v>0.7857142857142857</v>
      </c>
      <c r="G79" s="1"/>
      <c r="H79" s="1">
        <f t="shared" si="26"/>
        <v>0.21428571428571427</v>
      </c>
      <c r="I79" s="1">
        <f t="shared" si="27"/>
        <v>0.14473684210526316</v>
      </c>
      <c r="J79" s="1">
        <f t="shared" si="28"/>
        <v>6.954887218045111E-2</v>
      </c>
      <c r="K79" s="1">
        <f t="shared" si="29"/>
        <v>38.743455497382186</v>
      </c>
      <c r="L79" s="8">
        <f t="shared" si="30"/>
        <v>0.21428571428571427</v>
      </c>
      <c r="AR79" s="8" t="s">
        <v>38</v>
      </c>
      <c r="AS79">
        <f>10</f>
        <v>10</v>
      </c>
      <c r="AT79" s="8">
        <v>12</v>
      </c>
      <c r="AU79" s="8">
        <f>F80</f>
        <v>0.39473684210526316</v>
      </c>
      <c r="AV79">
        <f>L80</f>
        <v>0.60526315789473684</v>
      </c>
      <c r="AW79" s="8">
        <v>0.5</v>
      </c>
      <c r="AZ79" s="8"/>
      <c r="BC79" s="8"/>
    </row>
    <row r="80" spans="1:55" x14ac:dyDescent="0.25">
      <c r="A80" t="s">
        <v>38</v>
      </c>
      <c r="B80">
        <f t="shared" si="23"/>
        <v>0.39473684210526316</v>
      </c>
      <c r="C80">
        <f t="shared" si="24"/>
        <v>0.41095890410958902</v>
      </c>
      <c r="D80">
        <f t="shared" si="21"/>
        <v>1.6222062004325855E-2</v>
      </c>
      <c r="E80">
        <f t="shared" si="22"/>
        <v>4.0268456375838859</v>
      </c>
      <c r="F80" s="8">
        <f t="shared" si="25"/>
        <v>0.39473684210526316</v>
      </c>
      <c r="H80">
        <f t="shared" si="26"/>
        <v>0.60526315789473684</v>
      </c>
      <c r="I80">
        <f t="shared" si="27"/>
        <v>0.58904109589041087</v>
      </c>
      <c r="J80">
        <f t="shared" si="28"/>
        <v>1.6222062004325966E-2</v>
      </c>
      <c r="K80">
        <f t="shared" si="29"/>
        <v>2.716571083610035</v>
      </c>
      <c r="L80" s="8">
        <f t="shared" si="30"/>
        <v>0.60526315789473684</v>
      </c>
      <c r="AR80" s="8" t="s">
        <v>39</v>
      </c>
      <c r="AS80" s="8">
        <f>10</f>
        <v>10</v>
      </c>
      <c r="AT80" s="8">
        <v>27</v>
      </c>
      <c r="AU80" s="8">
        <f t="shared" ref="AU80:AU81" si="43">F81</f>
        <v>0.31578947368421051</v>
      </c>
      <c r="AV80" s="8">
        <f t="shared" ref="AV80:AV81" si="44">L81</f>
        <v>0.68421052631578949</v>
      </c>
      <c r="AW80" s="8">
        <v>0.5</v>
      </c>
      <c r="AY80" s="8"/>
      <c r="AZ80" s="8"/>
      <c r="BB80" s="8"/>
      <c r="BC80" s="8"/>
    </row>
    <row r="81" spans="1:65" x14ac:dyDescent="0.25">
      <c r="A81" t="s">
        <v>39</v>
      </c>
      <c r="B81">
        <f t="shared" si="23"/>
        <v>0.31578947368421051</v>
      </c>
      <c r="C81">
        <f t="shared" si="24"/>
        <v>0.29166666666666669</v>
      </c>
      <c r="D81">
        <f t="shared" si="21"/>
        <v>2.4122807017543824E-2</v>
      </c>
      <c r="E81">
        <f t="shared" si="22"/>
        <v>7.9422382671480038</v>
      </c>
      <c r="F81" s="8">
        <f t="shared" si="25"/>
        <v>0.31578947368421051</v>
      </c>
      <c r="H81">
        <f t="shared" si="26"/>
        <v>0.68421052631578949</v>
      </c>
      <c r="I81">
        <f t="shared" si="27"/>
        <v>0.70833333333333326</v>
      </c>
      <c r="J81">
        <f t="shared" si="28"/>
        <v>2.4122807017543768E-2</v>
      </c>
      <c r="K81">
        <f t="shared" si="29"/>
        <v>3.464566929133845</v>
      </c>
      <c r="L81" s="8">
        <f t="shared" si="30"/>
        <v>0.68421052631578949</v>
      </c>
      <c r="AR81" s="8" t="s">
        <v>40</v>
      </c>
      <c r="AS81" s="8">
        <f>10</f>
        <v>10</v>
      </c>
      <c r="AT81" s="8">
        <v>42</v>
      </c>
      <c r="AU81" s="8">
        <f t="shared" si="43"/>
        <v>0.28358208955223879</v>
      </c>
      <c r="AV81" s="8">
        <f t="shared" si="44"/>
        <v>0.71641791044776126</v>
      </c>
      <c r="AW81" s="8">
        <v>0.5</v>
      </c>
      <c r="AY81" s="8"/>
      <c r="AZ81" s="8"/>
      <c r="BB81" s="8"/>
      <c r="BC81" s="8"/>
    </row>
    <row r="82" spans="1:65" x14ac:dyDescent="0.25">
      <c r="A82" t="s">
        <v>40</v>
      </c>
      <c r="B82">
        <f t="shared" si="23"/>
        <v>0.28358208955223879</v>
      </c>
      <c r="C82">
        <f t="shared" si="24"/>
        <v>0.25757575757575757</v>
      </c>
      <c r="D82">
        <f t="shared" si="21"/>
        <v>2.6006331976481223E-2</v>
      </c>
      <c r="E82">
        <f t="shared" si="22"/>
        <v>9.6113664855829484</v>
      </c>
      <c r="F82" s="8">
        <f t="shared" si="25"/>
        <v>0.28358208955223879</v>
      </c>
      <c r="H82">
        <f t="shared" si="26"/>
        <v>0.71641791044776126</v>
      </c>
      <c r="I82">
        <f t="shared" si="27"/>
        <v>0.74242424242424243</v>
      </c>
      <c r="J82">
        <f t="shared" si="28"/>
        <v>2.6006331976481167E-2</v>
      </c>
      <c r="K82">
        <f t="shared" si="29"/>
        <v>3.5653387071771729</v>
      </c>
      <c r="L82" s="8">
        <f t="shared" si="30"/>
        <v>0.71641791044776126</v>
      </c>
      <c r="AR82" s="8" t="s">
        <v>42</v>
      </c>
      <c r="AS82">
        <f>11</f>
        <v>11</v>
      </c>
      <c r="AT82" s="8">
        <v>12</v>
      </c>
      <c r="AU82" s="8">
        <f>F84</f>
        <v>0.75155279503105588</v>
      </c>
      <c r="AV82">
        <f>L84</f>
        <v>0.2484472049689441</v>
      </c>
      <c r="AW82">
        <v>1.6</v>
      </c>
      <c r="AZ82" s="8"/>
      <c r="BC82" s="8"/>
    </row>
    <row r="83" spans="1:65" x14ac:dyDescent="0.25">
      <c r="A83" s="1" t="s">
        <v>41</v>
      </c>
      <c r="B83" s="1">
        <f t="shared" si="23"/>
        <v>0.69117647058823528</v>
      </c>
      <c r="C83" s="1">
        <f t="shared" si="24"/>
        <v>0.76623376623376627</v>
      </c>
      <c r="D83" s="1">
        <f t="shared" si="21"/>
        <v>7.5057295645530986E-2</v>
      </c>
      <c r="E83" s="1">
        <f t="shared" si="22"/>
        <v>10.300091731096849</v>
      </c>
      <c r="F83" s="8">
        <f t="shared" si="25"/>
        <v>0.69117647058823528</v>
      </c>
      <c r="G83" s="1"/>
      <c r="H83" s="1">
        <f t="shared" si="26"/>
        <v>0.30882352941176472</v>
      </c>
      <c r="I83" s="1">
        <f t="shared" si="27"/>
        <v>0.23376623376623376</v>
      </c>
      <c r="J83" s="1">
        <f t="shared" si="28"/>
        <v>7.5057295645530958E-2</v>
      </c>
      <c r="K83" s="1">
        <f t="shared" si="29"/>
        <v>27.666314677930313</v>
      </c>
      <c r="L83" s="8">
        <f t="shared" si="30"/>
        <v>0.30882352941176472</v>
      </c>
      <c r="AR83" s="8" t="s">
        <v>43</v>
      </c>
      <c r="AS83" s="8">
        <f>11</f>
        <v>11</v>
      </c>
      <c r="AT83" s="8">
        <v>27</v>
      </c>
      <c r="AU83" s="8">
        <f t="shared" ref="AU83:AU84" si="45">F85</f>
        <v>0.57309941520467833</v>
      </c>
      <c r="AV83" s="8">
        <f t="shared" ref="AV83:AV84" si="46">L85</f>
        <v>0.42690058479532161</v>
      </c>
      <c r="AW83" s="8">
        <v>1.6</v>
      </c>
      <c r="AY83" s="8"/>
      <c r="AZ83" s="8"/>
      <c r="BB83" s="8"/>
      <c r="BC83" s="8"/>
    </row>
    <row r="84" spans="1:65" x14ac:dyDescent="0.25">
      <c r="A84" t="s">
        <v>42</v>
      </c>
      <c r="B84">
        <f t="shared" si="23"/>
        <v>0.75155279503105588</v>
      </c>
      <c r="C84">
        <f t="shared" si="24"/>
        <v>0.67701863354037262</v>
      </c>
      <c r="D84">
        <f t="shared" si="21"/>
        <v>7.4534161490683259E-2</v>
      </c>
      <c r="E84">
        <f t="shared" si="22"/>
        <v>10.434782608695658</v>
      </c>
      <c r="F84" s="8">
        <f t="shared" si="25"/>
        <v>0.75155279503105588</v>
      </c>
      <c r="H84">
        <f t="shared" si="26"/>
        <v>0.2484472049689441</v>
      </c>
      <c r="I84">
        <f t="shared" si="27"/>
        <v>0.32298136645962733</v>
      </c>
      <c r="J84">
        <f t="shared" si="28"/>
        <v>7.4534161490683232E-2</v>
      </c>
      <c r="K84">
        <f t="shared" si="29"/>
        <v>26.086956521739133</v>
      </c>
      <c r="L84" s="8">
        <f t="shared" si="30"/>
        <v>0.2484472049689441</v>
      </c>
      <c r="AR84" s="8" t="s">
        <v>44</v>
      </c>
      <c r="AS84" s="8">
        <f>11</f>
        <v>11</v>
      </c>
      <c r="AT84" s="8">
        <v>42</v>
      </c>
      <c r="AU84" s="8">
        <f t="shared" si="45"/>
        <v>0.54651162790697672</v>
      </c>
      <c r="AV84" s="8">
        <f t="shared" si="46"/>
        <v>0.45348837209302328</v>
      </c>
      <c r="AW84" s="8">
        <v>1.6</v>
      </c>
      <c r="AY84" s="8"/>
      <c r="AZ84" s="8"/>
      <c r="BB84" s="8"/>
      <c r="BC84" s="8"/>
    </row>
    <row r="85" spans="1:65" x14ac:dyDescent="0.25">
      <c r="A85" t="s">
        <v>43</v>
      </c>
      <c r="B85">
        <f t="shared" si="23"/>
        <v>0.57309941520467833</v>
      </c>
      <c r="C85">
        <f t="shared" si="24"/>
        <v>0.56725146198830412</v>
      </c>
      <c r="D85">
        <f t="shared" si="21"/>
        <v>5.8479532163742132E-3</v>
      </c>
      <c r="E85">
        <f t="shared" si="22"/>
        <v>1.0256410256410158</v>
      </c>
      <c r="F85" s="8">
        <f t="shared" si="25"/>
        <v>0.57309941520467833</v>
      </c>
      <c r="H85">
        <f t="shared" si="26"/>
        <v>0.42690058479532161</v>
      </c>
      <c r="I85">
        <f t="shared" si="27"/>
        <v>0.43274853801169588</v>
      </c>
      <c r="J85">
        <f t="shared" si="28"/>
        <v>5.8479532163742687E-3</v>
      </c>
      <c r="K85">
        <f t="shared" si="29"/>
        <v>1.3605442176870748</v>
      </c>
      <c r="L85" s="8">
        <f t="shared" si="30"/>
        <v>0.42690058479532161</v>
      </c>
      <c r="AR85" s="8" t="s">
        <v>46</v>
      </c>
      <c r="AS85">
        <f>12</f>
        <v>12</v>
      </c>
      <c r="AT85" s="8">
        <v>12</v>
      </c>
      <c r="AU85" s="8">
        <f>F88</f>
        <v>0.58857142857142852</v>
      </c>
      <c r="AV85">
        <f>L88</f>
        <v>0.41142857142857137</v>
      </c>
      <c r="AW85" s="8">
        <v>1.6</v>
      </c>
      <c r="AZ85" s="8"/>
      <c r="BC85" s="8"/>
      <c r="BM85" t="s">
        <v>119</v>
      </c>
    </row>
    <row r="86" spans="1:65" x14ac:dyDescent="0.25">
      <c r="A86" t="s">
        <v>44</v>
      </c>
      <c r="B86">
        <f t="shared" si="23"/>
        <v>0.54651162790697672</v>
      </c>
      <c r="C86">
        <f t="shared" si="24"/>
        <v>0.52601156069364163</v>
      </c>
      <c r="D86">
        <f t="shared" si="21"/>
        <v>2.0500067213335083E-2</v>
      </c>
      <c r="E86">
        <f t="shared" si="22"/>
        <v>3.82277370433038</v>
      </c>
      <c r="F86" s="8">
        <f t="shared" si="25"/>
        <v>0.54651162790697672</v>
      </c>
      <c r="H86">
        <f t="shared" si="26"/>
        <v>0.45348837209302328</v>
      </c>
      <c r="I86">
        <f t="shared" si="27"/>
        <v>0.47398843930635837</v>
      </c>
      <c r="J86">
        <f t="shared" si="28"/>
        <v>2.0500067213335083E-2</v>
      </c>
      <c r="K86">
        <f t="shared" si="29"/>
        <v>4.4206101891441314</v>
      </c>
      <c r="L86" s="8">
        <f t="shared" si="30"/>
        <v>0.45348837209302328</v>
      </c>
      <c r="AR86" s="8" t="s">
        <v>47</v>
      </c>
      <c r="AS86" s="8">
        <f>12</f>
        <v>12</v>
      </c>
      <c r="AT86" s="8">
        <v>27</v>
      </c>
      <c r="AU86" s="8">
        <f t="shared" ref="AU86:AU87" si="47">F89</f>
        <v>0.62962962962962965</v>
      </c>
      <c r="AV86" s="8">
        <f t="shared" ref="AV86:AV87" si="48">L89</f>
        <v>0.37037037037037035</v>
      </c>
      <c r="AW86" s="8">
        <v>1.6</v>
      </c>
      <c r="AY86" s="8"/>
      <c r="AZ86" s="8"/>
      <c r="BB86" s="8"/>
      <c r="BC86" s="8"/>
      <c r="BM86" t="s">
        <v>120</v>
      </c>
    </row>
    <row r="87" spans="1:65" x14ac:dyDescent="0.25">
      <c r="A87" s="1" t="s">
        <v>45</v>
      </c>
      <c r="B87" s="1">
        <f t="shared" si="23"/>
        <v>0.54069767441860461</v>
      </c>
      <c r="C87" s="1">
        <f t="shared" si="24"/>
        <v>0.59883720930232553</v>
      </c>
      <c r="D87" s="1">
        <f t="shared" si="21"/>
        <v>5.8139534883720922E-2</v>
      </c>
      <c r="E87" s="1">
        <f t="shared" si="22"/>
        <v>10.204081632653063</v>
      </c>
      <c r="F87" s="8">
        <f t="shared" si="25"/>
        <v>0.54069767441860461</v>
      </c>
      <c r="G87" s="1"/>
      <c r="H87" s="1">
        <f t="shared" si="26"/>
        <v>0.45930232558139533</v>
      </c>
      <c r="I87" s="1">
        <f t="shared" si="27"/>
        <v>0.40116279069767441</v>
      </c>
      <c r="J87" s="1">
        <f t="shared" si="28"/>
        <v>5.8139534883720922E-2</v>
      </c>
      <c r="K87" s="1">
        <f t="shared" si="29"/>
        <v>13.513513513513512</v>
      </c>
      <c r="L87" s="8">
        <f t="shared" si="30"/>
        <v>0.45930232558139533</v>
      </c>
      <c r="AR87" s="8" t="s">
        <v>48</v>
      </c>
      <c r="AS87" s="8">
        <f>12</f>
        <v>12</v>
      </c>
      <c r="AT87" s="8">
        <v>42</v>
      </c>
      <c r="AU87" s="8">
        <f t="shared" si="47"/>
        <v>0.60509554140127386</v>
      </c>
      <c r="AV87" s="8">
        <f t="shared" si="48"/>
        <v>0.39490445859872614</v>
      </c>
      <c r="AW87" s="8">
        <v>1.6</v>
      </c>
      <c r="AY87" s="8"/>
      <c r="AZ87" s="8"/>
      <c r="BB87" s="8"/>
      <c r="BC87" s="8"/>
    </row>
    <row r="88" spans="1:65" x14ac:dyDescent="0.25">
      <c r="A88" t="s">
        <v>46</v>
      </c>
      <c r="B88">
        <f t="shared" si="23"/>
        <v>0.58857142857142852</v>
      </c>
      <c r="C88">
        <f t="shared" si="24"/>
        <v>0.5662650602409639</v>
      </c>
      <c r="D88">
        <f t="shared" si="21"/>
        <v>2.2306368330464621E-2</v>
      </c>
      <c r="E88">
        <f t="shared" si="22"/>
        <v>3.8631214975557251</v>
      </c>
      <c r="F88" s="8">
        <f>R34</f>
        <v>0.58857142857142852</v>
      </c>
      <c r="H88">
        <f t="shared" si="26"/>
        <v>0.41142857142857137</v>
      </c>
      <c r="I88">
        <f t="shared" si="27"/>
        <v>0.4337349397590361</v>
      </c>
      <c r="J88">
        <f t="shared" si="28"/>
        <v>2.2306368330464732E-2</v>
      </c>
      <c r="K88">
        <f t="shared" si="29"/>
        <v>5.2785923753665731</v>
      </c>
      <c r="L88" s="8">
        <f t="shared" si="30"/>
        <v>0.41142857142857137</v>
      </c>
      <c r="AR88" t="s">
        <v>56</v>
      </c>
      <c r="AS88">
        <v>6</v>
      </c>
      <c r="AT88">
        <v>12</v>
      </c>
      <c r="AU88">
        <f>F92</f>
        <v>0</v>
      </c>
      <c r="AV88">
        <f>L92</f>
        <v>1</v>
      </c>
      <c r="AW88">
        <v>0.3</v>
      </c>
      <c r="AZ88" s="8"/>
      <c r="BC88" s="8"/>
    </row>
    <row r="89" spans="1:65" x14ac:dyDescent="0.25">
      <c r="A89" t="s">
        <v>47</v>
      </c>
      <c r="B89">
        <f t="shared" si="23"/>
        <v>0.62962962962962965</v>
      </c>
      <c r="C89">
        <f t="shared" si="24"/>
        <v>0.66463414634146345</v>
      </c>
      <c r="D89">
        <f t="shared" si="21"/>
        <v>3.50045167118338E-2</v>
      </c>
      <c r="E89">
        <f t="shared" si="22"/>
        <v>5.4091781538998447</v>
      </c>
      <c r="F89" s="8">
        <f t="shared" si="25"/>
        <v>0.62962962962962965</v>
      </c>
      <c r="H89">
        <f t="shared" si="26"/>
        <v>0.37037037037037035</v>
      </c>
      <c r="I89">
        <f t="shared" si="27"/>
        <v>0.33536585365853655</v>
      </c>
      <c r="J89">
        <f t="shared" si="28"/>
        <v>3.50045167118338E-2</v>
      </c>
      <c r="K89">
        <f t="shared" si="29"/>
        <v>9.9200000000000053</v>
      </c>
      <c r="L89" s="8">
        <f t="shared" si="30"/>
        <v>0.37037037037037035</v>
      </c>
      <c r="AR89" s="8" t="s">
        <v>57</v>
      </c>
      <c r="AS89">
        <f>6</f>
        <v>6</v>
      </c>
      <c r="AT89" s="8">
        <v>27</v>
      </c>
      <c r="AU89" s="8">
        <f>F93</f>
        <v>0.29629629629629628</v>
      </c>
      <c r="AV89">
        <f>L93</f>
        <v>0.70370370370370372</v>
      </c>
      <c r="AW89">
        <v>0.3</v>
      </c>
      <c r="AY89" s="8"/>
      <c r="AZ89" s="8"/>
      <c r="BB89" s="8"/>
      <c r="BC89" s="8"/>
    </row>
    <row r="90" spans="1:65" x14ac:dyDescent="0.25">
      <c r="A90" t="s">
        <v>48</v>
      </c>
      <c r="B90">
        <f t="shared" si="23"/>
        <v>0.60509554140127386</v>
      </c>
      <c r="C90">
        <f t="shared" si="24"/>
        <v>0.62420382165605093</v>
      </c>
      <c r="D90">
        <f t="shared" si="21"/>
        <v>1.9108280254777066E-2</v>
      </c>
      <c r="E90">
        <f t="shared" si="22"/>
        <v>3.1088082901554399</v>
      </c>
      <c r="F90" s="8">
        <f t="shared" si="25"/>
        <v>0.60509554140127386</v>
      </c>
      <c r="H90">
        <f t="shared" si="26"/>
        <v>0.39490445859872614</v>
      </c>
      <c r="I90">
        <f t="shared" si="27"/>
        <v>0.37579617834394907</v>
      </c>
      <c r="J90">
        <f t="shared" si="28"/>
        <v>1.9108280254777066E-2</v>
      </c>
      <c r="K90">
        <f t="shared" si="29"/>
        <v>4.9586776859504118</v>
      </c>
      <c r="L90" s="8">
        <f t="shared" si="30"/>
        <v>0.39490445859872614</v>
      </c>
      <c r="AR90" s="8" t="s">
        <v>58</v>
      </c>
      <c r="AS90">
        <v>6</v>
      </c>
      <c r="AT90" s="8">
        <v>42</v>
      </c>
      <c r="AU90" s="8">
        <f>F94</f>
        <v>0.31506849315068491</v>
      </c>
      <c r="AV90" s="8">
        <f>L94</f>
        <v>0.68493150684931503</v>
      </c>
      <c r="AW90" s="8">
        <v>0.3</v>
      </c>
      <c r="AY90" s="8"/>
      <c r="AZ90" s="8"/>
      <c r="BB90" s="8"/>
      <c r="BC90" s="8"/>
    </row>
    <row r="91" spans="1:65" x14ac:dyDescent="0.25">
      <c r="A91" s="1" t="s">
        <v>49</v>
      </c>
      <c r="B91" s="1">
        <f t="shared" si="23"/>
        <v>0.3772455089820359</v>
      </c>
      <c r="C91" s="1">
        <f t="shared" si="24"/>
        <v>0.39759036144578314</v>
      </c>
      <c r="D91" s="1">
        <f t="shared" si="21"/>
        <v>2.0344852463747232E-2</v>
      </c>
      <c r="E91" s="1">
        <f t="shared" si="22"/>
        <v>5.2513966480447003</v>
      </c>
      <c r="F91" s="8">
        <f t="shared" si="25"/>
        <v>0.3772455089820359</v>
      </c>
      <c r="G91" s="1"/>
      <c r="H91" s="1">
        <f t="shared" si="26"/>
        <v>0.6227544910179641</v>
      </c>
      <c r="I91" s="1">
        <f t="shared" si="27"/>
        <v>0.60240963855421692</v>
      </c>
      <c r="J91" s="1">
        <f t="shared" si="28"/>
        <v>2.0344852463747176E-2</v>
      </c>
      <c r="K91" s="1">
        <f t="shared" si="29"/>
        <v>3.3211635849723193</v>
      </c>
      <c r="L91" s="8">
        <f t="shared" si="30"/>
        <v>0.6227544910179641</v>
      </c>
      <c r="AR91" s="8" t="s">
        <v>55</v>
      </c>
      <c r="AS91">
        <f>7</f>
        <v>7</v>
      </c>
      <c r="AT91" s="8">
        <v>12</v>
      </c>
      <c r="AU91" s="8">
        <f>F96</f>
        <v>0</v>
      </c>
      <c r="AV91">
        <f>L96</f>
        <v>1</v>
      </c>
      <c r="AW91" s="8">
        <v>0.3</v>
      </c>
      <c r="AZ91" s="8"/>
      <c r="BC91" s="8"/>
    </row>
    <row r="92" spans="1:65" x14ac:dyDescent="0.25">
      <c r="A92" t="s">
        <v>56</v>
      </c>
      <c r="B92">
        <f t="shared" si="23"/>
        <v>0</v>
      </c>
      <c r="C92">
        <f t="shared" si="24"/>
        <v>0</v>
      </c>
      <c r="D92">
        <f t="shared" si="21"/>
        <v>0</v>
      </c>
      <c r="E92" t="e">
        <f t="shared" si="22"/>
        <v>#DIV/0!</v>
      </c>
      <c r="F92" s="8">
        <f t="shared" si="25"/>
        <v>0</v>
      </c>
      <c r="H92">
        <f t="shared" si="26"/>
        <v>1</v>
      </c>
      <c r="I92">
        <f t="shared" si="27"/>
        <v>0</v>
      </c>
      <c r="J92">
        <f t="shared" si="28"/>
        <v>1</v>
      </c>
      <c r="K92">
        <f t="shared" si="29"/>
        <v>200</v>
      </c>
      <c r="L92" s="8">
        <f t="shared" si="30"/>
        <v>1</v>
      </c>
      <c r="AR92" s="8" t="s">
        <v>60</v>
      </c>
      <c r="AS92">
        <f>7</f>
        <v>7</v>
      </c>
      <c r="AT92" s="8">
        <v>27</v>
      </c>
      <c r="AU92" s="8">
        <f>F97</f>
        <v>0.30769230769230771</v>
      </c>
      <c r="AV92" s="8">
        <f>L97</f>
        <v>0.69230769230769229</v>
      </c>
      <c r="AW92" s="8">
        <v>0.3</v>
      </c>
      <c r="AY92" s="8"/>
      <c r="AZ92" s="8"/>
      <c r="BB92" s="8"/>
      <c r="BC92" s="8"/>
    </row>
    <row r="93" spans="1:65" x14ac:dyDescent="0.25">
      <c r="A93" t="s">
        <v>57</v>
      </c>
      <c r="B93">
        <f t="shared" si="23"/>
        <v>0.29629629629629628</v>
      </c>
      <c r="C93">
        <f t="shared" si="24"/>
        <v>0.27500000000000002</v>
      </c>
      <c r="D93">
        <f t="shared" si="21"/>
        <v>2.1296296296296258E-2</v>
      </c>
      <c r="E93">
        <f t="shared" si="22"/>
        <v>7.4554294975688684</v>
      </c>
      <c r="F93" s="8">
        <f t="shared" si="25"/>
        <v>0.29629629629629628</v>
      </c>
      <c r="H93">
        <f t="shared" si="26"/>
        <v>0.70370370370370372</v>
      </c>
      <c r="I93">
        <f t="shared" si="27"/>
        <v>0.72500000000000009</v>
      </c>
      <c r="J93">
        <f t="shared" si="28"/>
        <v>2.1296296296296369E-2</v>
      </c>
      <c r="K93">
        <f t="shared" si="29"/>
        <v>2.9812054439403859</v>
      </c>
      <c r="L93" s="8">
        <f t="shared" si="30"/>
        <v>0.70370370370370372</v>
      </c>
      <c r="AR93" t="s">
        <v>61</v>
      </c>
      <c r="AS93">
        <v>7</v>
      </c>
      <c r="AT93">
        <v>42</v>
      </c>
      <c r="AU93">
        <f>F98</f>
        <v>0</v>
      </c>
      <c r="AV93">
        <f>L98</f>
        <v>1</v>
      </c>
      <c r="AW93">
        <v>0.3</v>
      </c>
      <c r="AY93" s="8"/>
      <c r="AZ93" s="8"/>
      <c r="BB93" s="8"/>
      <c r="BC93" s="8"/>
    </row>
    <row r="94" spans="1:65" x14ac:dyDescent="0.25">
      <c r="A94" t="s">
        <v>58</v>
      </c>
      <c r="B94">
        <f t="shared" si="23"/>
        <v>0.31506849315068491</v>
      </c>
      <c r="C94">
        <f t="shared" si="24"/>
        <v>0.30666666666666664</v>
      </c>
      <c r="D94">
        <f t="shared" si="21"/>
        <v>8.401826484018271E-3</v>
      </c>
      <c r="E94">
        <f t="shared" si="22"/>
        <v>2.7027027027027053</v>
      </c>
      <c r="F94" s="8">
        <f t="shared" si="25"/>
        <v>0.31506849315068491</v>
      </c>
      <c r="H94">
        <f t="shared" si="26"/>
        <v>0.68493150684931503</v>
      </c>
      <c r="I94">
        <f t="shared" si="27"/>
        <v>0.69333333333333336</v>
      </c>
      <c r="J94">
        <f t="shared" si="28"/>
        <v>8.4018264840183265E-3</v>
      </c>
      <c r="K94">
        <f t="shared" si="29"/>
        <v>1.219188974291024</v>
      </c>
      <c r="L94" s="8">
        <f t="shared" si="30"/>
        <v>0.68493150684931503</v>
      </c>
      <c r="AR94" s="8" t="s">
        <v>63</v>
      </c>
      <c r="AS94">
        <f>14</f>
        <v>14</v>
      </c>
      <c r="AT94" s="8">
        <v>12</v>
      </c>
      <c r="AU94" s="8">
        <f>F100</f>
        <v>0.80107526881720426</v>
      </c>
      <c r="AV94">
        <f>L100</f>
        <v>0.19892473118279569</v>
      </c>
      <c r="AW94">
        <v>1.6</v>
      </c>
      <c r="AY94" s="8"/>
      <c r="AZ94" s="8"/>
      <c r="BC94" s="8"/>
    </row>
    <row r="95" spans="1:65" x14ac:dyDescent="0.25">
      <c r="A95" s="1" t="s">
        <v>59</v>
      </c>
      <c r="B95" s="1">
        <f t="shared" si="23"/>
        <v>0.64835164835164838</v>
      </c>
      <c r="C95" s="1">
        <f t="shared" si="24"/>
        <v>0.9780219780219781</v>
      </c>
      <c r="D95" s="1">
        <f t="shared" si="21"/>
        <v>0.32967032967032972</v>
      </c>
      <c r="E95" s="1">
        <f t="shared" si="22"/>
        <v>40.540540540540547</v>
      </c>
      <c r="F95" s="8">
        <f t="shared" si="25"/>
        <v>0.64835164835164838</v>
      </c>
      <c r="G95" s="1"/>
      <c r="H95" s="1">
        <f t="shared" si="26"/>
        <v>0.35164835164835168</v>
      </c>
      <c r="I95" s="1">
        <f t="shared" si="27"/>
        <v>2.197802197802198E-2</v>
      </c>
      <c r="J95" s="1">
        <f t="shared" si="28"/>
        <v>0.32967032967032972</v>
      </c>
      <c r="K95" s="1">
        <f t="shared" si="29"/>
        <v>176.47058823529414</v>
      </c>
      <c r="L95" s="8">
        <f t="shared" si="30"/>
        <v>0.35164835164835168</v>
      </c>
      <c r="AR95" s="8" t="s">
        <v>64</v>
      </c>
      <c r="AS95">
        <f>14</f>
        <v>14</v>
      </c>
      <c r="AT95" s="8">
        <v>27</v>
      </c>
      <c r="AU95" s="8">
        <f>F101</f>
        <v>0.9107142857142857</v>
      </c>
      <c r="AV95" s="8">
        <f>L101</f>
        <v>8.9285714285714288E-2</v>
      </c>
      <c r="AW95" s="8">
        <v>1.6</v>
      </c>
      <c r="AY95" s="8"/>
      <c r="AZ95" s="8"/>
      <c r="BB95" s="8"/>
      <c r="BC95" s="8"/>
    </row>
    <row r="96" spans="1:65" x14ac:dyDescent="0.25">
      <c r="A96" t="s">
        <v>55</v>
      </c>
      <c r="B96">
        <f t="shared" si="23"/>
        <v>0</v>
      </c>
      <c r="C96">
        <f t="shared" si="24"/>
        <v>0.42499999999999999</v>
      </c>
      <c r="D96">
        <f t="shared" si="21"/>
        <v>0.42499999999999999</v>
      </c>
      <c r="E96">
        <f t="shared" si="22"/>
        <v>200</v>
      </c>
      <c r="F96" s="8">
        <f t="shared" si="25"/>
        <v>0</v>
      </c>
      <c r="H96">
        <f t="shared" si="26"/>
        <v>1</v>
      </c>
      <c r="I96">
        <f t="shared" si="27"/>
        <v>0.57499999999999996</v>
      </c>
      <c r="J96">
        <f t="shared" si="28"/>
        <v>0.42500000000000004</v>
      </c>
      <c r="K96">
        <f t="shared" si="29"/>
        <v>53.968253968253975</v>
      </c>
      <c r="L96" s="8">
        <f t="shared" si="30"/>
        <v>1</v>
      </c>
      <c r="AR96" s="8" t="s">
        <v>65</v>
      </c>
      <c r="AS96">
        <f>14</f>
        <v>14</v>
      </c>
      <c r="AT96" s="8">
        <v>42</v>
      </c>
      <c r="AU96" s="8">
        <f>F102</f>
        <v>0.90476190476190477</v>
      </c>
      <c r="AV96" s="8">
        <f>L102</f>
        <v>9.5238095238095233E-2</v>
      </c>
      <c r="AW96" s="8">
        <v>1.6</v>
      </c>
      <c r="AY96" s="8"/>
      <c r="AZ96" s="8"/>
      <c r="BB96" s="8"/>
      <c r="BC96" s="8"/>
    </row>
    <row r="97" spans="1:47" x14ac:dyDescent="0.25">
      <c r="A97" t="s">
        <v>60</v>
      </c>
      <c r="B97">
        <f t="shared" si="23"/>
        <v>0.30769230769230771</v>
      </c>
      <c r="C97">
        <f t="shared" si="24"/>
        <v>0.32307692307692309</v>
      </c>
      <c r="D97">
        <f t="shared" si="21"/>
        <v>1.5384615384615385E-2</v>
      </c>
      <c r="E97">
        <f t="shared" si="22"/>
        <v>4.8780487804878057</v>
      </c>
      <c r="F97" s="8">
        <f t="shared" si="25"/>
        <v>0.30769230769230771</v>
      </c>
      <c r="H97">
        <f t="shared" si="26"/>
        <v>0.69230769230769229</v>
      </c>
      <c r="I97">
        <f t="shared" si="27"/>
        <v>0.67692307692307696</v>
      </c>
      <c r="J97">
        <f t="shared" si="28"/>
        <v>1.538461538461533E-2</v>
      </c>
      <c r="K97">
        <f t="shared" si="29"/>
        <v>2.2471910112359472</v>
      </c>
      <c r="L97" s="8">
        <f t="shared" si="30"/>
        <v>0.69230769230769229</v>
      </c>
      <c r="AU97" s="8"/>
    </row>
    <row r="98" spans="1:47" x14ac:dyDescent="0.25">
      <c r="A98" t="s">
        <v>61</v>
      </c>
      <c r="B98" s="8">
        <f t="shared" si="23"/>
        <v>0</v>
      </c>
      <c r="C98">
        <f t="shared" si="24"/>
        <v>0</v>
      </c>
      <c r="D98">
        <f t="shared" si="21"/>
        <v>0</v>
      </c>
      <c r="E98" t="e">
        <f t="shared" si="22"/>
        <v>#DIV/0!</v>
      </c>
      <c r="F98" s="8">
        <f t="shared" si="25"/>
        <v>0</v>
      </c>
      <c r="H98">
        <f t="shared" si="26"/>
        <v>1</v>
      </c>
      <c r="I98">
        <f t="shared" si="27"/>
        <v>0</v>
      </c>
      <c r="J98">
        <f t="shared" si="28"/>
        <v>1</v>
      </c>
      <c r="K98">
        <f t="shared" si="29"/>
        <v>200</v>
      </c>
      <c r="L98" s="8">
        <f t="shared" si="30"/>
        <v>1</v>
      </c>
      <c r="AU98" s="8"/>
    </row>
    <row r="99" spans="1:47" x14ac:dyDescent="0.25">
      <c r="A99" s="1" t="s">
        <v>62</v>
      </c>
      <c r="B99" s="1">
        <f t="shared" si="23"/>
        <v>0.73076923076923084</v>
      </c>
      <c r="C99" s="1">
        <f t="shared" si="24"/>
        <v>0.80769230769230771</v>
      </c>
      <c r="D99" s="1">
        <f t="shared" si="21"/>
        <v>7.6923076923076872E-2</v>
      </c>
      <c r="E99" s="1">
        <f t="shared" si="22"/>
        <v>9.9999999999999929</v>
      </c>
      <c r="F99" s="8">
        <f t="shared" si="25"/>
        <v>0.73076923076923084</v>
      </c>
      <c r="G99" s="1"/>
      <c r="H99" s="1">
        <f t="shared" si="26"/>
        <v>0.26923076923076922</v>
      </c>
      <c r="I99" s="1">
        <f t="shared" si="27"/>
        <v>0.19230769230769232</v>
      </c>
      <c r="J99" s="1">
        <f t="shared" si="28"/>
        <v>7.69230769230769E-2</v>
      </c>
      <c r="K99" s="1">
        <f t="shared" si="29"/>
        <v>33.333333333333321</v>
      </c>
      <c r="L99" s="8">
        <f t="shared" si="30"/>
        <v>0.26923076923076922</v>
      </c>
      <c r="AU99" s="8"/>
    </row>
    <row r="100" spans="1:47" x14ac:dyDescent="0.25">
      <c r="A100" t="s">
        <v>63</v>
      </c>
      <c r="B100">
        <f t="shared" si="23"/>
        <v>0.80107526881720426</v>
      </c>
      <c r="C100">
        <f t="shared" si="24"/>
        <v>0.79365079365079361</v>
      </c>
      <c r="D100">
        <f t="shared" si="21"/>
        <v>7.424475166410649E-3</v>
      </c>
      <c r="E100">
        <f t="shared" si="22"/>
        <v>0.93112859206935283</v>
      </c>
      <c r="F100" s="8">
        <f t="shared" si="25"/>
        <v>0.80107526881720426</v>
      </c>
      <c r="H100">
        <f t="shared" si="26"/>
        <v>0.19892473118279569</v>
      </c>
      <c r="I100">
        <f t="shared" si="27"/>
        <v>0.20634920634920634</v>
      </c>
      <c r="J100">
        <f t="shared" si="28"/>
        <v>7.424475166410649E-3</v>
      </c>
      <c r="K100">
        <f t="shared" si="29"/>
        <v>3.6639292482627916</v>
      </c>
      <c r="L100" s="8">
        <f t="shared" si="30"/>
        <v>0.19892473118279569</v>
      </c>
      <c r="AU100" s="8"/>
    </row>
    <row r="101" spans="1:47" x14ac:dyDescent="0.25">
      <c r="A101" t="s">
        <v>64</v>
      </c>
      <c r="B101">
        <f t="shared" si="23"/>
        <v>0.9107142857142857</v>
      </c>
      <c r="C101">
        <f t="shared" si="24"/>
        <v>0.8597560975609756</v>
      </c>
      <c r="D101">
        <f t="shared" si="21"/>
        <v>5.0958188153310102E-2</v>
      </c>
      <c r="E101">
        <f t="shared" si="22"/>
        <v>5.7564575645756459</v>
      </c>
      <c r="F101" s="8">
        <f t="shared" si="25"/>
        <v>0.9107142857142857</v>
      </c>
      <c r="H101">
        <f t="shared" si="26"/>
        <v>8.9285714285714288E-2</v>
      </c>
      <c r="I101">
        <f t="shared" si="27"/>
        <v>0.1402439024390244</v>
      </c>
      <c r="J101">
        <f t="shared" si="28"/>
        <v>5.0958188153310116E-2</v>
      </c>
      <c r="K101">
        <f t="shared" si="29"/>
        <v>44.402277039848208</v>
      </c>
      <c r="L101" s="8">
        <f t="shared" si="30"/>
        <v>8.9285714285714288E-2</v>
      </c>
      <c r="AU101" s="8"/>
    </row>
    <row r="102" spans="1:47" x14ac:dyDescent="0.25">
      <c r="A102" t="s">
        <v>65</v>
      </c>
      <c r="B102">
        <f>R48</f>
        <v>0.90476190476190477</v>
      </c>
      <c r="C102">
        <f t="shared" si="24"/>
        <v>0.92261904761904767</v>
      </c>
      <c r="D102">
        <f t="shared" si="21"/>
        <v>1.7857142857142905E-2</v>
      </c>
      <c r="E102">
        <f t="shared" si="22"/>
        <v>1.9543973941368129</v>
      </c>
      <c r="F102" s="8">
        <f t="shared" si="25"/>
        <v>0.90476190476190477</v>
      </c>
      <c r="H102">
        <f t="shared" si="26"/>
        <v>9.5238095238095233E-2</v>
      </c>
      <c r="I102">
        <f t="shared" si="27"/>
        <v>7.7380952380952384E-2</v>
      </c>
      <c r="J102">
        <f t="shared" si="28"/>
        <v>1.7857142857142849E-2</v>
      </c>
      <c r="K102">
        <f t="shared" si="29"/>
        <v>20.689655172413783</v>
      </c>
      <c r="L102" s="8">
        <f t="shared" si="30"/>
        <v>9.5238095238095233E-2</v>
      </c>
      <c r="AU102" s="8"/>
    </row>
    <row r="103" spans="1:47" x14ac:dyDescent="0.25">
      <c r="A103" t="s">
        <v>66</v>
      </c>
      <c r="B103">
        <f>R49</f>
        <v>9.8837209302325577E-2</v>
      </c>
      <c r="C103">
        <f>AM49</f>
        <v>9.8837209302325577E-2</v>
      </c>
      <c r="D103">
        <f t="shared" si="21"/>
        <v>0</v>
      </c>
      <c r="E103">
        <f t="shared" si="22"/>
        <v>0</v>
      </c>
      <c r="F103" s="8">
        <f t="shared" si="25"/>
        <v>9.8837209302325577E-2</v>
      </c>
      <c r="H103">
        <f t="shared" si="26"/>
        <v>0.90116279069767447</v>
      </c>
      <c r="I103">
        <f t="shared" si="27"/>
        <v>0.90116279069767447</v>
      </c>
      <c r="J103">
        <f t="shared" si="28"/>
        <v>0</v>
      </c>
      <c r="K103">
        <f t="shared" si="29"/>
        <v>0</v>
      </c>
      <c r="L103" s="8">
        <f t="shared" si="30"/>
        <v>0.90116279069767447</v>
      </c>
      <c r="AU103" s="8"/>
    </row>
    <row r="104" spans="1:47" x14ac:dyDescent="0.25">
      <c r="AU104" s="8"/>
    </row>
    <row r="105" spans="1:47" x14ac:dyDescent="0.25">
      <c r="AU105" s="8"/>
    </row>
    <row r="106" spans="1:47" x14ac:dyDescent="0.25">
      <c r="A106" t="s">
        <v>86</v>
      </c>
      <c r="AU106" s="8"/>
    </row>
    <row r="107" spans="1:47" x14ac:dyDescent="0.25">
      <c r="A107" s="6" t="s">
        <v>77</v>
      </c>
      <c r="B107" s="6" t="s">
        <v>78</v>
      </c>
      <c r="C107" s="6" t="s">
        <v>79</v>
      </c>
      <c r="D107" s="6" t="s">
        <v>80</v>
      </c>
      <c r="E107" s="6" t="s">
        <v>81</v>
      </c>
      <c r="AU107" s="8"/>
    </row>
    <row r="108" spans="1:47" x14ac:dyDescent="0.25">
      <c r="A108" s="7">
        <v>2</v>
      </c>
      <c r="B108" s="7">
        <v>2</v>
      </c>
      <c r="C108" s="7">
        <v>1</v>
      </c>
      <c r="D108" s="7">
        <f>180</f>
        <v>180</v>
      </c>
      <c r="E108" s="7" t="s">
        <v>82</v>
      </c>
    </row>
    <row r="109" spans="1:47" x14ac:dyDescent="0.25">
      <c r="A109" s="7">
        <v>3</v>
      </c>
      <c r="B109" s="7">
        <v>2</v>
      </c>
      <c r="C109" s="7">
        <v>1</v>
      </c>
      <c r="D109" s="7">
        <v>180</v>
      </c>
      <c r="E109" s="7" t="s">
        <v>113</v>
      </c>
    </row>
    <row r="110" spans="1:47" x14ac:dyDescent="0.25">
      <c r="A110" s="7">
        <v>4</v>
      </c>
      <c r="B110" s="7">
        <v>2</v>
      </c>
      <c r="C110" s="7">
        <v>1</v>
      </c>
      <c r="D110" s="7">
        <v>180</v>
      </c>
      <c r="E110" s="7" t="s">
        <v>114</v>
      </c>
    </row>
    <row r="111" spans="1:47" x14ac:dyDescent="0.25">
      <c r="A111" s="7">
        <v>5</v>
      </c>
      <c r="B111" s="7">
        <v>2</v>
      </c>
      <c r="C111" s="7">
        <v>0.3</v>
      </c>
      <c r="D111" s="7">
        <v>180</v>
      </c>
      <c r="E111" s="7" t="s">
        <v>82</v>
      </c>
    </row>
    <row r="112" spans="1:47" x14ac:dyDescent="0.25">
      <c r="A112" s="7">
        <v>6</v>
      </c>
      <c r="B112" s="7">
        <v>2</v>
      </c>
      <c r="C112" s="7">
        <v>0.3</v>
      </c>
      <c r="D112" s="7">
        <v>180</v>
      </c>
      <c r="E112" s="7" t="s">
        <v>113</v>
      </c>
    </row>
    <row r="113" spans="1:36" x14ac:dyDescent="0.25">
      <c r="A113" s="7">
        <v>7</v>
      </c>
      <c r="B113" s="7">
        <v>2</v>
      </c>
      <c r="C113" s="7">
        <v>0.3</v>
      </c>
      <c r="D113" s="7">
        <v>180</v>
      </c>
      <c r="E113" s="7" t="s">
        <v>114</v>
      </c>
    </row>
    <row r="114" spans="1:36" x14ac:dyDescent="0.25">
      <c r="A114" s="7">
        <v>8</v>
      </c>
      <c r="B114" s="7">
        <v>2</v>
      </c>
      <c r="C114" s="7">
        <v>0.5</v>
      </c>
      <c r="D114" s="7">
        <v>180</v>
      </c>
      <c r="E114" s="7" t="s">
        <v>82</v>
      </c>
    </row>
    <row r="115" spans="1:36" x14ac:dyDescent="0.25">
      <c r="A115" s="7">
        <v>9</v>
      </c>
      <c r="B115" s="7">
        <v>2</v>
      </c>
      <c r="C115" s="7">
        <v>0.5</v>
      </c>
      <c r="D115" s="7">
        <v>180</v>
      </c>
      <c r="E115" s="7" t="s">
        <v>115</v>
      </c>
    </row>
    <row r="116" spans="1:36" x14ac:dyDescent="0.25">
      <c r="A116" s="7">
        <v>10</v>
      </c>
      <c r="B116" s="7">
        <v>2</v>
      </c>
      <c r="C116" s="7">
        <v>0.5</v>
      </c>
      <c r="D116" s="7">
        <v>180</v>
      </c>
      <c r="E116" s="7" t="s">
        <v>83</v>
      </c>
    </row>
    <row r="117" spans="1:36" x14ac:dyDescent="0.25">
      <c r="A117" s="7">
        <v>11</v>
      </c>
      <c r="B117" s="7">
        <v>2</v>
      </c>
      <c r="C117" s="7">
        <v>1.6</v>
      </c>
      <c r="D117" s="7">
        <v>180</v>
      </c>
      <c r="E117" s="7" t="s">
        <v>83</v>
      </c>
    </row>
    <row r="118" spans="1:36" x14ac:dyDescent="0.25">
      <c r="A118" s="7">
        <v>12</v>
      </c>
      <c r="B118" s="7">
        <v>2</v>
      </c>
      <c r="C118" s="7">
        <v>1.6</v>
      </c>
      <c r="D118" s="7">
        <v>180</v>
      </c>
      <c r="E118" s="7" t="s">
        <v>84</v>
      </c>
    </row>
    <row r="119" spans="1:36" x14ac:dyDescent="0.25">
      <c r="A119" s="7">
        <v>14</v>
      </c>
      <c r="B119" s="7">
        <v>2</v>
      </c>
      <c r="C119" s="7">
        <v>1.6</v>
      </c>
      <c r="D119" s="7">
        <v>180</v>
      </c>
      <c r="E119" s="7" t="s">
        <v>85</v>
      </c>
    </row>
    <row r="121" spans="1:36" x14ac:dyDescent="0.25">
      <c r="A121" s="8"/>
      <c r="B121" s="11" t="s">
        <v>94</v>
      </c>
      <c r="C121" s="11" t="s">
        <v>95</v>
      </c>
      <c r="D121" s="11" t="s">
        <v>96</v>
      </c>
      <c r="E121" s="8"/>
      <c r="F121" s="8"/>
      <c r="G121" s="8"/>
      <c r="H121" s="8"/>
      <c r="I121" s="8"/>
      <c r="J121" s="8"/>
    </row>
    <row r="122" spans="1:36" x14ac:dyDescent="0.25">
      <c r="A122" s="8"/>
      <c r="B122" s="12" t="s">
        <v>97</v>
      </c>
      <c r="C122" s="13"/>
      <c r="D122" s="13"/>
      <c r="E122" s="8"/>
      <c r="F122" s="8"/>
      <c r="G122" s="8"/>
      <c r="H122" s="16" t="s">
        <v>98</v>
      </c>
      <c r="I122" s="10"/>
      <c r="J122" s="10" t="s">
        <v>99</v>
      </c>
    </row>
    <row r="123" spans="1:36" x14ac:dyDescent="0.25">
      <c r="A123" s="14" t="s">
        <v>100</v>
      </c>
      <c r="B123" s="13">
        <v>1</v>
      </c>
      <c r="C123" s="13">
        <v>2</v>
      </c>
      <c r="D123" s="13">
        <v>3</v>
      </c>
      <c r="E123" s="8"/>
      <c r="F123" s="15" t="s">
        <v>101</v>
      </c>
      <c r="G123" s="8"/>
      <c r="H123" s="16" t="s">
        <v>102</v>
      </c>
      <c r="I123" s="10"/>
      <c r="J123" s="10" t="s">
        <v>103</v>
      </c>
    </row>
    <row r="124" spans="1:36" x14ac:dyDescent="0.25">
      <c r="A124" s="14"/>
      <c r="B124" s="8"/>
      <c r="C124" s="8"/>
      <c r="D124" s="8"/>
      <c r="E124" s="8"/>
      <c r="F124" s="8"/>
      <c r="G124" s="8"/>
      <c r="H124" s="8"/>
      <c r="I124" s="8"/>
      <c r="J124" s="8"/>
    </row>
    <row r="125" spans="1:36" x14ac:dyDescent="0.25">
      <c r="A125" s="14"/>
      <c r="B125" s="8"/>
      <c r="C125" s="8"/>
      <c r="D125" s="8"/>
      <c r="E125" s="8"/>
      <c r="F125" s="8"/>
      <c r="G125" s="8"/>
      <c r="H125" s="8"/>
      <c r="I125" s="8"/>
      <c r="J125" s="8"/>
    </row>
    <row r="126" spans="1:36" x14ac:dyDescent="0.25">
      <c r="A126" s="14">
        <v>2</v>
      </c>
      <c r="B126" s="8">
        <v>462</v>
      </c>
      <c r="C126" s="8">
        <v>510</v>
      </c>
      <c r="D126" s="8">
        <v>503</v>
      </c>
      <c r="E126" s="8"/>
      <c r="F126" s="8">
        <v>496</v>
      </c>
      <c r="G126" s="8"/>
      <c r="H126" s="8">
        <v>1</v>
      </c>
      <c r="I126" s="8"/>
      <c r="J126" s="8">
        <v>0</v>
      </c>
    </row>
    <row r="127" spans="1:36" x14ac:dyDescent="0.25">
      <c r="A127" s="14">
        <v>3</v>
      </c>
      <c r="B127" s="8">
        <v>442</v>
      </c>
      <c r="C127" s="8">
        <v>505</v>
      </c>
      <c r="D127" s="8">
        <v>499</v>
      </c>
      <c r="E127" s="8"/>
      <c r="F127" s="8">
        <v>472</v>
      </c>
      <c r="G127" s="8"/>
      <c r="H127" s="8">
        <v>1</v>
      </c>
      <c r="I127" s="8"/>
      <c r="J127" s="8">
        <v>60</v>
      </c>
    </row>
    <row r="128" spans="1:36" x14ac:dyDescent="0.25">
      <c r="A128" s="14">
        <v>4</v>
      </c>
      <c r="B128" s="8">
        <v>453</v>
      </c>
      <c r="C128" s="8">
        <v>508</v>
      </c>
      <c r="D128" s="8">
        <v>501</v>
      </c>
      <c r="E128" s="8"/>
      <c r="F128" s="8">
        <v>484</v>
      </c>
      <c r="G128" s="8"/>
      <c r="H128" s="8">
        <v>1</v>
      </c>
      <c r="I128" s="8"/>
      <c r="J128" s="8">
        <v>30</v>
      </c>
      <c r="AJ128" t="s">
        <v>118</v>
      </c>
    </row>
    <row r="129" spans="1:10" x14ac:dyDescent="0.25">
      <c r="A129" s="14">
        <v>5</v>
      </c>
      <c r="B129" s="8">
        <v>639</v>
      </c>
      <c r="C129" s="8">
        <v>650</v>
      </c>
      <c r="D129" s="8">
        <v>661</v>
      </c>
      <c r="E129" s="8"/>
      <c r="F129" s="8">
        <v>685</v>
      </c>
      <c r="G129" s="8"/>
      <c r="H129" s="8">
        <v>0.3</v>
      </c>
      <c r="I129" s="8"/>
      <c r="J129" s="8">
        <v>0</v>
      </c>
    </row>
    <row r="130" spans="1:10" x14ac:dyDescent="0.25">
      <c r="A130" s="14">
        <v>6</v>
      </c>
      <c r="B130" s="8">
        <v>642</v>
      </c>
      <c r="C130" s="8">
        <v>654</v>
      </c>
      <c r="D130" s="8">
        <v>666</v>
      </c>
      <c r="E130" s="8"/>
      <c r="F130" s="8">
        <v>689</v>
      </c>
      <c r="G130" s="8"/>
      <c r="H130" s="8">
        <v>0.3</v>
      </c>
      <c r="I130" s="8"/>
      <c r="J130" s="8">
        <v>60</v>
      </c>
    </row>
    <row r="131" spans="1:10" x14ac:dyDescent="0.25">
      <c r="A131" s="14">
        <v>7</v>
      </c>
      <c r="B131" s="8">
        <v>635</v>
      </c>
      <c r="C131" s="8">
        <v>646</v>
      </c>
      <c r="D131" s="8">
        <v>657</v>
      </c>
      <c r="E131" s="8"/>
      <c r="F131" s="8">
        <v>672</v>
      </c>
      <c r="G131" s="8"/>
      <c r="H131" s="8">
        <v>0.3</v>
      </c>
      <c r="I131" s="8"/>
      <c r="J131" s="8">
        <v>30</v>
      </c>
    </row>
    <row r="132" spans="1:10" x14ac:dyDescent="0.25">
      <c r="A132" s="14">
        <v>8</v>
      </c>
      <c r="B132" s="8">
        <v>514</v>
      </c>
      <c r="C132" s="8">
        <v>523</v>
      </c>
      <c r="D132" s="8">
        <v>532</v>
      </c>
      <c r="E132" s="8"/>
      <c r="F132" s="8">
        <v>542</v>
      </c>
      <c r="G132" s="8"/>
      <c r="H132" s="8">
        <v>0.5</v>
      </c>
      <c r="I132" s="8"/>
      <c r="J132" s="8">
        <v>0</v>
      </c>
    </row>
    <row r="133" spans="1:10" x14ac:dyDescent="0.25">
      <c r="A133" s="14">
        <v>9</v>
      </c>
      <c r="B133" s="8">
        <v>517</v>
      </c>
      <c r="C133" s="8">
        <v>525</v>
      </c>
      <c r="D133" s="8">
        <v>534</v>
      </c>
      <c r="E133" s="8"/>
      <c r="F133" s="8">
        <v>546</v>
      </c>
      <c r="G133" s="8"/>
      <c r="H133" s="8">
        <v>0.5</v>
      </c>
      <c r="I133" s="8"/>
      <c r="J133" s="8">
        <v>60</v>
      </c>
    </row>
    <row r="134" spans="1:10" x14ac:dyDescent="0.25">
      <c r="A134" s="14">
        <v>10</v>
      </c>
      <c r="B134" s="8">
        <v>520</v>
      </c>
      <c r="C134" s="8">
        <v>530</v>
      </c>
      <c r="D134" s="8">
        <v>536</v>
      </c>
      <c r="E134" s="8"/>
      <c r="F134" s="8">
        <v>553</v>
      </c>
      <c r="G134" s="8"/>
      <c r="H134" s="8">
        <v>0.5</v>
      </c>
      <c r="I134" s="8"/>
      <c r="J134" s="8">
        <v>30</v>
      </c>
    </row>
    <row r="135" spans="1:10" x14ac:dyDescent="0.25">
      <c r="A135" s="14">
        <v>11</v>
      </c>
      <c r="B135" s="8">
        <v>584</v>
      </c>
      <c r="C135" s="8">
        <v>602</v>
      </c>
      <c r="D135" s="8">
        <v>614</v>
      </c>
      <c r="E135" s="8"/>
      <c r="F135" s="8">
        <v>560</v>
      </c>
      <c r="G135" s="8"/>
      <c r="H135" s="8">
        <v>1.6</v>
      </c>
      <c r="I135" s="8"/>
      <c r="J135" s="8">
        <v>30</v>
      </c>
    </row>
    <row r="136" spans="1:10" x14ac:dyDescent="0.25">
      <c r="A136" s="14">
        <v>12</v>
      </c>
      <c r="B136" s="8">
        <v>588</v>
      </c>
      <c r="C136" s="8">
        <v>607</v>
      </c>
      <c r="D136" s="8">
        <v>617</v>
      </c>
      <c r="E136" s="8"/>
      <c r="F136" s="8" t="s">
        <v>104</v>
      </c>
      <c r="G136" s="8"/>
      <c r="H136" s="8">
        <v>1.6</v>
      </c>
      <c r="I136" s="8"/>
      <c r="J136" s="8">
        <v>0</v>
      </c>
    </row>
    <row r="137" spans="1:10" x14ac:dyDescent="0.25">
      <c r="A137" s="14">
        <v>13</v>
      </c>
      <c r="B137" s="9" t="s">
        <v>0</v>
      </c>
      <c r="C137" s="9" t="s">
        <v>0</v>
      </c>
      <c r="D137" s="9" t="s">
        <v>0</v>
      </c>
      <c r="E137" s="9" t="s">
        <v>0</v>
      </c>
      <c r="F137" s="9" t="s">
        <v>0</v>
      </c>
      <c r="G137" s="9"/>
      <c r="H137" s="9" t="s">
        <v>0</v>
      </c>
      <c r="I137" s="9"/>
      <c r="J137" s="9" t="s">
        <v>0</v>
      </c>
    </row>
    <row r="138" spans="1:10" x14ac:dyDescent="0.25">
      <c r="A138" s="14">
        <v>14</v>
      </c>
      <c r="B138" s="9" t="s">
        <v>105</v>
      </c>
      <c r="C138" s="8">
        <v>610</v>
      </c>
      <c r="D138" s="8">
        <v>631</v>
      </c>
      <c r="E138" s="8"/>
      <c r="F138" s="8">
        <v>577</v>
      </c>
      <c r="G138" s="8"/>
      <c r="H138" s="8">
        <v>1.6</v>
      </c>
      <c r="I138" s="8"/>
      <c r="J138" s="8">
        <v>60</v>
      </c>
    </row>
    <row r="145" spans="1:15" ht="18.75" x14ac:dyDescent="0.3">
      <c r="A145" s="2" t="s">
        <v>50</v>
      </c>
      <c r="B145" s="2" t="s">
        <v>1</v>
      </c>
      <c r="C145" s="2" t="s">
        <v>52</v>
      </c>
      <c r="D145" s="2" t="s">
        <v>3</v>
      </c>
      <c r="E145" s="2" t="s">
        <v>4</v>
      </c>
      <c r="F145" s="2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2" t="s">
        <v>10</v>
      </c>
      <c r="L145" s="2" t="s">
        <v>11</v>
      </c>
      <c r="M145" s="2" t="s">
        <v>12</v>
      </c>
      <c r="N145" s="2" t="s">
        <v>13</v>
      </c>
      <c r="O145" s="2" t="s">
        <v>67</v>
      </c>
    </row>
    <row r="146" spans="1:15" x14ac:dyDescent="0.25">
      <c r="A146" s="8" t="s">
        <v>14</v>
      </c>
      <c r="B146" s="8">
        <v>100</v>
      </c>
      <c r="C146" s="8">
        <v>10</v>
      </c>
      <c r="D146" s="8">
        <v>3</v>
      </c>
      <c r="E146" s="8">
        <f t="shared" ref="E146:E169" si="49">B146-SUM(C146:D146)</f>
        <v>87</v>
      </c>
      <c r="F146" s="8">
        <f>0</f>
        <v>0</v>
      </c>
      <c r="G146" s="8">
        <f>36-C146</f>
        <v>26</v>
      </c>
      <c r="H146" s="8"/>
      <c r="I146" s="8">
        <f>71-C146</f>
        <v>61</v>
      </c>
      <c r="J146" s="8">
        <f>100-(SUM(C146:D146))</f>
        <v>87</v>
      </c>
      <c r="K146" s="8">
        <f t="shared" ref="K146:K151" si="50">(G146-F146)/E146</f>
        <v>0.2988505747126437</v>
      </c>
      <c r="L146" s="8">
        <f t="shared" ref="L146:L154" si="51">(J146-I146)/E146</f>
        <v>0.2988505747126437</v>
      </c>
      <c r="M146" s="8">
        <f t="shared" ref="M146:M151" si="52">(I146-G146)/E146</f>
        <v>0.40229885057471265</v>
      </c>
      <c r="N146" s="8"/>
      <c r="O146" s="8"/>
    </row>
    <row r="147" spans="1:15" x14ac:dyDescent="0.25">
      <c r="A147" s="8" t="s">
        <v>15</v>
      </c>
      <c r="B147" s="8">
        <v>100</v>
      </c>
      <c r="C147" s="8">
        <v>0</v>
      </c>
      <c r="D147" s="8">
        <v>10</v>
      </c>
      <c r="E147" s="8">
        <f t="shared" si="49"/>
        <v>90</v>
      </c>
      <c r="F147" s="8">
        <f>0</f>
        <v>0</v>
      </c>
      <c r="G147" s="8">
        <f>28-C147</f>
        <v>28</v>
      </c>
      <c r="H147" s="8"/>
      <c r="I147" s="8">
        <f>65-C147</f>
        <v>65</v>
      </c>
      <c r="J147" s="8">
        <f t="shared" ref="J147:J172" si="53">E147</f>
        <v>90</v>
      </c>
      <c r="K147" s="8">
        <f t="shared" si="50"/>
        <v>0.31111111111111112</v>
      </c>
      <c r="L147" s="8">
        <f t="shared" si="51"/>
        <v>0.27777777777777779</v>
      </c>
      <c r="M147" s="8">
        <f t="shared" si="52"/>
        <v>0.41111111111111109</v>
      </c>
      <c r="N147" s="8"/>
      <c r="O147" s="8"/>
    </row>
    <row r="148" spans="1:15" x14ac:dyDescent="0.25">
      <c r="A148" s="8" t="s">
        <v>16</v>
      </c>
      <c r="B148" s="8">
        <v>100</v>
      </c>
      <c r="C148" s="8">
        <v>10</v>
      </c>
      <c r="D148" s="8">
        <v>3</v>
      </c>
      <c r="E148" s="8">
        <f t="shared" si="49"/>
        <v>87</v>
      </c>
      <c r="F148" s="8">
        <f>0</f>
        <v>0</v>
      </c>
      <c r="G148" s="8">
        <f>41-C148</f>
        <v>31</v>
      </c>
      <c r="H148" s="8"/>
      <c r="I148" s="8">
        <f>75-C148</f>
        <v>65</v>
      </c>
      <c r="J148" s="8">
        <f t="shared" si="53"/>
        <v>87</v>
      </c>
      <c r="K148" s="8">
        <f t="shared" si="50"/>
        <v>0.35632183908045978</v>
      </c>
      <c r="L148" s="8">
        <f t="shared" si="51"/>
        <v>0.25287356321839083</v>
      </c>
      <c r="M148" s="8">
        <f t="shared" si="52"/>
        <v>0.39080459770114945</v>
      </c>
      <c r="N148" s="8"/>
      <c r="O148" s="8"/>
    </row>
    <row r="149" spans="1:15" x14ac:dyDescent="0.25">
      <c r="A149" s="8" t="s">
        <v>18</v>
      </c>
      <c r="B149" s="8">
        <v>100</v>
      </c>
      <c r="C149" s="8">
        <v>5</v>
      </c>
      <c r="D149" s="8">
        <v>7</v>
      </c>
      <c r="E149" s="8">
        <f t="shared" si="49"/>
        <v>88</v>
      </c>
      <c r="F149" s="8">
        <v>0</v>
      </c>
      <c r="G149" s="8">
        <f>24-C149</f>
        <v>19</v>
      </c>
      <c r="H149" s="8"/>
      <c r="I149" s="8">
        <f>74-C149</f>
        <v>69</v>
      </c>
      <c r="J149" s="8">
        <f t="shared" si="53"/>
        <v>88</v>
      </c>
      <c r="K149" s="8">
        <f t="shared" si="50"/>
        <v>0.21590909090909091</v>
      </c>
      <c r="L149" s="8">
        <f t="shared" si="51"/>
        <v>0.21590909090909091</v>
      </c>
      <c r="M149" s="8">
        <f t="shared" si="52"/>
        <v>0.56818181818181823</v>
      </c>
      <c r="N149" s="8"/>
      <c r="O149" s="8"/>
    </row>
    <row r="150" spans="1:15" x14ac:dyDescent="0.25">
      <c r="A150" s="8" t="s">
        <v>19</v>
      </c>
      <c r="B150" s="8">
        <v>100</v>
      </c>
      <c r="C150" s="8">
        <v>5</v>
      </c>
      <c r="D150" s="8">
        <v>5</v>
      </c>
      <c r="E150" s="8">
        <f t="shared" si="49"/>
        <v>90</v>
      </c>
      <c r="F150" s="8">
        <f>0</f>
        <v>0</v>
      </c>
      <c r="G150" s="8">
        <f>34-C150</f>
        <v>29</v>
      </c>
      <c r="H150" s="8"/>
      <c r="I150" s="8">
        <f>68-C150</f>
        <v>63</v>
      </c>
      <c r="J150" s="8">
        <f t="shared" si="53"/>
        <v>90</v>
      </c>
      <c r="K150" s="8">
        <f t="shared" si="50"/>
        <v>0.32222222222222224</v>
      </c>
      <c r="L150" s="8">
        <f t="shared" si="51"/>
        <v>0.3</v>
      </c>
      <c r="M150" s="8">
        <f t="shared" si="52"/>
        <v>0.37777777777777777</v>
      </c>
      <c r="N150" s="8"/>
      <c r="O150" s="8"/>
    </row>
    <row r="151" spans="1:15" x14ac:dyDescent="0.25">
      <c r="A151" s="8" t="s">
        <v>20</v>
      </c>
      <c r="B151" s="8">
        <v>100</v>
      </c>
      <c r="C151" s="8">
        <v>5</v>
      </c>
      <c r="D151" s="8">
        <v>6</v>
      </c>
      <c r="E151" s="8">
        <f t="shared" si="49"/>
        <v>89</v>
      </c>
      <c r="F151" s="8">
        <f>0</f>
        <v>0</v>
      </c>
      <c r="G151" s="8">
        <f>36-C151</f>
        <v>31</v>
      </c>
      <c r="H151" s="8"/>
      <c r="I151" s="8">
        <f>66-C151</f>
        <v>61</v>
      </c>
      <c r="J151" s="8">
        <f t="shared" si="53"/>
        <v>89</v>
      </c>
      <c r="K151" s="8">
        <f t="shared" si="50"/>
        <v>0.34831460674157305</v>
      </c>
      <c r="L151" s="8">
        <f t="shared" si="51"/>
        <v>0.3146067415730337</v>
      </c>
      <c r="M151" s="8">
        <f t="shared" si="52"/>
        <v>0.33707865168539325</v>
      </c>
      <c r="N151" s="8"/>
      <c r="O151" s="8"/>
    </row>
    <row r="152" spans="1:15" x14ac:dyDescent="0.25">
      <c r="A152" s="8" t="s">
        <v>22</v>
      </c>
      <c r="B152" s="8">
        <v>100</v>
      </c>
      <c r="C152" s="8">
        <v>5</v>
      </c>
      <c r="D152" s="8">
        <v>6</v>
      </c>
      <c r="E152" s="8">
        <f t="shared" si="49"/>
        <v>89</v>
      </c>
      <c r="F152" s="8">
        <f>0</f>
        <v>0</v>
      </c>
      <c r="G152" s="8">
        <f>16-C152</f>
        <v>11</v>
      </c>
      <c r="H152" s="8"/>
      <c r="I152" s="8">
        <f>79-C152</f>
        <v>74</v>
      </c>
      <c r="J152" s="8">
        <f t="shared" si="53"/>
        <v>89</v>
      </c>
      <c r="K152" s="8">
        <f t="shared" ref="K152:K179" si="54">(G152-F152)/J152</f>
        <v>0.12359550561797752</v>
      </c>
      <c r="L152" s="8">
        <f t="shared" si="51"/>
        <v>0.16853932584269662</v>
      </c>
      <c r="M152" s="8">
        <f t="shared" ref="M152:M179" si="55">(I152-G152)/J152</f>
        <v>0.7078651685393258</v>
      </c>
      <c r="N152" s="8"/>
      <c r="O152" s="8"/>
    </row>
    <row r="153" spans="1:15" x14ac:dyDescent="0.25">
      <c r="A153" s="8" t="s">
        <v>23</v>
      </c>
      <c r="B153" s="8">
        <v>100</v>
      </c>
      <c r="C153" s="8">
        <v>6</v>
      </c>
      <c r="D153" s="8">
        <f>5</f>
        <v>5</v>
      </c>
      <c r="E153" s="8">
        <f t="shared" si="49"/>
        <v>89</v>
      </c>
      <c r="F153" s="8">
        <f>0</f>
        <v>0</v>
      </c>
      <c r="G153" s="8">
        <f>33-C153</f>
        <v>27</v>
      </c>
      <c r="H153" s="8"/>
      <c r="I153" s="8">
        <f>68-C153</f>
        <v>62</v>
      </c>
      <c r="J153" s="8">
        <f t="shared" si="53"/>
        <v>89</v>
      </c>
      <c r="K153" s="8">
        <f t="shared" si="54"/>
        <v>0.30337078651685395</v>
      </c>
      <c r="L153" s="8">
        <f t="shared" si="51"/>
        <v>0.30337078651685395</v>
      </c>
      <c r="M153" s="8">
        <f t="shared" si="55"/>
        <v>0.39325842696629215</v>
      </c>
      <c r="N153" s="8"/>
      <c r="O153" s="8"/>
    </row>
    <row r="154" spans="1:15" x14ac:dyDescent="0.25">
      <c r="A154" s="8" t="s">
        <v>24</v>
      </c>
      <c r="B154" s="8">
        <v>100</v>
      </c>
      <c r="C154" s="8">
        <f>0</f>
        <v>0</v>
      </c>
      <c r="D154" s="8">
        <v>10</v>
      </c>
      <c r="E154" s="8">
        <f t="shared" si="49"/>
        <v>90</v>
      </c>
      <c r="F154" s="8">
        <f>0</f>
        <v>0</v>
      </c>
      <c r="G154" s="8">
        <f>33-C154</f>
        <v>33</v>
      </c>
      <c r="H154" s="8"/>
      <c r="I154" s="8">
        <f>62-C154</f>
        <v>62</v>
      </c>
      <c r="J154" s="8">
        <f t="shared" si="53"/>
        <v>90</v>
      </c>
      <c r="K154" s="8">
        <f t="shared" si="54"/>
        <v>0.36666666666666664</v>
      </c>
      <c r="L154" s="8">
        <f t="shared" si="51"/>
        <v>0.31111111111111112</v>
      </c>
      <c r="M154" s="8">
        <f t="shared" si="55"/>
        <v>0.32222222222222224</v>
      </c>
      <c r="N154" s="8"/>
      <c r="O154" s="8"/>
    </row>
    <row r="155" spans="1:15" x14ac:dyDescent="0.25">
      <c r="A155" s="8" t="s">
        <v>25</v>
      </c>
      <c r="B155" s="8">
        <v>54</v>
      </c>
      <c r="C155" s="8">
        <v>2</v>
      </c>
      <c r="D155" s="8">
        <v>2</v>
      </c>
      <c r="E155" s="8">
        <f t="shared" si="49"/>
        <v>50</v>
      </c>
      <c r="F155" s="8">
        <v>0</v>
      </c>
      <c r="G155" s="8">
        <f>13-C155</f>
        <v>11</v>
      </c>
      <c r="H155" s="8"/>
      <c r="I155" s="8">
        <f>33-C155</f>
        <v>31</v>
      </c>
      <c r="J155" s="8">
        <f t="shared" si="53"/>
        <v>50</v>
      </c>
      <c r="K155" s="8">
        <f t="shared" si="54"/>
        <v>0.22</v>
      </c>
      <c r="L155" s="8">
        <f t="shared" ref="L155:L179" si="56">(J155-I155)/J155</f>
        <v>0.38</v>
      </c>
      <c r="M155" s="8">
        <f t="shared" si="55"/>
        <v>0.4</v>
      </c>
      <c r="N155" s="8"/>
      <c r="O155" s="8"/>
    </row>
    <row r="156" spans="1:15" x14ac:dyDescent="0.25">
      <c r="A156" s="8" t="s">
        <v>27</v>
      </c>
      <c r="B156" s="8">
        <v>52</v>
      </c>
      <c r="C156" s="8">
        <v>2</v>
      </c>
      <c r="D156" s="8">
        <v>1</v>
      </c>
      <c r="E156" s="8">
        <f t="shared" si="49"/>
        <v>49</v>
      </c>
      <c r="F156" s="8">
        <f>0</f>
        <v>0</v>
      </c>
      <c r="G156" s="8">
        <f>17-C156</f>
        <v>15</v>
      </c>
      <c r="H156" s="8"/>
      <c r="I156" s="8">
        <f>42-C156</f>
        <v>40</v>
      </c>
      <c r="J156" s="8">
        <f t="shared" si="53"/>
        <v>49</v>
      </c>
      <c r="K156" s="8">
        <f t="shared" si="54"/>
        <v>0.30612244897959184</v>
      </c>
      <c r="L156" s="8">
        <f t="shared" si="56"/>
        <v>0.18367346938775511</v>
      </c>
      <c r="M156" s="8">
        <f t="shared" si="55"/>
        <v>0.51020408163265307</v>
      </c>
      <c r="N156" s="8"/>
      <c r="O156" s="8"/>
    </row>
    <row r="157" spans="1:15" x14ac:dyDescent="0.25">
      <c r="A157" s="8" t="s">
        <v>28</v>
      </c>
      <c r="B157" s="3">
        <v>49</v>
      </c>
      <c r="C157" s="3">
        <v>1</v>
      </c>
      <c r="D157" s="3">
        <v>0</v>
      </c>
      <c r="E157" s="3">
        <f t="shared" si="49"/>
        <v>48</v>
      </c>
      <c r="F157" s="3">
        <v>0</v>
      </c>
      <c r="G157" s="3">
        <f>8-C157</f>
        <v>7</v>
      </c>
      <c r="H157" s="3"/>
      <c r="I157" s="3">
        <f>33-C157</f>
        <v>32</v>
      </c>
      <c r="J157" s="3">
        <f t="shared" si="53"/>
        <v>48</v>
      </c>
      <c r="K157" s="3">
        <f t="shared" si="54"/>
        <v>0.14583333333333334</v>
      </c>
      <c r="L157" s="3">
        <f t="shared" si="56"/>
        <v>0.33333333333333331</v>
      </c>
      <c r="M157" s="3">
        <f t="shared" si="55"/>
        <v>0.52083333333333337</v>
      </c>
      <c r="N157" s="3"/>
      <c r="O157" s="8"/>
    </row>
    <row r="158" spans="1:15" x14ac:dyDescent="0.25">
      <c r="A158" s="8" t="s">
        <v>30</v>
      </c>
      <c r="B158" s="8">
        <v>76</v>
      </c>
      <c r="C158" s="8">
        <v>0</v>
      </c>
      <c r="D158" s="8">
        <v>0</v>
      </c>
      <c r="E158" s="8">
        <f t="shared" si="49"/>
        <v>76</v>
      </c>
      <c r="F158" s="8">
        <v>0</v>
      </c>
      <c r="G158" s="8">
        <f>23-C158</f>
        <v>23</v>
      </c>
      <c r="H158" s="8"/>
      <c r="I158" s="8">
        <f>50-C158</f>
        <v>50</v>
      </c>
      <c r="J158" s="8">
        <f t="shared" si="53"/>
        <v>76</v>
      </c>
      <c r="K158" s="8">
        <f t="shared" si="54"/>
        <v>0.30263157894736842</v>
      </c>
      <c r="L158" s="8">
        <f t="shared" si="56"/>
        <v>0.34210526315789475</v>
      </c>
      <c r="M158" s="8">
        <f t="shared" si="55"/>
        <v>0.35526315789473684</v>
      </c>
      <c r="N158" s="8"/>
      <c r="O158" s="8"/>
    </row>
    <row r="159" spans="1:15" x14ac:dyDescent="0.25">
      <c r="A159" s="8" t="s">
        <v>31</v>
      </c>
      <c r="B159" s="8">
        <v>72</v>
      </c>
      <c r="C159" s="8">
        <v>1</v>
      </c>
      <c r="D159" s="8">
        <v>5</v>
      </c>
      <c r="E159" s="8">
        <f t="shared" si="49"/>
        <v>66</v>
      </c>
      <c r="F159" s="8">
        <v>0</v>
      </c>
      <c r="G159" s="8">
        <f>24-C159</f>
        <v>23</v>
      </c>
      <c r="H159" s="8"/>
      <c r="I159" s="8">
        <f>44-C159</f>
        <v>43</v>
      </c>
      <c r="J159" s="8">
        <f t="shared" si="53"/>
        <v>66</v>
      </c>
      <c r="K159" s="8">
        <f t="shared" si="54"/>
        <v>0.34848484848484851</v>
      </c>
      <c r="L159" s="8">
        <f t="shared" si="56"/>
        <v>0.34848484848484851</v>
      </c>
      <c r="M159" s="8">
        <f t="shared" si="55"/>
        <v>0.30303030303030304</v>
      </c>
      <c r="N159" s="8"/>
      <c r="O159" s="8"/>
    </row>
    <row r="160" spans="1:15" x14ac:dyDescent="0.25">
      <c r="A160" s="8" t="s">
        <v>32</v>
      </c>
      <c r="B160" s="8">
        <v>65</v>
      </c>
      <c r="C160" s="8">
        <v>0</v>
      </c>
      <c r="D160" s="8">
        <v>0</v>
      </c>
      <c r="E160" s="8">
        <f t="shared" si="49"/>
        <v>65</v>
      </c>
      <c r="F160" s="8">
        <v>0</v>
      </c>
      <c r="G160" s="8">
        <f>28-C160</f>
        <v>28</v>
      </c>
      <c r="H160" s="8"/>
      <c r="I160" s="8">
        <f>50-C160</f>
        <v>50</v>
      </c>
      <c r="J160" s="8">
        <f t="shared" si="53"/>
        <v>65</v>
      </c>
      <c r="K160" s="8">
        <f t="shared" si="54"/>
        <v>0.43076923076923079</v>
      </c>
      <c r="L160" s="8">
        <f t="shared" si="56"/>
        <v>0.23076923076923078</v>
      </c>
      <c r="M160" s="8">
        <f t="shared" si="55"/>
        <v>0.33846153846153848</v>
      </c>
      <c r="N160" s="8"/>
      <c r="O160" s="8"/>
    </row>
    <row r="161" spans="1:15" x14ac:dyDescent="0.25">
      <c r="A161" s="8" t="s">
        <v>34</v>
      </c>
      <c r="B161" s="8">
        <v>73</v>
      </c>
      <c r="C161" s="8">
        <v>0</v>
      </c>
      <c r="D161" s="8">
        <v>0</v>
      </c>
      <c r="E161" s="8">
        <f t="shared" si="49"/>
        <v>73</v>
      </c>
      <c r="F161" s="8">
        <v>0</v>
      </c>
      <c r="G161" s="8">
        <f>14-C161</f>
        <v>14</v>
      </c>
      <c r="H161" s="8"/>
      <c r="I161" s="8">
        <f>47-C161</f>
        <v>47</v>
      </c>
      <c r="J161" s="8">
        <f t="shared" si="53"/>
        <v>73</v>
      </c>
      <c r="K161" s="8">
        <f t="shared" si="54"/>
        <v>0.19178082191780821</v>
      </c>
      <c r="L161" s="8">
        <f t="shared" si="56"/>
        <v>0.35616438356164382</v>
      </c>
      <c r="M161" s="8">
        <f t="shared" si="55"/>
        <v>0.45205479452054792</v>
      </c>
      <c r="N161" s="8"/>
      <c r="O161" s="8"/>
    </row>
    <row r="162" spans="1:15" x14ac:dyDescent="0.25">
      <c r="A162" s="8" t="s">
        <v>35</v>
      </c>
      <c r="B162" s="8">
        <v>68</v>
      </c>
      <c r="C162" s="8">
        <v>0</v>
      </c>
      <c r="D162" s="8">
        <v>0</v>
      </c>
      <c r="E162" s="8">
        <f t="shared" si="49"/>
        <v>68</v>
      </c>
      <c r="F162" s="8">
        <v>0</v>
      </c>
      <c r="G162" s="8">
        <f>30-C162</f>
        <v>30</v>
      </c>
      <c r="H162" s="8"/>
      <c r="I162" s="8">
        <f>50-C162</f>
        <v>50</v>
      </c>
      <c r="J162" s="8">
        <f t="shared" si="53"/>
        <v>68</v>
      </c>
      <c r="K162" s="8">
        <f t="shared" si="54"/>
        <v>0.44117647058823528</v>
      </c>
      <c r="L162" s="8">
        <f t="shared" si="56"/>
        <v>0.26470588235294118</v>
      </c>
      <c r="M162" s="8">
        <f t="shared" si="55"/>
        <v>0.29411764705882354</v>
      </c>
      <c r="N162" s="8"/>
      <c r="O162" s="8"/>
    </row>
    <row r="163" spans="1:15" x14ac:dyDescent="0.25">
      <c r="A163" s="8" t="s">
        <v>36</v>
      </c>
      <c r="B163" s="8">
        <v>67</v>
      </c>
      <c r="C163" s="8">
        <v>0</v>
      </c>
      <c r="D163" s="8">
        <v>0</v>
      </c>
      <c r="E163" s="8">
        <f t="shared" si="49"/>
        <v>67</v>
      </c>
      <c r="F163" s="8">
        <v>0</v>
      </c>
      <c r="G163" s="8">
        <f>23-C163</f>
        <v>23</v>
      </c>
      <c r="H163" s="8"/>
      <c r="I163" s="8">
        <f>40-C163</f>
        <v>40</v>
      </c>
      <c r="J163" s="8">
        <f t="shared" si="53"/>
        <v>67</v>
      </c>
      <c r="K163" s="8">
        <f t="shared" si="54"/>
        <v>0.34328358208955223</v>
      </c>
      <c r="L163" s="8">
        <f t="shared" si="56"/>
        <v>0.40298507462686567</v>
      </c>
      <c r="M163" s="8">
        <f t="shared" si="55"/>
        <v>0.2537313432835821</v>
      </c>
      <c r="N163" s="8"/>
      <c r="O163" s="8"/>
    </row>
    <row r="164" spans="1:15" x14ac:dyDescent="0.25">
      <c r="A164" s="8" t="s">
        <v>38</v>
      </c>
      <c r="B164" s="8">
        <v>76</v>
      </c>
      <c r="C164" s="8">
        <v>0</v>
      </c>
      <c r="D164" s="8">
        <v>0</v>
      </c>
      <c r="E164" s="8">
        <f t="shared" si="49"/>
        <v>76</v>
      </c>
      <c r="F164" s="8">
        <v>0</v>
      </c>
      <c r="G164" s="8">
        <f>26-C164</f>
        <v>26</v>
      </c>
      <c r="H164" s="8"/>
      <c r="I164" s="8">
        <f>56-C164</f>
        <v>56</v>
      </c>
      <c r="J164" s="8">
        <f t="shared" si="53"/>
        <v>76</v>
      </c>
      <c r="K164" s="8">
        <f t="shared" si="54"/>
        <v>0.34210526315789475</v>
      </c>
      <c r="L164" s="8">
        <f t="shared" si="56"/>
        <v>0.26315789473684209</v>
      </c>
      <c r="M164" s="8">
        <f t="shared" si="55"/>
        <v>0.39473684210526316</v>
      </c>
      <c r="N164" s="8"/>
      <c r="O164" s="8"/>
    </row>
    <row r="165" spans="1:15" x14ac:dyDescent="0.25">
      <c r="A165" s="8" t="s">
        <v>39</v>
      </c>
      <c r="B165" s="8">
        <v>76</v>
      </c>
      <c r="C165" s="8">
        <v>0</v>
      </c>
      <c r="D165" s="8">
        <v>0</v>
      </c>
      <c r="E165" s="8">
        <f t="shared" si="49"/>
        <v>76</v>
      </c>
      <c r="F165" s="8">
        <v>0</v>
      </c>
      <c r="G165" s="8">
        <f>26-C165</f>
        <v>26</v>
      </c>
      <c r="H165" s="8"/>
      <c r="I165" s="8">
        <f>50-C165</f>
        <v>50</v>
      </c>
      <c r="J165" s="8">
        <f t="shared" si="53"/>
        <v>76</v>
      </c>
      <c r="K165" s="8">
        <f t="shared" si="54"/>
        <v>0.34210526315789475</v>
      </c>
      <c r="L165" s="8">
        <f t="shared" si="56"/>
        <v>0.34210526315789475</v>
      </c>
      <c r="M165" s="8">
        <f t="shared" si="55"/>
        <v>0.31578947368421051</v>
      </c>
      <c r="N165" s="8"/>
      <c r="O165" s="8"/>
    </row>
    <row r="166" spans="1:15" x14ac:dyDescent="0.25">
      <c r="A166" s="8" t="s">
        <v>40</v>
      </c>
      <c r="B166" s="8">
        <v>67</v>
      </c>
      <c r="C166" s="8">
        <v>0</v>
      </c>
      <c r="D166" s="8">
        <v>0</v>
      </c>
      <c r="E166" s="8">
        <f t="shared" si="49"/>
        <v>67</v>
      </c>
      <c r="F166" s="8">
        <v>0</v>
      </c>
      <c r="G166" s="8">
        <f>27-C166</f>
        <v>27</v>
      </c>
      <c r="H166" s="8"/>
      <c r="I166" s="8">
        <f>46-C166</f>
        <v>46</v>
      </c>
      <c r="J166" s="8">
        <f t="shared" si="53"/>
        <v>67</v>
      </c>
      <c r="K166" s="8">
        <f t="shared" si="54"/>
        <v>0.40298507462686567</v>
      </c>
      <c r="L166" s="8">
        <f t="shared" si="56"/>
        <v>0.31343283582089554</v>
      </c>
      <c r="M166" s="8">
        <f t="shared" si="55"/>
        <v>0.28358208955223879</v>
      </c>
      <c r="N166" s="8"/>
      <c r="O166" s="8"/>
    </row>
    <row r="167" spans="1:15" x14ac:dyDescent="0.25">
      <c r="A167" s="8" t="s">
        <v>42</v>
      </c>
      <c r="B167" s="8">
        <v>161</v>
      </c>
      <c r="C167" s="8">
        <v>0</v>
      </c>
      <c r="D167" s="8">
        <v>0</v>
      </c>
      <c r="E167" s="8">
        <f t="shared" si="49"/>
        <v>161</v>
      </c>
      <c r="F167" s="8">
        <v>0</v>
      </c>
      <c r="G167" s="8">
        <f>9-C167</f>
        <v>9</v>
      </c>
      <c r="H167" s="8"/>
      <c r="I167" s="8">
        <f>115-C167</f>
        <v>115</v>
      </c>
      <c r="J167" s="8">
        <f t="shared" si="53"/>
        <v>161</v>
      </c>
      <c r="K167" s="8">
        <f t="shared" si="54"/>
        <v>5.5900621118012424E-2</v>
      </c>
      <c r="L167" s="8">
        <f t="shared" si="56"/>
        <v>0.2857142857142857</v>
      </c>
      <c r="M167" s="8">
        <f t="shared" si="55"/>
        <v>0.65838509316770188</v>
      </c>
      <c r="N167" s="8"/>
      <c r="O167" s="8"/>
    </row>
    <row r="168" spans="1:15" x14ac:dyDescent="0.25">
      <c r="A168" s="8" t="s">
        <v>43</v>
      </c>
      <c r="B168" s="8">
        <v>171</v>
      </c>
      <c r="C168" s="8">
        <v>0</v>
      </c>
      <c r="D168" s="8">
        <v>0</v>
      </c>
      <c r="E168" s="8">
        <f t="shared" si="49"/>
        <v>171</v>
      </c>
      <c r="F168" s="8">
        <f>0</f>
        <v>0</v>
      </c>
      <c r="G168" s="8">
        <f>31-C168</f>
        <v>31</v>
      </c>
      <c r="H168" s="8"/>
      <c r="I168" s="8">
        <f>129-C168</f>
        <v>129</v>
      </c>
      <c r="J168" s="8">
        <f t="shared" si="53"/>
        <v>171</v>
      </c>
      <c r="K168" s="8">
        <f t="shared" si="54"/>
        <v>0.18128654970760233</v>
      </c>
      <c r="L168" s="8">
        <f t="shared" si="56"/>
        <v>0.24561403508771928</v>
      </c>
      <c r="M168" s="8">
        <f t="shared" si="55"/>
        <v>0.57309941520467833</v>
      </c>
      <c r="N168" s="8"/>
      <c r="O168" s="8"/>
    </row>
    <row r="169" spans="1:15" x14ac:dyDescent="0.25">
      <c r="A169" s="8" t="s">
        <v>44</v>
      </c>
      <c r="B169" s="8">
        <v>177</v>
      </c>
      <c r="C169" s="8">
        <v>5</v>
      </c>
      <c r="D169" s="8">
        <v>0</v>
      </c>
      <c r="E169" s="8">
        <f t="shared" si="49"/>
        <v>172</v>
      </c>
      <c r="F169" s="8">
        <f>0</f>
        <v>0</v>
      </c>
      <c r="G169" s="8">
        <f>34-C169</f>
        <v>29</v>
      </c>
      <c r="H169" s="8"/>
      <c r="I169" s="8">
        <f>128-C169</f>
        <v>123</v>
      </c>
      <c r="J169" s="8">
        <f t="shared" si="53"/>
        <v>172</v>
      </c>
      <c r="K169" s="8">
        <f t="shared" si="54"/>
        <v>0.16860465116279069</v>
      </c>
      <c r="L169" s="8">
        <f t="shared" si="56"/>
        <v>0.28488372093023256</v>
      </c>
      <c r="M169" s="8">
        <f t="shared" si="55"/>
        <v>0.54651162790697672</v>
      </c>
      <c r="N169" s="8"/>
      <c r="O169" s="8"/>
    </row>
    <row r="170" spans="1:15" x14ac:dyDescent="0.25">
      <c r="A170" s="8" t="s">
        <v>46</v>
      </c>
      <c r="B170" s="8">
        <v>191</v>
      </c>
      <c r="C170" s="8">
        <f>5</f>
        <v>5</v>
      </c>
      <c r="D170" s="8">
        <v>11</v>
      </c>
      <c r="E170" s="8">
        <f t="shared" ref="E170:E172" si="57">B170-SUM(C170:D170)</f>
        <v>175</v>
      </c>
      <c r="F170" s="8">
        <f>0</f>
        <v>0</v>
      </c>
      <c r="G170" s="8">
        <f>31-C170</f>
        <v>26</v>
      </c>
      <c r="H170" s="8"/>
      <c r="I170" s="8">
        <f>136-C170</f>
        <v>131</v>
      </c>
      <c r="J170" s="8">
        <f t="shared" si="53"/>
        <v>175</v>
      </c>
      <c r="K170" s="8">
        <f t="shared" si="54"/>
        <v>0.14857142857142858</v>
      </c>
      <c r="L170" s="8">
        <f t="shared" si="56"/>
        <v>0.25142857142857145</v>
      </c>
      <c r="M170" s="8">
        <f t="shared" si="55"/>
        <v>0.6</v>
      </c>
      <c r="N170" s="8"/>
      <c r="O170" s="8"/>
    </row>
    <row r="171" spans="1:15" x14ac:dyDescent="0.25">
      <c r="A171" s="8" t="s">
        <v>47</v>
      </c>
      <c r="B171" s="8">
        <v>180</v>
      </c>
      <c r="C171" s="8">
        <v>5</v>
      </c>
      <c r="D171" s="8">
        <v>13</v>
      </c>
      <c r="E171" s="8">
        <f t="shared" si="57"/>
        <v>162</v>
      </c>
      <c r="F171" s="8">
        <v>0</v>
      </c>
      <c r="G171" s="8">
        <f>30-C171</f>
        <v>25</v>
      </c>
      <c r="H171" s="8"/>
      <c r="I171" s="8">
        <f>140-C171</f>
        <v>135</v>
      </c>
      <c r="J171" s="8">
        <f t="shared" si="53"/>
        <v>162</v>
      </c>
      <c r="K171" s="8">
        <f t="shared" si="54"/>
        <v>0.15432098765432098</v>
      </c>
      <c r="L171" s="8">
        <f t="shared" si="56"/>
        <v>0.16666666666666666</v>
      </c>
      <c r="M171" s="8">
        <f t="shared" si="55"/>
        <v>0.67901234567901236</v>
      </c>
      <c r="N171" s="8"/>
      <c r="O171" s="8"/>
    </row>
    <row r="172" spans="1:15" x14ac:dyDescent="0.25">
      <c r="A172" s="8" t="s">
        <v>48</v>
      </c>
      <c r="B172" s="8">
        <v>166</v>
      </c>
      <c r="C172" s="8">
        <v>4</v>
      </c>
      <c r="D172" s="8">
        <v>5</v>
      </c>
      <c r="E172" s="8">
        <f t="shared" si="57"/>
        <v>157</v>
      </c>
      <c r="F172" s="8">
        <v>0</v>
      </c>
      <c r="G172" s="8">
        <f>31-C172</f>
        <v>27</v>
      </c>
      <c r="H172" s="8"/>
      <c r="I172" s="8">
        <f>124-C172</f>
        <v>120</v>
      </c>
      <c r="J172" s="8">
        <f t="shared" si="53"/>
        <v>157</v>
      </c>
      <c r="K172" s="8">
        <f t="shared" si="54"/>
        <v>0.17197452229299362</v>
      </c>
      <c r="L172" s="8">
        <f t="shared" si="56"/>
        <v>0.2356687898089172</v>
      </c>
      <c r="M172" s="8">
        <f t="shared" si="55"/>
        <v>0.59235668789808915</v>
      </c>
      <c r="N172" s="8"/>
      <c r="O172" s="8"/>
    </row>
    <row r="173" spans="1:15" x14ac:dyDescent="0.25">
      <c r="A173" s="8" t="s">
        <v>57</v>
      </c>
      <c r="B173" s="8">
        <v>81</v>
      </c>
      <c r="C173" s="8">
        <v>0</v>
      </c>
      <c r="D173" s="8">
        <v>0</v>
      </c>
      <c r="E173" s="8">
        <f t="shared" ref="E173:E176" si="58">B173-SUM(C173:D173)</f>
        <v>81</v>
      </c>
      <c r="F173" s="8">
        <v>0</v>
      </c>
      <c r="G173" s="8">
        <f>31-C173</f>
        <v>31</v>
      </c>
      <c r="H173" s="8"/>
      <c r="I173" s="8">
        <f>55-C173</f>
        <v>55</v>
      </c>
      <c r="J173" s="8">
        <f t="shared" ref="J173:J176" si="59">E173</f>
        <v>81</v>
      </c>
      <c r="K173" s="8">
        <f t="shared" si="54"/>
        <v>0.38271604938271603</v>
      </c>
      <c r="L173" s="8">
        <f t="shared" si="56"/>
        <v>0.32098765432098764</v>
      </c>
      <c r="M173" s="8">
        <f t="shared" si="55"/>
        <v>0.29629629629629628</v>
      </c>
      <c r="N173" s="8"/>
      <c r="O173" s="8"/>
    </row>
    <row r="174" spans="1:15" x14ac:dyDescent="0.25">
      <c r="A174" s="8" t="s">
        <v>58</v>
      </c>
      <c r="B174" s="8">
        <v>81</v>
      </c>
      <c r="C174" s="8">
        <v>0</v>
      </c>
      <c r="D174" s="8">
        <f>0</f>
        <v>0</v>
      </c>
      <c r="E174" s="8">
        <f t="shared" si="58"/>
        <v>81</v>
      </c>
      <c r="F174" s="8">
        <v>0</v>
      </c>
      <c r="G174" s="8">
        <f>25-C174</f>
        <v>25</v>
      </c>
      <c r="H174" s="8"/>
      <c r="I174" s="8">
        <f>55-C174</f>
        <v>55</v>
      </c>
      <c r="J174" s="8">
        <f t="shared" si="59"/>
        <v>81</v>
      </c>
      <c r="K174" s="8">
        <f t="shared" si="54"/>
        <v>0.30864197530864196</v>
      </c>
      <c r="L174" s="8">
        <f t="shared" si="56"/>
        <v>0.32098765432098764</v>
      </c>
      <c r="M174" s="8">
        <f t="shared" si="55"/>
        <v>0.37037037037037035</v>
      </c>
      <c r="N174" s="8"/>
      <c r="O174" s="8"/>
    </row>
    <row r="175" spans="1:15" x14ac:dyDescent="0.25">
      <c r="A175" s="8" t="s">
        <v>55</v>
      </c>
      <c r="B175" s="8">
        <v>74</v>
      </c>
      <c r="C175" s="8">
        <v>0</v>
      </c>
      <c r="D175" s="8">
        <v>0</v>
      </c>
      <c r="E175" s="8">
        <f t="shared" si="58"/>
        <v>74</v>
      </c>
      <c r="F175" s="8">
        <v>0</v>
      </c>
      <c r="G175" s="8">
        <f>10-C175</f>
        <v>10</v>
      </c>
      <c r="H175" s="8"/>
      <c r="I175" s="8">
        <f>41-C175</f>
        <v>41</v>
      </c>
      <c r="J175" s="8">
        <f t="shared" si="59"/>
        <v>74</v>
      </c>
      <c r="K175" s="8">
        <f t="shared" si="54"/>
        <v>0.13513513513513514</v>
      </c>
      <c r="L175" s="8">
        <f t="shared" si="56"/>
        <v>0.44594594594594594</v>
      </c>
      <c r="M175" s="8">
        <f t="shared" si="55"/>
        <v>0.41891891891891891</v>
      </c>
      <c r="N175" s="8"/>
      <c r="O175" s="8"/>
    </row>
    <row r="176" spans="1:15" x14ac:dyDescent="0.25">
      <c r="A176" s="8" t="s">
        <v>60</v>
      </c>
      <c r="B176" s="8">
        <v>69</v>
      </c>
      <c r="C176" s="8">
        <v>2</v>
      </c>
      <c r="D176" s="8">
        <v>2</v>
      </c>
      <c r="E176" s="8">
        <f t="shared" si="58"/>
        <v>65</v>
      </c>
      <c r="F176" s="8">
        <v>0</v>
      </c>
      <c r="G176" s="8">
        <f>21-C176</f>
        <v>19</v>
      </c>
      <c r="H176" s="8"/>
      <c r="I176" s="8">
        <f>43-C176</f>
        <v>41</v>
      </c>
      <c r="J176" s="8">
        <f t="shared" si="59"/>
        <v>65</v>
      </c>
      <c r="K176" s="8">
        <f t="shared" si="54"/>
        <v>0.29230769230769232</v>
      </c>
      <c r="L176" s="8">
        <f t="shared" si="56"/>
        <v>0.36923076923076925</v>
      </c>
      <c r="M176" s="8">
        <f t="shared" si="55"/>
        <v>0.33846153846153848</v>
      </c>
      <c r="N176" s="8"/>
      <c r="O176" s="8"/>
    </row>
    <row r="177" spans="1:15" x14ac:dyDescent="0.25">
      <c r="A177" s="8" t="s">
        <v>63</v>
      </c>
      <c r="B177" s="8">
        <v>189</v>
      </c>
      <c r="C177" s="8">
        <v>0</v>
      </c>
      <c r="D177" s="8">
        <v>0</v>
      </c>
      <c r="E177" s="8">
        <f t="shared" ref="E177:E179" si="60">B177-SUM(C177:D177)</f>
        <v>189</v>
      </c>
      <c r="F177" s="8">
        <f>0</f>
        <v>0</v>
      </c>
      <c r="G177" s="8">
        <f>2-C177</f>
        <v>2</v>
      </c>
      <c r="H177" s="8"/>
      <c r="I177" s="8">
        <f>159-C177</f>
        <v>159</v>
      </c>
      <c r="J177" s="8">
        <f t="shared" ref="J177:J179" si="61">E177</f>
        <v>189</v>
      </c>
      <c r="K177" s="8">
        <f t="shared" si="54"/>
        <v>1.0582010582010581E-2</v>
      </c>
      <c r="L177" s="8">
        <f t="shared" si="56"/>
        <v>0.15873015873015872</v>
      </c>
      <c r="M177" s="8">
        <f t="shared" si="55"/>
        <v>0.8306878306878307</v>
      </c>
      <c r="N177" s="8"/>
      <c r="O177" s="8"/>
    </row>
    <row r="178" spans="1:15" x14ac:dyDescent="0.25">
      <c r="A178" s="8" t="s">
        <v>64</v>
      </c>
      <c r="B178" s="8">
        <v>175</v>
      </c>
      <c r="C178" s="8">
        <v>10</v>
      </c>
      <c r="D178" s="8">
        <v>0</v>
      </c>
      <c r="E178" s="8">
        <f t="shared" si="60"/>
        <v>165</v>
      </c>
      <c r="F178" s="8">
        <v>0</v>
      </c>
      <c r="G178" s="8">
        <f>0</f>
        <v>0</v>
      </c>
      <c r="H178" s="8"/>
      <c r="I178" s="8">
        <f>151-C178</f>
        <v>141</v>
      </c>
      <c r="J178" s="8">
        <f t="shared" si="61"/>
        <v>165</v>
      </c>
      <c r="K178" s="8">
        <f t="shared" si="54"/>
        <v>0</v>
      </c>
      <c r="L178" s="8">
        <f t="shared" si="56"/>
        <v>0.14545454545454545</v>
      </c>
      <c r="M178" s="8">
        <f t="shared" si="55"/>
        <v>0.8545454545454545</v>
      </c>
      <c r="N178" s="8"/>
      <c r="O178" s="8"/>
    </row>
    <row r="179" spans="1:15" x14ac:dyDescent="0.25">
      <c r="A179" s="8" t="s">
        <v>65</v>
      </c>
      <c r="B179" s="8">
        <v>172</v>
      </c>
      <c r="C179" s="8">
        <v>0</v>
      </c>
      <c r="D179" s="8">
        <v>0</v>
      </c>
      <c r="E179" s="8">
        <f t="shared" si="60"/>
        <v>172</v>
      </c>
      <c r="F179" s="8">
        <v>0</v>
      </c>
      <c r="G179" s="8">
        <f>0-C179</f>
        <v>0</v>
      </c>
      <c r="H179" s="8"/>
      <c r="I179" s="8">
        <f>155-C179</f>
        <v>155</v>
      </c>
      <c r="J179" s="8">
        <f t="shared" si="61"/>
        <v>172</v>
      </c>
      <c r="K179" s="8">
        <f t="shared" si="54"/>
        <v>0</v>
      </c>
      <c r="L179" s="8">
        <f t="shared" si="56"/>
        <v>9.8837209302325577E-2</v>
      </c>
      <c r="M179" s="8">
        <f t="shared" si="55"/>
        <v>0.90116279069767447</v>
      </c>
      <c r="N179" s="8"/>
      <c r="O179" s="8"/>
    </row>
    <row r="183" spans="1:15" ht="18.75" x14ac:dyDescent="0.3">
      <c r="A183" s="2"/>
      <c r="B183" s="10"/>
      <c r="C183" s="10"/>
      <c r="D183" s="10"/>
      <c r="E183" s="10"/>
      <c r="F183" s="10"/>
      <c r="G183" s="8"/>
      <c r="H183" s="10"/>
      <c r="I183" s="10"/>
      <c r="J183" s="10"/>
      <c r="K183" s="10"/>
      <c r="L183" s="10"/>
    </row>
    <row r="184" spans="1: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5034-692C-4D7F-B23B-F9E8246C54F4}">
  <dimension ref="A1:G13"/>
  <sheetViews>
    <sheetView workbookViewId="0">
      <selection activeCell="D2" sqref="D2"/>
    </sheetView>
  </sheetViews>
  <sheetFormatPr defaultRowHeight="15" x14ac:dyDescent="0.25"/>
  <cols>
    <col min="1" max="1" width="7.42578125" bestFit="1" customWidth="1"/>
    <col min="2" max="2" width="17.28515625" bestFit="1" customWidth="1"/>
    <col min="3" max="4" width="16.5703125" bestFit="1" customWidth="1"/>
    <col min="6" max="6" width="7.42578125" bestFit="1" customWidth="1"/>
  </cols>
  <sheetData>
    <row r="1" spans="1:7" x14ac:dyDescent="0.25">
      <c r="A1" s="10" t="s">
        <v>116</v>
      </c>
      <c r="B1" s="10" t="s">
        <v>99</v>
      </c>
      <c r="C1" s="10" t="s">
        <v>89</v>
      </c>
      <c r="D1" s="10" t="s">
        <v>117</v>
      </c>
      <c r="E1" s="10" t="s">
        <v>98</v>
      </c>
      <c r="F1" s="10" t="s">
        <v>111</v>
      </c>
      <c r="G1" s="8"/>
    </row>
    <row r="2" spans="1:7" x14ac:dyDescent="0.25">
      <c r="A2" s="8">
        <f>2</f>
        <v>2</v>
      </c>
      <c r="B2" s="8">
        <v>0</v>
      </c>
      <c r="C2" s="8">
        <f>'estimates new'!AR3</f>
        <v>0.62790697674418605</v>
      </c>
      <c r="D2" s="8">
        <f>'estimates new'!AS3</f>
        <v>0.37209302325581395</v>
      </c>
      <c r="E2" s="8">
        <f>'estimates new'!AT3</f>
        <v>1</v>
      </c>
      <c r="F2">
        <v>0</v>
      </c>
      <c r="G2" s="20"/>
    </row>
    <row r="3" spans="1:7" x14ac:dyDescent="0.25">
      <c r="A3" s="8">
        <f>A2+1</f>
        <v>3</v>
      </c>
      <c r="B3" s="8">
        <v>60</v>
      </c>
      <c r="C3" s="8">
        <f>'estimates new'!AR4</f>
        <v>0.68292682926829262</v>
      </c>
      <c r="D3" s="8">
        <f>'estimates new'!AS4</f>
        <v>0.31707317073170732</v>
      </c>
      <c r="E3" s="8">
        <f>'estimates new'!AT4</f>
        <v>1</v>
      </c>
      <c r="F3" s="8">
        <v>0</v>
      </c>
      <c r="G3" s="20"/>
    </row>
    <row r="4" spans="1:7" x14ac:dyDescent="0.25">
      <c r="A4" s="8">
        <f t="shared" ref="A4:A12" si="0">A3+1</f>
        <v>4</v>
      </c>
      <c r="B4" s="8">
        <v>30</v>
      </c>
      <c r="C4" s="8">
        <f>'estimates new'!AR5</f>
        <v>0.78021978021978022</v>
      </c>
      <c r="D4" s="8">
        <f>'estimates new'!AS5</f>
        <v>0.21978021978021978</v>
      </c>
      <c r="E4" s="8">
        <f>'estimates new'!AT5</f>
        <v>1</v>
      </c>
      <c r="F4" s="8">
        <v>0</v>
      </c>
      <c r="G4" s="20"/>
    </row>
    <row r="5" spans="1:7" x14ac:dyDescent="0.25">
      <c r="A5" s="8">
        <f t="shared" si="0"/>
        <v>5</v>
      </c>
      <c r="B5" s="8">
        <v>0</v>
      </c>
      <c r="C5" s="8">
        <f>'estimates new'!AR6</f>
        <v>0.53246753246753242</v>
      </c>
      <c r="D5" s="8">
        <f>'estimates new'!AS6</f>
        <v>0.46753246753246752</v>
      </c>
      <c r="E5" s="8">
        <f>'estimates new'!AT6</f>
        <v>0.3</v>
      </c>
      <c r="F5" s="8">
        <v>0</v>
      </c>
      <c r="G5" s="20"/>
    </row>
    <row r="6" spans="1:7" x14ac:dyDescent="0.25">
      <c r="A6" s="8">
        <f t="shared" si="0"/>
        <v>6</v>
      </c>
      <c r="B6" s="8">
        <v>60</v>
      </c>
      <c r="C6" s="8">
        <f>'estimates new'!AR7</f>
        <v>0.64835164835164838</v>
      </c>
      <c r="D6" s="8">
        <f>'estimates new'!AS7</f>
        <v>0.35164835164835168</v>
      </c>
      <c r="E6" s="8">
        <f>'estimates new'!AT7</f>
        <v>0.3</v>
      </c>
      <c r="F6" s="8">
        <v>0</v>
      </c>
      <c r="G6" s="20"/>
    </row>
    <row r="7" spans="1:7" x14ac:dyDescent="0.25">
      <c r="A7" s="8">
        <f t="shared" si="0"/>
        <v>7</v>
      </c>
      <c r="B7" s="8">
        <v>30</v>
      </c>
      <c r="C7" s="8">
        <f>'estimates new'!AR8</f>
        <v>0.73076923076923084</v>
      </c>
      <c r="D7" s="8">
        <f>'estimates new'!AS8</f>
        <v>0.26923076923076922</v>
      </c>
      <c r="E7" s="8">
        <f>'estimates new'!AT8</f>
        <v>0.3</v>
      </c>
      <c r="F7" s="8">
        <v>0</v>
      </c>
      <c r="G7" s="20"/>
    </row>
    <row r="8" spans="1:7" x14ac:dyDescent="0.25">
      <c r="A8" s="8">
        <f t="shared" si="0"/>
        <v>8</v>
      </c>
      <c r="B8" s="8">
        <v>0</v>
      </c>
      <c r="C8" s="8">
        <f>'estimates new'!AR9</f>
        <v>0.78461538461538471</v>
      </c>
      <c r="D8" s="8">
        <f>'estimates new'!AS9</f>
        <v>0.2153846153846154</v>
      </c>
      <c r="E8" s="8">
        <f>'estimates new'!AT9</f>
        <v>0.5</v>
      </c>
      <c r="F8" s="8">
        <v>0</v>
      </c>
      <c r="G8" s="20"/>
    </row>
    <row r="9" spans="1:7" x14ac:dyDescent="0.25">
      <c r="A9" s="8">
        <f t="shared" si="0"/>
        <v>9</v>
      </c>
      <c r="B9" s="8">
        <v>60</v>
      </c>
      <c r="C9" s="8">
        <f>'estimates new'!AR10</f>
        <v>0.7857142857142857</v>
      </c>
      <c r="D9" s="8">
        <f>'estimates new'!AS10</f>
        <v>0.21428571428571427</v>
      </c>
      <c r="E9" s="8">
        <f>'estimates new'!AT10</f>
        <v>0.5</v>
      </c>
      <c r="F9">
        <v>1</v>
      </c>
      <c r="G9" s="20"/>
    </row>
    <row r="10" spans="1:7" x14ac:dyDescent="0.25">
      <c r="A10" s="8">
        <f t="shared" si="0"/>
        <v>10</v>
      </c>
      <c r="B10" s="8">
        <v>30</v>
      </c>
      <c r="C10" s="8">
        <f>'estimates new'!AR11</f>
        <v>0.69117647058823528</v>
      </c>
      <c r="D10" s="8">
        <f>'estimates new'!AS11</f>
        <v>0.30882352941176472</v>
      </c>
      <c r="E10" s="8">
        <f>'estimates new'!AT11</f>
        <v>0.5</v>
      </c>
      <c r="F10">
        <v>0</v>
      </c>
      <c r="G10" s="20"/>
    </row>
    <row r="11" spans="1:7" x14ac:dyDescent="0.25">
      <c r="A11" s="8">
        <f t="shared" si="0"/>
        <v>11</v>
      </c>
      <c r="B11" s="8">
        <v>30</v>
      </c>
      <c r="C11" s="8">
        <f>'estimates new'!AR12</f>
        <v>0.54069767441860461</v>
      </c>
      <c r="D11" s="8">
        <f>'estimates new'!AS12</f>
        <v>0.45930232558139533</v>
      </c>
      <c r="E11" s="8">
        <f>'estimates new'!AT12</f>
        <v>1.6</v>
      </c>
      <c r="F11" s="8">
        <v>0</v>
      </c>
      <c r="G11" s="20"/>
    </row>
    <row r="12" spans="1:7" x14ac:dyDescent="0.25">
      <c r="A12" s="8">
        <f t="shared" si="0"/>
        <v>12</v>
      </c>
      <c r="B12" s="8">
        <v>0</v>
      </c>
      <c r="C12" s="8">
        <f>'estimates new'!AR13</f>
        <v>0.3772455089820359</v>
      </c>
      <c r="D12" s="8">
        <f>'estimates new'!AS13</f>
        <v>0.6227544910179641</v>
      </c>
      <c r="E12" s="8">
        <f>'estimates new'!AT13</f>
        <v>1.6</v>
      </c>
      <c r="F12">
        <v>1</v>
      </c>
      <c r="G12" s="20"/>
    </row>
    <row r="13" spans="1:7" x14ac:dyDescent="0.25">
      <c r="A13" s="8">
        <f>14</f>
        <v>14</v>
      </c>
      <c r="B13" s="8">
        <v>60</v>
      </c>
      <c r="C13" s="8">
        <f>'estimates new'!AR14</f>
        <v>9.8837209302325577E-2</v>
      </c>
      <c r="D13" s="8">
        <f>'estimates new'!AS14</f>
        <v>0.90116279069767447</v>
      </c>
      <c r="E13" s="8">
        <f>'estimates new'!AT14</f>
        <v>1.6</v>
      </c>
      <c r="F13">
        <v>0</v>
      </c>
      <c r="G13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98F0-01DC-427D-801F-06803A533CD8}">
  <dimension ref="A1:S37"/>
  <sheetViews>
    <sheetView workbookViewId="0">
      <selection activeCell="D23" sqref="D23"/>
    </sheetView>
  </sheetViews>
  <sheetFormatPr defaultRowHeight="15" x14ac:dyDescent="0.25"/>
  <cols>
    <col min="1" max="1" width="27.85546875" bestFit="1" customWidth="1"/>
    <col min="2" max="2" width="19.140625" bestFit="1" customWidth="1"/>
    <col min="3" max="3" width="35.140625" bestFit="1" customWidth="1"/>
    <col min="4" max="4" width="15.85546875" bestFit="1" customWidth="1"/>
    <col min="5" max="5" width="15.42578125" bestFit="1" customWidth="1"/>
    <col min="6" max="6" width="12" bestFit="1" customWidth="1"/>
    <col min="7" max="7" width="18.42578125" bestFit="1" customWidth="1"/>
    <col min="18" max="18" width="34.28515625" bestFit="1" customWidth="1"/>
  </cols>
  <sheetData>
    <row r="1" spans="1:19" ht="18.75" x14ac:dyDescent="0.3">
      <c r="A1" s="2" t="str">
        <f>'estimates new'!AR60</f>
        <v>sample files from polar</v>
      </c>
      <c r="B1" s="2" t="str">
        <f>'estimates new'!AS60</f>
        <v>sample number</v>
      </c>
      <c r="C1" s="2" t="str">
        <f>'estimates new'!AT60</f>
        <v>Distance from injection point</v>
      </c>
      <c r="D1" s="2" t="str">
        <f>'estimates new'!AU60</f>
        <v>core fraction</v>
      </c>
      <c r="E1" s="2" t="str">
        <f>'estimates new'!AV60</f>
        <v>skin fraction</v>
      </c>
      <c r="F1" s="2" t="str">
        <f>'estimates new'!AW60</f>
        <v>thickness</v>
      </c>
      <c r="G1" s="2" t="s">
        <v>110</v>
      </c>
      <c r="H1" s="2" t="s">
        <v>111</v>
      </c>
    </row>
    <row r="2" spans="1:19" ht="15.75" x14ac:dyDescent="0.25">
      <c r="A2" s="17" t="str">
        <f>'estimates new'!AR61</f>
        <v>462 (2)</v>
      </c>
      <c r="B2" s="17">
        <f>'estimates new'!AS61</f>
        <v>2</v>
      </c>
      <c r="C2" s="17">
        <f>'estimates new'!AT61</f>
        <v>12</v>
      </c>
      <c r="D2" s="17">
        <f>'estimates new'!AU61</f>
        <v>0.40229885057471265</v>
      </c>
      <c r="E2" s="17">
        <f>'estimates new'!AV61</f>
        <v>0.5977011494252874</v>
      </c>
      <c r="F2" s="17">
        <f>'estimates new'!AW61</f>
        <v>1</v>
      </c>
      <c r="G2" s="18">
        <f>0</f>
        <v>0</v>
      </c>
      <c r="H2">
        <v>0</v>
      </c>
    </row>
    <row r="3" spans="1:19" ht="15.75" x14ac:dyDescent="0.25">
      <c r="A3" s="17" t="str">
        <f>'estimates new'!AR62</f>
        <v>510 (2)</v>
      </c>
      <c r="B3" s="17">
        <f>'estimates new'!AS62</f>
        <v>2</v>
      </c>
      <c r="C3" s="17">
        <f>'estimates new'!AT62</f>
        <v>27</v>
      </c>
      <c r="D3" s="17">
        <f>'estimates new'!AU62</f>
        <v>0.41111111111111109</v>
      </c>
      <c r="E3" s="17">
        <f>'estimates new'!AV62</f>
        <v>0.58888888888888891</v>
      </c>
      <c r="F3" s="17">
        <f>'estimates new'!AW62</f>
        <v>1</v>
      </c>
      <c r="G3" s="18">
        <f>0</f>
        <v>0</v>
      </c>
      <c r="H3" s="8">
        <v>0</v>
      </c>
    </row>
    <row r="4" spans="1:19" ht="15.75" x14ac:dyDescent="0.25">
      <c r="A4" s="17" t="str">
        <f>'estimates new'!AR63</f>
        <v>503 (2)</v>
      </c>
      <c r="B4" s="17">
        <f>'estimates new'!AS63</f>
        <v>2</v>
      </c>
      <c r="C4" s="17">
        <f>'estimates new'!AT63</f>
        <v>42</v>
      </c>
      <c r="D4" s="17">
        <f>'estimates new'!AU63</f>
        <v>0.39080459770114945</v>
      </c>
      <c r="E4" s="17">
        <f>'estimates new'!AV63</f>
        <v>0.60919540229885061</v>
      </c>
      <c r="F4" s="17">
        <f>'estimates new'!AW63</f>
        <v>1</v>
      </c>
      <c r="G4" s="18">
        <f>0</f>
        <v>0</v>
      </c>
      <c r="H4" s="8">
        <v>0</v>
      </c>
      <c r="N4" s="8"/>
      <c r="O4" s="8"/>
      <c r="P4" s="8"/>
      <c r="Q4" s="8"/>
      <c r="R4" s="8"/>
      <c r="S4" s="8"/>
    </row>
    <row r="5" spans="1:19" ht="15.75" x14ac:dyDescent="0.25">
      <c r="A5" s="17" t="str">
        <f>'estimates new'!AR64</f>
        <v>442 (3)</v>
      </c>
      <c r="B5" s="17">
        <f>'estimates new'!AS64</f>
        <v>3</v>
      </c>
      <c r="C5" s="17">
        <f>'estimates new'!AT64</f>
        <v>12</v>
      </c>
      <c r="D5" s="17">
        <f>'estimates new'!AU64</f>
        <v>0.56818181818181823</v>
      </c>
      <c r="E5" s="17">
        <f>'estimates new'!AV64</f>
        <v>0.43181818181818182</v>
      </c>
      <c r="F5" s="17">
        <f>'estimates new'!AW64</f>
        <v>1</v>
      </c>
      <c r="G5" s="18">
        <v>60</v>
      </c>
      <c r="H5" s="8">
        <v>0</v>
      </c>
      <c r="N5" s="8"/>
      <c r="O5" s="8"/>
      <c r="P5" s="8"/>
      <c r="Q5" s="8"/>
      <c r="R5" s="8"/>
      <c r="S5" s="8"/>
    </row>
    <row r="6" spans="1:19" ht="15.75" x14ac:dyDescent="0.25">
      <c r="A6" s="17" t="str">
        <f>'estimates new'!AR65</f>
        <v>505 (3)</v>
      </c>
      <c r="B6" s="17">
        <f>'estimates new'!AS65</f>
        <v>3</v>
      </c>
      <c r="C6" s="17">
        <f>'estimates new'!AT65</f>
        <v>27</v>
      </c>
      <c r="D6" s="17">
        <f>'estimates new'!AU65</f>
        <v>0.37777777777777777</v>
      </c>
      <c r="E6" s="17">
        <f>'estimates new'!AV65</f>
        <v>0.62222222222222223</v>
      </c>
      <c r="F6" s="17">
        <f>'estimates new'!AW65</f>
        <v>1</v>
      </c>
      <c r="G6" s="18">
        <v>60</v>
      </c>
      <c r="H6" s="8">
        <v>0</v>
      </c>
      <c r="N6" s="19"/>
      <c r="O6" s="19"/>
      <c r="P6" s="19"/>
      <c r="Q6" s="19"/>
      <c r="R6" s="19"/>
      <c r="S6" s="8"/>
    </row>
    <row r="7" spans="1:19" ht="15.75" x14ac:dyDescent="0.25">
      <c r="A7" s="17" t="str">
        <f>'estimates new'!AR66</f>
        <v>499 (3)</v>
      </c>
      <c r="B7" s="17">
        <f>'estimates new'!AS66</f>
        <v>3</v>
      </c>
      <c r="C7" s="17">
        <f>'estimates new'!AT66</f>
        <v>42</v>
      </c>
      <c r="D7" s="17">
        <f>'estimates new'!AU66</f>
        <v>0.33707865168539325</v>
      </c>
      <c r="E7" s="17">
        <f>'estimates new'!AV66</f>
        <v>0.66292134831460681</v>
      </c>
      <c r="F7" s="17">
        <f>'estimates new'!AW66</f>
        <v>1</v>
      </c>
      <c r="G7" s="18">
        <v>60</v>
      </c>
      <c r="H7" s="8">
        <v>0</v>
      </c>
      <c r="N7" s="20"/>
      <c r="O7" s="20"/>
      <c r="P7" s="20"/>
      <c r="Q7" s="20"/>
      <c r="R7" s="20"/>
      <c r="S7" s="8"/>
    </row>
    <row r="8" spans="1:19" ht="15.75" x14ac:dyDescent="0.25">
      <c r="A8" s="17" t="str">
        <f>'estimates new'!AR67</f>
        <v>453 (4)</v>
      </c>
      <c r="B8" s="17">
        <f>'estimates new'!AS67</f>
        <v>4</v>
      </c>
      <c r="C8" s="17">
        <f>'estimates new'!AT67</f>
        <v>12</v>
      </c>
      <c r="D8" s="17">
        <f>'estimates new'!AU67</f>
        <v>0.6067415730337079</v>
      </c>
      <c r="E8" s="17">
        <f>'estimates new'!AV67</f>
        <v>0.3932584269662921</v>
      </c>
      <c r="F8" s="17">
        <f>'estimates new'!AW67</f>
        <v>1</v>
      </c>
      <c r="G8" s="18">
        <v>30</v>
      </c>
      <c r="H8" s="8">
        <v>0</v>
      </c>
      <c r="N8" s="20"/>
      <c r="O8" s="20"/>
      <c r="P8" s="20"/>
      <c r="Q8" s="20"/>
      <c r="R8" s="20"/>
      <c r="S8" s="8"/>
    </row>
    <row r="9" spans="1:19" ht="15.75" x14ac:dyDescent="0.25">
      <c r="A9" s="17" t="str">
        <f>'estimates new'!AR68</f>
        <v>508 (4)</v>
      </c>
      <c r="B9" s="17">
        <f>'estimates new'!AS68</f>
        <v>4</v>
      </c>
      <c r="C9" s="17">
        <f>'estimates new'!AT68</f>
        <v>27</v>
      </c>
      <c r="D9" s="17">
        <f>'estimates new'!AU68</f>
        <v>0.39325842696629215</v>
      </c>
      <c r="E9" s="17">
        <f>'estimates new'!AV68</f>
        <v>0.6067415730337079</v>
      </c>
      <c r="F9" s="17">
        <f>'estimates new'!AW68</f>
        <v>1</v>
      </c>
      <c r="G9" s="18">
        <v>30</v>
      </c>
      <c r="H9" s="8">
        <v>0</v>
      </c>
      <c r="N9" s="20"/>
      <c r="O9" s="20"/>
      <c r="P9" s="20"/>
      <c r="Q9" s="20"/>
      <c r="R9" s="20"/>
      <c r="S9" s="8"/>
    </row>
    <row r="10" spans="1:19" ht="15.75" x14ac:dyDescent="0.25">
      <c r="A10" s="17" t="str">
        <f>'estimates new'!AR69</f>
        <v>501 (4)</v>
      </c>
      <c r="B10" s="17">
        <f>'estimates new'!AS69</f>
        <v>4</v>
      </c>
      <c r="C10" s="17">
        <f>'estimates new'!AT69</f>
        <v>42</v>
      </c>
      <c r="D10" s="17">
        <f>'estimates new'!AU69</f>
        <v>0.32222222222222224</v>
      </c>
      <c r="E10" s="17">
        <f>'estimates new'!AV69</f>
        <v>0.67777777777777781</v>
      </c>
      <c r="F10" s="17">
        <f>'estimates new'!AW69</f>
        <v>1</v>
      </c>
      <c r="G10" s="18">
        <v>30</v>
      </c>
      <c r="H10" s="8">
        <v>0</v>
      </c>
      <c r="N10" s="20"/>
      <c r="O10" s="20"/>
      <c r="P10" s="20"/>
      <c r="Q10" s="20"/>
      <c r="R10" s="20"/>
      <c r="S10" s="8"/>
    </row>
    <row r="11" spans="1:19" ht="15.75" x14ac:dyDescent="0.25">
      <c r="A11" s="17" t="str">
        <f>'estimates new'!AR70</f>
        <v>639 (5)</v>
      </c>
      <c r="B11" s="17">
        <f>'estimates new'!AS70</f>
        <v>5</v>
      </c>
      <c r="C11" s="17">
        <f>'estimates new'!AT70</f>
        <v>12</v>
      </c>
      <c r="D11" s="17">
        <f>'estimates new'!AU70</f>
        <v>0.32</v>
      </c>
      <c r="E11" s="17">
        <f>'estimates new'!AV70</f>
        <v>0.68</v>
      </c>
      <c r="F11" s="17">
        <f>'estimates new'!AW70</f>
        <v>0.3</v>
      </c>
      <c r="G11" s="18">
        <f>0</f>
        <v>0</v>
      </c>
      <c r="H11" s="8">
        <v>0</v>
      </c>
      <c r="N11" s="20"/>
      <c r="O11" s="20"/>
      <c r="P11" s="20"/>
      <c r="Q11" s="20"/>
      <c r="R11" s="20"/>
      <c r="S11" s="8"/>
    </row>
    <row r="12" spans="1:19" ht="15.75" x14ac:dyDescent="0.25">
      <c r="A12" s="17" t="str">
        <f>'estimates new'!AR71</f>
        <v>650 (5)</v>
      </c>
      <c r="B12" s="17">
        <f>'estimates new'!AS71</f>
        <v>5</v>
      </c>
      <c r="C12" s="17">
        <f>'estimates new'!AT71</f>
        <v>27</v>
      </c>
      <c r="D12" s="17">
        <f>'estimates new'!AU71</f>
        <v>0.1</v>
      </c>
      <c r="E12" s="17">
        <f>'estimates new'!AV71</f>
        <v>0.9</v>
      </c>
      <c r="F12" s="17">
        <f>'estimates new'!AW71</f>
        <v>0.3</v>
      </c>
      <c r="G12" s="18">
        <f>0</f>
        <v>0</v>
      </c>
      <c r="H12" s="8">
        <v>0</v>
      </c>
      <c r="N12" s="20"/>
      <c r="O12" s="20"/>
      <c r="P12" s="20"/>
      <c r="Q12" s="20"/>
      <c r="R12" s="20"/>
      <c r="S12" s="8"/>
    </row>
    <row r="13" spans="1:19" ht="15.75" x14ac:dyDescent="0.25">
      <c r="A13" s="17" t="str">
        <f>'estimates new'!AR72</f>
        <v>661 (5)</v>
      </c>
      <c r="B13" s="17">
        <f>'estimates new'!AS72</f>
        <v>5</v>
      </c>
      <c r="C13" s="17">
        <f>'estimates new'!AT72</f>
        <v>42</v>
      </c>
      <c r="D13" s="17">
        <f>'estimates new'!AU72</f>
        <v>0</v>
      </c>
      <c r="E13" s="17">
        <f>'estimates new'!AV72</f>
        <v>1</v>
      </c>
      <c r="F13" s="17">
        <f>'estimates new'!AW72</f>
        <v>0.3</v>
      </c>
      <c r="G13" s="18">
        <f>0</f>
        <v>0</v>
      </c>
      <c r="H13" s="8">
        <v>0</v>
      </c>
      <c r="N13" s="20"/>
      <c r="O13" s="20"/>
      <c r="P13" s="20"/>
      <c r="Q13" s="20"/>
      <c r="R13" s="20"/>
      <c r="S13" s="8"/>
    </row>
    <row r="14" spans="1:19" ht="15.75" x14ac:dyDescent="0.25">
      <c r="A14" s="17" t="str">
        <f>'estimates new'!AR73</f>
        <v>514 (8)</v>
      </c>
      <c r="B14" s="17">
        <f>'estimates new'!AS73</f>
        <v>8</v>
      </c>
      <c r="C14" s="17">
        <f>'estimates new'!AT73</f>
        <v>12</v>
      </c>
      <c r="D14" s="17">
        <f>'estimates new'!AU73</f>
        <v>0.35526315789473684</v>
      </c>
      <c r="E14" s="17">
        <f>'estimates new'!AV73</f>
        <v>0.64473684210526316</v>
      </c>
      <c r="F14" s="17">
        <f>'estimates new'!AW73</f>
        <v>0.5</v>
      </c>
      <c r="G14" s="18">
        <f>0</f>
        <v>0</v>
      </c>
      <c r="H14" s="8">
        <v>0</v>
      </c>
      <c r="N14" s="20"/>
      <c r="O14" s="20"/>
      <c r="P14" s="20"/>
      <c r="Q14" s="20"/>
      <c r="R14" s="20"/>
      <c r="S14" s="8"/>
    </row>
    <row r="15" spans="1:19" ht="15.75" x14ac:dyDescent="0.25">
      <c r="A15" s="17" t="str">
        <f>'estimates new'!AR74</f>
        <v>523 (8)</v>
      </c>
      <c r="B15" s="17">
        <f>'estimates new'!AS74</f>
        <v>8</v>
      </c>
      <c r="C15" s="17">
        <f>'estimates new'!AT74</f>
        <v>27</v>
      </c>
      <c r="D15" s="17">
        <f>'estimates new'!AU74</f>
        <v>0.30303030303030304</v>
      </c>
      <c r="E15" s="17">
        <f>'estimates new'!AV74</f>
        <v>0.69696969696969702</v>
      </c>
      <c r="F15" s="17">
        <f>'estimates new'!AW74</f>
        <v>0.5</v>
      </c>
      <c r="G15" s="18">
        <f>0</f>
        <v>0</v>
      </c>
      <c r="H15" s="8">
        <v>0</v>
      </c>
      <c r="N15" s="20"/>
      <c r="O15" s="20"/>
      <c r="P15" s="20"/>
      <c r="Q15" s="20"/>
      <c r="R15" s="20"/>
      <c r="S15" s="8"/>
    </row>
    <row r="16" spans="1:19" ht="15.75" x14ac:dyDescent="0.25">
      <c r="A16" s="17" t="str">
        <f>'estimates new'!AR75</f>
        <v>532 (8)</v>
      </c>
      <c r="B16" s="17">
        <f>'estimates new'!AS75</f>
        <v>8</v>
      </c>
      <c r="C16" s="17">
        <f>'estimates new'!AT75</f>
        <v>42</v>
      </c>
      <c r="D16" s="17">
        <f>'estimates new'!AU75</f>
        <v>4.2253521126760563E-2</v>
      </c>
      <c r="E16" s="17">
        <f>'estimates new'!AV75</f>
        <v>0.95774647887323949</v>
      </c>
      <c r="F16" s="17">
        <f>'estimates new'!AW75</f>
        <v>0.5</v>
      </c>
      <c r="G16" s="18">
        <f>0</f>
        <v>0</v>
      </c>
      <c r="H16" s="8">
        <v>0</v>
      </c>
      <c r="N16" s="20"/>
      <c r="O16" s="20"/>
      <c r="P16" s="20"/>
      <c r="Q16" s="20"/>
      <c r="R16" s="20"/>
      <c r="S16" s="8"/>
    </row>
    <row r="17" spans="1:19" ht="15.75" x14ac:dyDescent="0.25">
      <c r="A17" s="17" t="str">
        <f>'estimates new'!AR76</f>
        <v>517 (9)</v>
      </c>
      <c r="B17" s="17">
        <f>'estimates new'!AS76</f>
        <v>9</v>
      </c>
      <c r="C17" s="17">
        <f>'estimates new'!AT76</f>
        <v>12</v>
      </c>
      <c r="D17" s="17">
        <f>'estimates new'!AU76</f>
        <v>0.56164383561643838</v>
      </c>
      <c r="E17" s="17">
        <f>'estimates new'!AV76</f>
        <v>0.43835616438356162</v>
      </c>
      <c r="F17" s="17">
        <f>'estimates new'!AW76</f>
        <v>0.5</v>
      </c>
      <c r="G17" s="18">
        <v>60</v>
      </c>
      <c r="H17">
        <v>1</v>
      </c>
      <c r="N17" s="20"/>
      <c r="O17" s="20"/>
      <c r="P17" s="20"/>
      <c r="Q17" s="20"/>
      <c r="R17" s="20"/>
      <c r="S17" s="8"/>
    </row>
    <row r="18" spans="1:19" ht="15.75" x14ac:dyDescent="0.25">
      <c r="A18" s="17" t="str">
        <f>'estimates new'!AR77</f>
        <v>525 (9)</v>
      </c>
      <c r="B18" s="17">
        <f>'estimates new'!AS77</f>
        <v>9</v>
      </c>
      <c r="C18" s="17">
        <f>'estimates new'!AT77</f>
        <v>27</v>
      </c>
      <c r="D18" s="17">
        <f>'estimates new'!AU77</f>
        <v>0.46969696969696972</v>
      </c>
      <c r="E18" s="17">
        <f>'estimates new'!AV77</f>
        <v>0.53030303030303028</v>
      </c>
      <c r="F18" s="17">
        <f>'estimates new'!AW77</f>
        <v>0.5</v>
      </c>
      <c r="G18" s="18">
        <v>60</v>
      </c>
      <c r="H18">
        <v>1</v>
      </c>
      <c r="N18" s="20"/>
      <c r="O18" s="20"/>
      <c r="P18" s="20"/>
      <c r="Q18" s="20"/>
      <c r="R18" s="20"/>
      <c r="S18" s="8"/>
    </row>
    <row r="19" spans="1:19" ht="15.75" x14ac:dyDescent="0.25">
      <c r="A19" s="17" t="str">
        <f>'estimates new'!AR78</f>
        <v>534 (9)</v>
      </c>
      <c r="B19" s="17">
        <f>'estimates new'!AS78</f>
        <v>9</v>
      </c>
      <c r="C19" s="17">
        <f>'estimates new'!AT78</f>
        <v>42</v>
      </c>
      <c r="D19" s="17">
        <f>'estimates new'!AU78</f>
        <v>0.2537313432835821</v>
      </c>
      <c r="E19" s="17">
        <f>'estimates new'!AV78</f>
        <v>0.74626865671641784</v>
      </c>
      <c r="F19" s="17">
        <f>'estimates new'!AW78</f>
        <v>0.5</v>
      </c>
      <c r="G19" s="18">
        <v>60</v>
      </c>
      <c r="H19">
        <v>1</v>
      </c>
    </row>
    <row r="20" spans="1:19" ht="15.75" x14ac:dyDescent="0.25">
      <c r="A20" s="17" t="str">
        <f>'estimates new'!AR79</f>
        <v>520 (10)</v>
      </c>
      <c r="B20" s="17">
        <f>'estimates new'!AS79</f>
        <v>10</v>
      </c>
      <c r="C20" s="17">
        <f>'estimates new'!AT79</f>
        <v>12</v>
      </c>
      <c r="D20" s="17">
        <f>'estimates new'!AU79</f>
        <v>0.39473684210526316</v>
      </c>
      <c r="E20" s="17">
        <f>'estimates new'!AV79</f>
        <v>0.60526315789473684</v>
      </c>
      <c r="F20" s="17">
        <f>'estimates new'!AW79</f>
        <v>0.5</v>
      </c>
      <c r="G20">
        <v>30</v>
      </c>
      <c r="H20">
        <v>0</v>
      </c>
    </row>
    <row r="21" spans="1:19" ht="15.75" x14ac:dyDescent="0.25">
      <c r="A21" s="17" t="str">
        <f>'estimates new'!AR80</f>
        <v>530 (10)</v>
      </c>
      <c r="B21" s="17">
        <f>'estimates new'!AS80</f>
        <v>10</v>
      </c>
      <c r="C21" s="17">
        <f>'estimates new'!AT80</f>
        <v>27</v>
      </c>
      <c r="D21" s="17">
        <f>'estimates new'!AU80</f>
        <v>0.31578947368421051</v>
      </c>
      <c r="E21" s="17">
        <f>'estimates new'!AV80</f>
        <v>0.68421052631578949</v>
      </c>
      <c r="F21" s="17">
        <f>'estimates new'!AW80</f>
        <v>0.5</v>
      </c>
      <c r="G21">
        <v>30</v>
      </c>
      <c r="H21" s="8">
        <v>0</v>
      </c>
    </row>
    <row r="22" spans="1:19" ht="15.75" x14ac:dyDescent="0.25">
      <c r="A22" s="17" t="str">
        <f>'estimates new'!AR81</f>
        <v>536(10)</v>
      </c>
      <c r="B22" s="17">
        <f>'estimates new'!AS81</f>
        <v>10</v>
      </c>
      <c r="C22" s="17">
        <f>'estimates new'!AT81</f>
        <v>42</v>
      </c>
      <c r="D22" s="17">
        <f>'estimates new'!AU81</f>
        <v>0.28358208955223879</v>
      </c>
      <c r="E22" s="17">
        <f>'estimates new'!AV81</f>
        <v>0.71641791044776126</v>
      </c>
      <c r="F22" s="17">
        <f>'estimates new'!AW81</f>
        <v>0.5</v>
      </c>
      <c r="G22">
        <v>30</v>
      </c>
      <c r="H22" s="8">
        <v>0</v>
      </c>
    </row>
    <row r="23" spans="1:19" ht="15.75" x14ac:dyDescent="0.25">
      <c r="A23" s="17" t="str">
        <f>'estimates new'!AR82</f>
        <v>584 (11)</v>
      </c>
      <c r="B23" s="17">
        <f>'estimates new'!AS82</f>
        <v>11</v>
      </c>
      <c r="C23" s="17">
        <f>'estimates new'!AT82</f>
        <v>12</v>
      </c>
      <c r="D23" s="17">
        <f>'estimates new'!AU82</f>
        <v>0.75155279503105588</v>
      </c>
      <c r="E23" s="17">
        <f>'estimates new'!AV82</f>
        <v>0.2484472049689441</v>
      </c>
      <c r="F23" s="17">
        <f>'estimates new'!AW82</f>
        <v>1.6</v>
      </c>
      <c r="G23" s="8">
        <v>30</v>
      </c>
      <c r="H23" s="8">
        <v>0</v>
      </c>
    </row>
    <row r="24" spans="1:19" ht="15.75" x14ac:dyDescent="0.25">
      <c r="A24" s="17" t="str">
        <f>'estimates new'!AR83</f>
        <v>602 (11)</v>
      </c>
      <c r="B24" s="17">
        <f>'estimates new'!AS83</f>
        <v>11</v>
      </c>
      <c r="C24" s="17">
        <f>'estimates new'!AT83</f>
        <v>27</v>
      </c>
      <c r="D24" s="17">
        <f>'estimates new'!AU83</f>
        <v>0.57309941520467833</v>
      </c>
      <c r="E24" s="17">
        <f>'estimates new'!AV83</f>
        <v>0.42690058479532161</v>
      </c>
      <c r="F24" s="17">
        <f>'estimates new'!AW83</f>
        <v>1.6</v>
      </c>
      <c r="G24" s="8">
        <v>30</v>
      </c>
      <c r="H24" s="8">
        <v>0</v>
      </c>
    </row>
    <row r="25" spans="1:19" ht="15.75" x14ac:dyDescent="0.25">
      <c r="A25" s="17" t="str">
        <f>'estimates new'!AR84</f>
        <v>614 (11)</v>
      </c>
      <c r="B25" s="17">
        <f>'estimates new'!AS84</f>
        <v>11</v>
      </c>
      <c r="C25" s="17">
        <f>'estimates new'!AT84</f>
        <v>42</v>
      </c>
      <c r="D25" s="17">
        <f>'estimates new'!AU84</f>
        <v>0.54651162790697672</v>
      </c>
      <c r="E25" s="17">
        <f>'estimates new'!AV84</f>
        <v>0.45348837209302328</v>
      </c>
      <c r="F25" s="17">
        <f>'estimates new'!AW84</f>
        <v>1.6</v>
      </c>
      <c r="G25" s="8">
        <v>30</v>
      </c>
      <c r="H25" s="8">
        <v>0</v>
      </c>
    </row>
    <row r="26" spans="1:19" ht="15.75" x14ac:dyDescent="0.25">
      <c r="A26" s="17" t="str">
        <f>'estimates new'!AR85</f>
        <v>588 (12)</v>
      </c>
      <c r="B26" s="17">
        <f>'estimates new'!AS85</f>
        <v>12</v>
      </c>
      <c r="C26" s="17">
        <f>'estimates new'!AT85</f>
        <v>12</v>
      </c>
      <c r="D26" s="17">
        <f>'estimates new'!AU85</f>
        <v>0.58857142857142852</v>
      </c>
      <c r="E26" s="17">
        <f>'estimates new'!AV85</f>
        <v>0.41142857142857137</v>
      </c>
      <c r="F26" s="17">
        <f>'estimates new'!AW85</f>
        <v>1.6</v>
      </c>
      <c r="G26" s="8">
        <f>0</f>
        <v>0</v>
      </c>
      <c r="H26">
        <v>1</v>
      </c>
    </row>
    <row r="27" spans="1:19" ht="15.75" x14ac:dyDescent="0.25">
      <c r="A27" s="17" t="str">
        <f>'estimates new'!AR86</f>
        <v>607(12)</v>
      </c>
      <c r="B27" s="17">
        <f>'estimates new'!AS86</f>
        <v>12</v>
      </c>
      <c r="C27" s="17">
        <f>'estimates new'!AT86</f>
        <v>27</v>
      </c>
      <c r="D27" s="17">
        <f>'estimates new'!AU86</f>
        <v>0.62962962962962965</v>
      </c>
      <c r="E27" s="17">
        <f>'estimates new'!AV86</f>
        <v>0.37037037037037035</v>
      </c>
      <c r="F27" s="17">
        <f>'estimates new'!AW86</f>
        <v>1.6</v>
      </c>
      <c r="G27" s="8">
        <f>0</f>
        <v>0</v>
      </c>
      <c r="H27" s="8">
        <v>1</v>
      </c>
    </row>
    <row r="28" spans="1:19" ht="15.75" x14ac:dyDescent="0.25">
      <c r="A28" s="17" t="str">
        <f>'estimates new'!AR87</f>
        <v>617 (12)</v>
      </c>
      <c r="B28" s="17">
        <f>'estimates new'!AS87</f>
        <v>12</v>
      </c>
      <c r="C28" s="17">
        <f>'estimates new'!AT87</f>
        <v>42</v>
      </c>
      <c r="D28" s="17">
        <f>'estimates new'!AU87</f>
        <v>0.60509554140127386</v>
      </c>
      <c r="E28" s="17">
        <f>'estimates new'!AV87</f>
        <v>0.39490445859872614</v>
      </c>
      <c r="F28" s="17">
        <f>'estimates new'!AW87</f>
        <v>1.6</v>
      </c>
      <c r="G28" s="8">
        <f>0</f>
        <v>0</v>
      </c>
      <c r="H28" s="8">
        <v>1</v>
      </c>
    </row>
    <row r="29" spans="1:19" s="8" customFormat="1" ht="15.75" x14ac:dyDescent="0.25">
      <c r="A29" s="8" t="s">
        <v>56</v>
      </c>
      <c r="B29" s="8">
        <v>6</v>
      </c>
      <c r="C29" s="8">
        <v>12</v>
      </c>
      <c r="D29" s="8">
        <f>'estimates new'!AU88</f>
        <v>0</v>
      </c>
      <c r="E29" s="8">
        <f>'estimates new'!AV88</f>
        <v>1</v>
      </c>
      <c r="F29" s="17">
        <v>0.3</v>
      </c>
      <c r="G29" s="8">
        <v>60</v>
      </c>
      <c r="H29" s="8">
        <v>0</v>
      </c>
    </row>
    <row r="30" spans="1:19" ht="15.75" x14ac:dyDescent="0.25">
      <c r="A30" s="17" t="str">
        <f>'estimates new'!AR89</f>
        <v>654 (6)</v>
      </c>
      <c r="B30" s="17">
        <f>'estimates new'!AS89</f>
        <v>6</v>
      </c>
      <c r="C30" s="17">
        <f>'estimates new'!AT89</f>
        <v>27</v>
      </c>
      <c r="D30" s="17">
        <f>'estimates new'!AU89</f>
        <v>0.29629629629629628</v>
      </c>
      <c r="E30" s="17">
        <f>'estimates new'!AV89</f>
        <v>0.70370370370370372</v>
      </c>
      <c r="F30" s="17">
        <f>'estimates new'!AW89</f>
        <v>0.3</v>
      </c>
      <c r="G30" s="8">
        <v>60</v>
      </c>
      <c r="H30">
        <v>0</v>
      </c>
    </row>
    <row r="31" spans="1:19" ht="15.75" x14ac:dyDescent="0.25">
      <c r="A31" s="17" t="str">
        <f>'estimates new'!AR90</f>
        <v>666 (6)</v>
      </c>
      <c r="B31" s="17">
        <f>'estimates new'!AS90</f>
        <v>6</v>
      </c>
      <c r="C31" s="17">
        <f>'estimates new'!AT90</f>
        <v>42</v>
      </c>
      <c r="D31" s="17">
        <f>'estimates new'!AU90</f>
        <v>0.31506849315068491</v>
      </c>
      <c r="E31" s="17">
        <f>'estimates new'!AV90</f>
        <v>0.68493150684931503</v>
      </c>
      <c r="F31" s="17">
        <f>'estimates new'!AW90</f>
        <v>0.3</v>
      </c>
      <c r="G31" s="8">
        <v>60</v>
      </c>
      <c r="H31">
        <v>0</v>
      </c>
    </row>
    <row r="32" spans="1:19" ht="15.75" x14ac:dyDescent="0.25">
      <c r="A32" s="17" t="str">
        <f>'estimates new'!AR91</f>
        <v>635 (7)</v>
      </c>
      <c r="B32" s="17">
        <f>'estimates new'!AS91</f>
        <v>7</v>
      </c>
      <c r="C32" s="17">
        <f>'estimates new'!AT91</f>
        <v>12</v>
      </c>
      <c r="D32" s="17">
        <f>'estimates new'!AU91</f>
        <v>0</v>
      </c>
      <c r="E32" s="17">
        <f>'estimates new'!AV91</f>
        <v>1</v>
      </c>
      <c r="F32" s="17">
        <f>'estimates new'!AW91</f>
        <v>0.3</v>
      </c>
      <c r="G32" s="8">
        <v>30</v>
      </c>
      <c r="H32" s="8">
        <v>0</v>
      </c>
    </row>
    <row r="33" spans="1:8" ht="15.75" x14ac:dyDescent="0.25">
      <c r="A33" s="17" t="str">
        <f>'estimates new'!AR92</f>
        <v>646 (7)</v>
      </c>
      <c r="B33" s="17">
        <f>'estimates new'!AS92</f>
        <v>7</v>
      </c>
      <c r="C33" s="17">
        <f>'estimates new'!AT92</f>
        <v>27</v>
      </c>
      <c r="D33" s="17">
        <f>'estimates new'!AU92</f>
        <v>0.30769230769230771</v>
      </c>
      <c r="E33" s="17">
        <f>'estimates new'!AV92</f>
        <v>0.69230769230769229</v>
      </c>
      <c r="F33" s="17">
        <f>'estimates new'!AW92</f>
        <v>0.3</v>
      </c>
      <c r="G33" s="8">
        <v>30</v>
      </c>
      <c r="H33" s="8">
        <v>0</v>
      </c>
    </row>
    <row r="34" spans="1:8" s="8" customFormat="1" ht="15.75" x14ac:dyDescent="0.25">
      <c r="A34" s="17" t="s">
        <v>61</v>
      </c>
      <c r="B34" s="17">
        <v>7</v>
      </c>
      <c r="C34" s="17">
        <v>42</v>
      </c>
      <c r="D34" s="17">
        <f>'estimates new'!AU93</f>
        <v>0</v>
      </c>
      <c r="E34" s="17">
        <f>'estimates new'!AV93</f>
        <v>1</v>
      </c>
      <c r="F34" s="17">
        <v>0.3</v>
      </c>
      <c r="G34" s="17">
        <v>30</v>
      </c>
      <c r="H34" s="17">
        <v>0</v>
      </c>
    </row>
    <row r="35" spans="1:8" ht="15.75" x14ac:dyDescent="0.25">
      <c r="A35" s="17" t="str">
        <f>'estimates new'!AR94</f>
        <v>596 (14)</v>
      </c>
      <c r="B35" s="17">
        <f>'estimates new'!AS94</f>
        <v>14</v>
      </c>
      <c r="C35" s="17">
        <f>'estimates new'!AT94</f>
        <v>12</v>
      </c>
      <c r="D35" s="17">
        <f>'estimates new'!AU94</f>
        <v>0.80107526881720426</v>
      </c>
      <c r="E35" s="17">
        <f>'estimates new'!AV94</f>
        <v>0.19892473118279569</v>
      </c>
      <c r="F35" s="17">
        <f>'estimates new'!AW94</f>
        <v>1.6</v>
      </c>
      <c r="G35">
        <v>60</v>
      </c>
      <c r="H35" s="8">
        <v>0</v>
      </c>
    </row>
    <row r="36" spans="1:8" ht="15.75" x14ac:dyDescent="0.25">
      <c r="A36" s="17" t="str">
        <f>'estimates new'!AR95</f>
        <v>610 (14)</v>
      </c>
      <c r="B36" s="17">
        <f>'estimates new'!AS95</f>
        <v>14</v>
      </c>
      <c r="C36" s="17">
        <f>'estimates new'!AT95</f>
        <v>27</v>
      </c>
      <c r="D36" s="17">
        <f>'estimates new'!AU95</f>
        <v>0.9107142857142857</v>
      </c>
      <c r="E36" s="17">
        <f>'estimates new'!AV95</f>
        <v>8.9285714285714288E-2</v>
      </c>
      <c r="F36" s="17">
        <f>'estimates new'!AW95</f>
        <v>1.6</v>
      </c>
      <c r="G36" s="8">
        <v>60</v>
      </c>
      <c r="H36" s="8">
        <v>0</v>
      </c>
    </row>
    <row r="37" spans="1:8" ht="15.75" x14ac:dyDescent="0.25">
      <c r="A37" s="17" t="str">
        <f>'estimates new'!AR96</f>
        <v>631 (14)</v>
      </c>
      <c r="B37" s="17">
        <f>'estimates new'!AS96</f>
        <v>14</v>
      </c>
      <c r="C37" s="17">
        <f>'estimates new'!AT96</f>
        <v>42</v>
      </c>
      <c r="D37" s="17">
        <f>'estimates new'!AU96</f>
        <v>0.90476190476190477</v>
      </c>
      <c r="E37" s="17">
        <f>'estimates new'!AV96</f>
        <v>9.5238095238095233E-2</v>
      </c>
      <c r="F37" s="17">
        <f>'estimates new'!AW96</f>
        <v>1.6</v>
      </c>
      <c r="G37" s="8">
        <v>60</v>
      </c>
      <c r="H37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886C-DD98-49C3-B774-927D3BE3C354}">
  <dimension ref="A1:L37"/>
  <sheetViews>
    <sheetView workbookViewId="0">
      <selection sqref="A1:H37"/>
    </sheetView>
  </sheetViews>
  <sheetFormatPr defaultRowHeight="15" x14ac:dyDescent="0.25"/>
  <cols>
    <col min="1" max="1" width="27.85546875" bestFit="1" customWidth="1"/>
    <col min="2" max="2" width="19.140625" bestFit="1" customWidth="1"/>
    <col min="3" max="3" width="35.140625" bestFit="1" customWidth="1"/>
    <col min="4" max="4" width="15.85546875" bestFit="1" customWidth="1"/>
    <col min="5" max="5" width="15.42578125" bestFit="1" customWidth="1"/>
    <col min="6" max="6" width="12" bestFit="1" customWidth="1"/>
    <col min="7" max="7" width="18.42578125" bestFit="1" customWidth="1"/>
    <col min="8" max="8" width="9.42578125" bestFit="1" customWidth="1"/>
    <col min="12" max="12" width="31" bestFit="1" customWidth="1"/>
  </cols>
  <sheetData>
    <row r="1" spans="1:12" ht="18.75" x14ac:dyDescent="0.3">
      <c r="A1" s="2" t="str">
        <f>'estimates new'!AR60</f>
        <v>sample files from polar</v>
      </c>
      <c r="B1" s="2" t="str">
        <f>'estimates new'!AS60</f>
        <v>sample number</v>
      </c>
      <c r="C1" s="2" t="str">
        <f>'estimates new'!AT60</f>
        <v>Distance from injection point</v>
      </c>
      <c r="D1" s="2" t="str">
        <f>'estimates new'!AU60</f>
        <v>core fraction</v>
      </c>
      <c r="E1" s="2" t="str">
        <f>'estimates new'!AV60</f>
        <v>skin fraction</v>
      </c>
      <c r="F1" s="2" t="str">
        <f>'estimates new'!AW60</f>
        <v>thickness</v>
      </c>
      <c r="G1" s="2" t="s">
        <v>110</v>
      </c>
      <c r="H1" s="2" t="s">
        <v>111</v>
      </c>
      <c r="L1" t="s">
        <v>121</v>
      </c>
    </row>
    <row r="2" spans="1:12" ht="15.75" x14ac:dyDescent="0.25">
      <c r="A2" s="17" t="str">
        <f>'estimates new'!AR61</f>
        <v>462 (2)</v>
      </c>
      <c r="B2" s="17">
        <f>'estimates new'!AS61</f>
        <v>2</v>
      </c>
      <c r="C2" s="17">
        <f>'estimates new'!AT61</f>
        <v>12</v>
      </c>
      <c r="D2" s="17">
        <f>'estimates new'!AU61</f>
        <v>0.40229885057471265</v>
      </c>
      <c r="E2" s="17">
        <f>'estimates new'!AV61</f>
        <v>0.5977011494252874</v>
      </c>
      <c r="F2" s="17">
        <f>'estimates new'!AW61</f>
        <v>1</v>
      </c>
      <c r="G2" s="18">
        <f>0</f>
        <v>0</v>
      </c>
      <c r="H2" s="8">
        <v>0</v>
      </c>
    </row>
    <row r="3" spans="1:12" s="8" customFormat="1" ht="15.75" x14ac:dyDescent="0.25">
      <c r="A3" s="17" t="str">
        <f>'estimates new'!AR64</f>
        <v>442 (3)</v>
      </c>
      <c r="B3" s="17">
        <f>'estimates new'!AS64</f>
        <v>3</v>
      </c>
      <c r="C3" s="17">
        <f>'estimates new'!AT64</f>
        <v>12</v>
      </c>
      <c r="D3" s="17">
        <f>'estimates new'!AU64</f>
        <v>0.56818181818181823</v>
      </c>
      <c r="E3" s="17">
        <f>'estimates new'!AV64</f>
        <v>0.43181818181818182</v>
      </c>
      <c r="F3" s="17">
        <f>'estimates new'!AW64</f>
        <v>1</v>
      </c>
      <c r="G3" s="18">
        <v>60</v>
      </c>
      <c r="H3" s="8">
        <v>0</v>
      </c>
    </row>
    <row r="4" spans="1:12" s="8" customFormat="1" ht="15.75" x14ac:dyDescent="0.25">
      <c r="A4" s="17" t="str">
        <f>'estimates new'!AR67</f>
        <v>453 (4)</v>
      </c>
      <c r="B4" s="17">
        <f>'estimates new'!AS67</f>
        <v>4</v>
      </c>
      <c r="C4" s="17">
        <f>'estimates new'!AT67</f>
        <v>12</v>
      </c>
      <c r="D4" s="17">
        <f>'estimates new'!AU67</f>
        <v>0.6067415730337079</v>
      </c>
      <c r="E4" s="17">
        <f>'estimates new'!AV67</f>
        <v>0.3932584269662921</v>
      </c>
      <c r="F4" s="17">
        <f>'estimates new'!AW67</f>
        <v>1</v>
      </c>
      <c r="G4" s="18">
        <v>30</v>
      </c>
      <c r="H4" s="8">
        <v>0</v>
      </c>
    </row>
    <row r="5" spans="1:12" s="8" customFormat="1" ht="15.75" x14ac:dyDescent="0.25">
      <c r="A5" s="17" t="str">
        <f>'estimates new'!AR70</f>
        <v>639 (5)</v>
      </c>
      <c r="B5" s="17">
        <f>'estimates new'!AS70</f>
        <v>5</v>
      </c>
      <c r="C5" s="17">
        <f>'estimates new'!AT70</f>
        <v>12</v>
      </c>
      <c r="D5" s="17">
        <f>'estimates new'!AU70</f>
        <v>0.32</v>
      </c>
      <c r="E5" s="17">
        <f>'estimates new'!AV70</f>
        <v>0.68</v>
      </c>
      <c r="F5" s="17">
        <f>'estimates new'!AW70</f>
        <v>0.3</v>
      </c>
      <c r="G5" s="18">
        <f>0</f>
        <v>0</v>
      </c>
      <c r="H5" s="8">
        <v>0</v>
      </c>
    </row>
    <row r="6" spans="1:12" s="8" customFormat="1" ht="15.75" x14ac:dyDescent="0.25">
      <c r="A6" s="17" t="str">
        <f>'estimates new'!AR73</f>
        <v>514 (8)</v>
      </c>
      <c r="B6" s="17">
        <f>'estimates new'!AS73</f>
        <v>8</v>
      </c>
      <c r="C6" s="17">
        <f>'estimates new'!AT73</f>
        <v>12</v>
      </c>
      <c r="D6" s="17">
        <f>'estimates new'!AU73</f>
        <v>0.35526315789473684</v>
      </c>
      <c r="E6" s="17">
        <f>'estimates new'!AV73</f>
        <v>0.64473684210526316</v>
      </c>
      <c r="F6" s="17">
        <f>'estimates new'!AW73</f>
        <v>0.5</v>
      </c>
      <c r="G6" s="18">
        <f>0</f>
        <v>0</v>
      </c>
      <c r="H6" s="8">
        <v>0</v>
      </c>
    </row>
    <row r="7" spans="1:12" s="8" customFormat="1" ht="15.75" x14ac:dyDescent="0.25">
      <c r="A7" s="17" t="str">
        <f>'estimates new'!AR76</f>
        <v>517 (9)</v>
      </c>
      <c r="B7" s="17">
        <f>'estimates new'!AS76</f>
        <v>9</v>
      </c>
      <c r="C7" s="17">
        <f>'estimates new'!AT76</f>
        <v>12</v>
      </c>
      <c r="D7" s="17">
        <f>'estimates new'!AU76</f>
        <v>0.56164383561643838</v>
      </c>
      <c r="E7" s="17">
        <f>'estimates new'!AV76</f>
        <v>0.43835616438356162</v>
      </c>
      <c r="F7" s="17">
        <f>'estimates new'!AW76</f>
        <v>0.5</v>
      </c>
      <c r="G7" s="18">
        <v>60</v>
      </c>
      <c r="H7" s="8">
        <v>1</v>
      </c>
    </row>
    <row r="8" spans="1:12" s="8" customFormat="1" ht="15.75" x14ac:dyDescent="0.25">
      <c r="A8" s="17" t="str">
        <f>'estimates new'!AR79</f>
        <v>520 (10)</v>
      </c>
      <c r="B8" s="17">
        <f>'estimates new'!AS79</f>
        <v>10</v>
      </c>
      <c r="C8" s="17">
        <f>'estimates new'!AT79</f>
        <v>12</v>
      </c>
      <c r="D8" s="17">
        <f>'estimates new'!AU79</f>
        <v>0.39473684210526316</v>
      </c>
      <c r="E8" s="17">
        <f>'estimates new'!AV79</f>
        <v>0.60526315789473684</v>
      </c>
      <c r="F8" s="17">
        <f>'estimates new'!AW79</f>
        <v>0.5</v>
      </c>
      <c r="G8" s="8">
        <v>30</v>
      </c>
      <c r="H8" s="8">
        <v>0</v>
      </c>
    </row>
    <row r="9" spans="1:12" s="8" customFormat="1" ht="15.75" x14ac:dyDescent="0.25">
      <c r="A9" s="17" t="str">
        <f>'estimates new'!AR82</f>
        <v>584 (11)</v>
      </c>
      <c r="B9" s="17">
        <f>'estimates new'!AS82</f>
        <v>11</v>
      </c>
      <c r="C9" s="17">
        <f>'estimates new'!AT82</f>
        <v>12</v>
      </c>
      <c r="D9" s="17">
        <f>'estimates new'!AU82</f>
        <v>0.75155279503105588</v>
      </c>
      <c r="E9" s="17">
        <f>'estimates new'!AV82</f>
        <v>0.2484472049689441</v>
      </c>
      <c r="F9" s="17">
        <f>'estimates new'!AW82</f>
        <v>1.6</v>
      </c>
      <c r="G9" s="8">
        <v>30</v>
      </c>
      <c r="H9" s="8">
        <v>0</v>
      </c>
    </row>
    <row r="10" spans="1:12" s="8" customFormat="1" ht="15.75" x14ac:dyDescent="0.25">
      <c r="A10" s="17" t="str">
        <f>'estimates new'!AR85</f>
        <v>588 (12)</v>
      </c>
      <c r="B10" s="17">
        <f>'estimates new'!AS85</f>
        <v>12</v>
      </c>
      <c r="C10" s="17">
        <f>'estimates new'!AT85</f>
        <v>12</v>
      </c>
      <c r="D10" s="17">
        <f>'estimates new'!AU85</f>
        <v>0.58857142857142852</v>
      </c>
      <c r="E10" s="17">
        <f>'estimates new'!AV85</f>
        <v>0.41142857142857137</v>
      </c>
      <c r="F10" s="17">
        <f>'estimates new'!AW85</f>
        <v>1.6</v>
      </c>
      <c r="G10" s="8">
        <f>0</f>
        <v>0</v>
      </c>
      <c r="H10" s="8">
        <v>1</v>
      </c>
    </row>
    <row r="11" spans="1:12" s="8" customFormat="1" ht="15.75" x14ac:dyDescent="0.25">
      <c r="A11" s="8" t="s">
        <v>56</v>
      </c>
      <c r="B11" s="8">
        <v>6</v>
      </c>
      <c r="C11" s="8">
        <v>12</v>
      </c>
      <c r="D11" s="8">
        <f>'estimates new'!AU88</f>
        <v>0</v>
      </c>
      <c r="E11" s="8">
        <f>'estimates new'!AV88</f>
        <v>1</v>
      </c>
      <c r="F11" s="17">
        <v>0.3</v>
      </c>
      <c r="G11" s="8">
        <v>60</v>
      </c>
      <c r="H11" s="8">
        <v>0</v>
      </c>
    </row>
    <row r="12" spans="1:12" s="8" customFormat="1" ht="15.75" x14ac:dyDescent="0.25">
      <c r="A12" s="17" t="str">
        <f>'estimates new'!AR91</f>
        <v>635 (7)</v>
      </c>
      <c r="B12" s="17">
        <f>'estimates new'!AS91</f>
        <v>7</v>
      </c>
      <c r="C12" s="17">
        <f>'estimates new'!AT91</f>
        <v>12</v>
      </c>
      <c r="D12" s="17">
        <f>'estimates new'!AU91</f>
        <v>0</v>
      </c>
      <c r="E12" s="17">
        <f>'estimates new'!AV91</f>
        <v>1</v>
      </c>
      <c r="F12" s="17">
        <f>'estimates new'!AW91</f>
        <v>0.3</v>
      </c>
      <c r="G12" s="8">
        <v>30</v>
      </c>
      <c r="H12" s="8">
        <v>0</v>
      </c>
    </row>
    <row r="13" spans="1:12" s="8" customFormat="1" ht="15.75" x14ac:dyDescent="0.25">
      <c r="A13" s="17" t="str">
        <f>'estimates new'!AR94</f>
        <v>596 (14)</v>
      </c>
      <c r="B13" s="17">
        <f>'estimates new'!AS94</f>
        <v>14</v>
      </c>
      <c r="C13" s="17">
        <f>'estimates new'!AT94</f>
        <v>12</v>
      </c>
      <c r="D13" s="17">
        <f>'estimates new'!AU94</f>
        <v>0.80107526881720426</v>
      </c>
      <c r="E13" s="17">
        <f>'estimates new'!AV94</f>
        <v>0.19892473118279569</v>
      </c>
      <c r="F13" s="17">
        <f>'estimates new'!AW94</f>
        <v>1.6</v>
      </c>
      <c r="G13" s="8">
        <v>60</v>
      </c>
      <c r="H13" s="8">
        <v>0</v>
      </c>
    </row>
    <row r="14" spans="1:12" ht="15.75" x14ac:dyDescent="0.25">
      <c r="A14" s="17" t="str">
        <f>'estimates new'!AR62</f>
        <v>510 (2)</v>
      </c>
      <c r="B14" s="17">
        <f>'estimates new'!AS62</f>
        <v>2</v>
      </c>
      <c r="C14" s="17">
        <f>'estimates new'!AT62</f>
        <v>27</v>
      </c>
      <c r="D14" s="17">
        <f>'estimates new'!AU62</f>
        <v>0.41111111111111109</v>
      </c>
      <c r="E14" s="17">
        <f>'estimates new'!AV62</f>
        <v>0.58888888888888891</v>
      </c>
      <c r="F14" s="17">
        <f>'estimates new'!AW62</f>
        <v>1</v>
      </c>
      <c r="G14" s="18">
        <f>0</f>
        <v>0</v>
      </c>
      <c r="H14" s="8">
        <v>0</v>
      </c>
    </row>
    <row r="15" spans="1:12" s="8" customFormat="1" ht="15.75" x14ac:dyDescent="0.25">
      <c r="A15" s="17" t="str">
        <f>'estimates new'!AR65</f>
        <v>505 (3)</v>
      </c>
      <c r="B15" s="17">
        <f>'estimates new'!AS65</f>
        <v>3</v>
      </c>
      <c r="C15" s="17">
        <f>'estimates new'!AT65</f>
        <v>27</v>
      </c>
      <c r="D15" s="17">
        <f>'estimates new'!AU65</f>
        <v>0.37777777777777777</v>
      </c>
      <c r="E15" s="17">
        <f>'estimates new'!AV65</f>
        <v>0.62222222222222223</v>
      </c>
      <c r="F15" s="17">
        <f>'estimates new'!AW65</f>
        <v>1</v>
      </c>
      <c r="G15" s="18">
        <v>60</v>
      </c>
      <c r="H15" s="8">
        <v>0</v>
      </c>
    </row>
    <row r="16" spans="1:12" s="8" customFormat="1" ht="15.75" x14ac:dyDescent="0.25">
      <c r="A16" s="17" t="str">
        <f>'estimates new'!AR68</f>
        <v>508 (4)</v>
      </c>
      <c r="B16" s="17">
        <f>'estimates new'!AS68</f>
        <v>4</v>
      </c>
      <c r="C16" s="17">
        <f>'estimates new'!AT68</f>
        <v>27</v>
      </c>
      <c r="D16" s="17">
        <f>'estimates new'!AU68</f>
        <v>0.39325842696629215</v>
      </c>
      <c r="E16" s="17">
        <f>'estimates new'!AV68</f>
        <v>0.6067415730337079</v>
      </c>
      <c r="F16" s="17">
        <f>'estimates new'!AW68</f>
        <v>1</v>
      </c>
      <c r="G16" s="18">
        <v>30</v>
      </c>
      <c r="H16" s="8">
        <v>0</v>
      </c>
    </row>
    <row r="17" spans="1:8" s="8" customFormat="1" ht="15.75" x14ac:dyDescent="0.25">
      <c r="A17" s="17" t="str">
        <f>'estimates new'!AR71</f>
        <v>650 (5)</v>
      </c>
      <c r="B17" s="17">
        <f>'estimates new'!AS71</f>
        <v>5</v>
      </c>
      <c r="C17" s="17">
        <f>'estimates new'!AT71</f>
        <v>27</v>
      </c>
      <c r="D17" s="17">
        <f>'estimates new'!AU71</f>
        <v>0.1</v>
      </c>
      <c r="E17" s="17">
        <f>'estimates new'!AV71</f>
        <v>0.9</v>
      </c>
      <c r="F17" s="17">
        <f>'estimates new'!AW71</f>
        <v>0.3</v>
      </c>
      <c r="G17" s="18">
        <f>0</f>
        <v>0</v>
      </c>
      <c r="H17" s="8">
        <v>0</v>
      </c>
    </row>
    <row r="18" spans="1:8" s="8" customFormat="1" ht="15.75" x14ac:dyDescent="0.25">
      <c r="A18" s="17" t="str">
        <f>'estimates new'!AR74</f>
        <v>523 (8)</v>
      </c>
      <c r="B18" s="17">
        <f>'estimates new'!AS74</f>
        <v>8</v>
      </c>
      <c r="C18" s="17">
        <f>'estimates new'!AT74</f>
        <v>27</v>
      </c>
      <c r="D18" s="17">
        <f>'estimates new'!AU74</f>
        <v>0.30303030303030304</v>
      </c>
      <c r="E18" s="17">
        <f>'estimates new'!AV74</f>
        <v>0.69696969696969702</v>
      </c>
      <c r="F18" s="17">
        <f>'estimates new'!AW74</f>
        <v>0.5</v>
      </c>
      <c r="G18" s="18">
        <f>0</f>
        <v>0</v>
      </c>
      <c r="H18" s="8">
        <v>0</v>
      </c>
    </row>
    <row r="19" spans="1:8" s="8" customFormat="1" ht="15.75" x14ac:dyDescent="0.25">
      <c r="A19" s="17" t="str">
        <f>'estimates new'!AR77</f>
        <v>525 (9)</v>
      </c>
      <c r="B19" s="17">
        <f>'estimates new'!AS77</f>
        <v>9</v>
      </c>
      <c r="C19" s="17">
        <f>'estimates new'!AT77</f>
        <v>27</v>
      </c>
      <c r="D19" s="17">
        <f>'estimates new'!AU77</f>
        <v>0.46969696969696972</v>
      </c>
      <c r="E19" s="17">
        <f>'estimates new'!AV77</f>
        <v>0.53030303030303028</v>
      </c>
      <c r="F19" s="17">
        <f>'estimates new'!AW77</f>
        <v>0.5</v>
      </c>
      <c r="G19" s="18">
        <v>60</v>
      </c>
      <c r="H19" s="8">
        <v>1</v>
      </c>
    </row>
    <row r="20" spans="1:8" s="8" customFormat="1" ht="15.75" x14ac:dyDescent="0.25">
      <c r="A20" s="17" t="str">
        <f>'estimates new'!AR80</f>
        <v>530 (10)</v>
      </c>
      <c r="B20" s="17">
        <f>'estimates new'!AS80</f>
        <v>10</v>
      </c>
      <c r="C20" s="17">
        <f>'estimates new'!AT80</f>
        <v>27</v>
      </c>
      <c r="D20" s="17">
        <f>'estimates new'!AU80</f>
        <v>0.31578947368421051</v>
      </c>
      <c r="E20" s="17">
        <f>'estimates new'!AV80</f>
        <v>0.68421052631578949</v>
      </c>
      <c r="F20" s="17">
        <f>'estimates new'!AW80</f>
        <v>0.5</v>
      </c>
      <c r="G20" s="8">
        <v>30</v>
      </c>
      <c r="H20" s="8">
        <v>0</v>
      </c>
    </row>
    <row r="21" spans="1:8" s="8" customFormat="1" ht="15.75" x14ac:dyDescent="0.25">
      <c r="A21" s="17" t="str">
        <f>'estimates new'!AR83</f>
        <v>602 (11)</v>
      </c>
      <c r="B21" s="17">
        <f>'estimates new'!AS83</f>
        <v>11</v>
      </c>
      <c r="C21" s="17">
        <f>'estimates new'!AT83</f>
        <v>27</v>
      </c>
      <c r="D21" s="17">
        <f>'estimates new'!AU83</f>
        <v>0.57309941520467833</v>
      </c>
      <c r="E21" s="17">
        <f>'estimates new'!AV83</f>
        <v>0.42690058479532161</v>
      </c>
      <c r="F21" s="17">
        <f>'estimates new'!AW83</f>
        <v>1.6</v>
      </c>
      <c r="G21" s="8">
        <v>30</v>
      </c>
      <c r="H21" s="8">
        <v>0</v>
      </c>
    </row>
    <row r="22" spans="1:8" s="8" customFormat="1" ht="15.75" x14ac:dyDescent="0.25">
      <c r="A22" s="17" t="str">
        <f>'estimates new'!AR86</f>
        <v>607(12)</v>
      </c>
      <c r="B22" s="17">
        <f>'estimates new'!AS86</f>
        <v>12</v>
      </c>
      <c r="C22" s="17">
        <f>'estimates new'!AT86</f>
        <v>27</v>
      </c>
      <c r="D22" s="17">
        <f>'estimates new'!AU86</f>
        <v>0.62962962962962965</v>
      </c>
      <c r="E22" s="17">
        <f>'estimates new'!AV86</f>
        <v>0.37037037037037035</v>
      </c>
      <c r="F22" s="17">
        <f>'estimates new'!AW86</f>
        <v>1.6</v>
      </c>
      <c r="G22" s="8">
        <f>0</f>
        <v>0</v>
      </c>
      <c r="H22" s="8">
        <v>1</v>
      </c>
    </row>
    <row r="23" spans="1:8" s="8" customFormat="1" ht="15.75" x14ac:dyDescent="0.25">
      <c r="A23" s="17" t="str">
        <f>'estimates new'!AR89</f>
        <v>654 (6)</v>
      </c>
      <c r="B23" s="17">
        <f>'estimates new'!AS89</f>
        <v>6</v>
      </c>
      <c r="C23" s="17">
        <f>'estimates new'!AT89</f>
        <v>27</v>
      </c>
      <c r="D23" s="17">
        <f>'estimates new'!AU89</f>
        <v>0.29629629629629628</v>
      </c>
      <c r="E23" s="17">
        <f>'estimates new'!AV89</f>
        <v>0.70370370370370372</v>
      </c>
      <c r="F23" s="17">
        <f>'estimates new'!AW89</f>
        <v>0.3</v>
      </c>
      <c r="G23" s="8">
        <v>60</v>
      </c>
      <c r="H23" s="8">
        <v>0</v>
      </c>
    </row>
    <row r="24" spans="1:8" s="8" customFormat="1" ht="15.75" x14ac:dyDescent="0.25">
      <c r="A24" s="17" t="str">
        <f>'estimates new'!AR92</f>
        <v>646 (7)</v>
      </c>
      <c r="B24" s="17">
        <f>'estimates new'!AS92</f>
        <v>7</v>
      </c>
      <c r="C24" s="17">
        <f>'estimates new'!AT92</f>
        <v>27</v>
      </c>
      <c r="D24" s="17">
        <f>'estimates new'!AU92</f>
        <v>0.30769230769230771</v>
      </c>
      <c r="E24" s="17">
        <f>'estimates new'!AV92</f>
        <v>0.69230769230769229</v>
      </c>
      <c r="F24" s="17">
        <f>'estimates new'!AW92</f>
        <v>0.3</v>
      </c>
      <c r="G24" s="8">
        <v>30</v>
      </c>
      <c r="H24" s="8">
        <v>0</v>
      </c>
    </row>
    <row r="25" spans="1:8" s="8" customFormat="1" ht="15.75" x14ac:dyDescent="0.25">
      <c r="A25" s="17" t="str">
        <f>'estimates new'!AR95</f>
        <v>610 (14)</v>
      </c>
      <c r="B25" s="17">
        <f>'estimates new'!AS95</f>
        <v>14</v>
      </c>
      <c r="C25" s="17">
        <f>'estimates new'!AT95</f>
        <v>27</v>
      </c>
      <c r="D25" s="17">
        <f>'estimates new'!AU95</f>
        <v>0.9107142857142857</v>
      </c>
      <c r="E25" s="17">
        <f>'estimates new'!AV95</f>
        <v>8.9285714285714288E-2</v>
      </c>
      <c r="F25" s="17">
        <f>'estimates new'!AW95</f>
        <v>1.6</v>
      </c>
      <c r="G25" s="8">
        <v>60</v>
      </c>
      <c r="H25" s="8">
        <v>0</v>
      </c>
    </row>
    <row r="26" spans="1:8" ht="15.75" x14ac:dyDescent="0.25">
      <c r="A26" s="17" t="str">
        <f>'estimates new'!AR63</f>
        <v>503 (2)</v>
      </c>
      <c r="B26" s="17">
        <f>'estimates new'!AS63</f>
        <v>2</v>
      </c>
      <c r="C26" s="17">
        <f>'estimates new'!AT63</f>
        <v>42</v>
      </c>
      <c r="D26" s="17">
        <f>'estimates new'!AU63</f>
        <v>0.39080459770114945</v>
      </c>
      <c r="E26" s="17">
        <f>'estimates new'!AV63</f>
        <v>0.60919540229885061</v>
      </c>
      <c r="F26" s="17">
        <f>'estimates new'!AW63</f>
        <v>1</v>
      </c>
      <c r="G26" s="18">
        <f>0</f>
        <v>0</v>
      </c>
      <c r="H26" s="8">
        <v>0</v>
      </c>
    </row>
    <row r="27" spans="1:8" ht="15.75" x14ac:dyDescent="0.25">
      <c r="A27" s="17" t="str">
        <f>'estimates new'!AR66</f>
        <v>499 (3)</v>
      </c>
      <c r="B27" s="17">
        <f>'estimates new'!AS66</f>
        <v>3</v>
      </c>
      <c r="C27" s="17">
        <f>'estimates new'!AT66</f>
        <v>42</v>
      </c>
      <c r="D27" s="17">
        <f>'estimates new'!AU66</f>
        <v>0.33707865168539325</v>
      </c>
      <c r="E27" s="17">
        <f>'estimates new'!AV66</f>
        <v>0.66292134831460681</v>
      </c>
      <c r="F27" s="17">
        <f>'estimates new'!AW66</f>
        <v>1</v>
      </c>
      <c r="G27" s="18">
        <v>60</v>
      </c>
      <c r="H27" s="8">
        <v>0</v>
      </c>
    </row>
    <row r="28" spans="1:8" ht="15.75" x14ac:dyDescent="0.25">
      <c r="A28" s="17" t="str">
        <f>'estimates new'!AR69</f>
        <v>501 (4)</v>
      </c>
      <c r="B28" s="17">
        <f>'estimates new'!AS69</f>
        <v>4</v>
      </c>
      <c r="C28" s="17">
        <f>'estimates new'!AT69</f>
        <v>42</v>
      </c>
      <c r="D28" s="17">
        <f>'estimates new'!AU69</f>
        <v>0.32222222222222224</v>
      </c>
      <c r="E28" s="17">
        <f>'estimates new'!AV69</f>
        <v>0.67777777777777781</v>
      </c>
      <c r="F28" s="17">
        <f>'estimates new'!AW69</f>
        <v>1</v>
      </c>
      <c r="G28" s="18">
        <v>30</v>
      </c>
      <c r="H28" s="8">
        <v>0</v>
      </c>
    </row>
    <row r="29" spans="1:8" ht="15.75" x14ac:dyDescent="0.25">
      <c r="A29" s="17" t="str">
        <f>'estimates new'!AR72</f>
        <v>661 (5)</v>
      </c>
      <c r="B29" s="17">
        <f>'estimates new'!AS72</f>
        <v>5</v>
      </c>
      <c r="C29" s="17">
        <f>'estimates new'!AT72</f>
        <v>42</v>
      </c>
      <c r="D29" s="17">
        <f>'estimates new'!AU72</f>
        <v>0</v>
      </c>
      <c r="E29" s="17">
        <f>'estimates new'!AV72</f>
        <v>1</v>
      </c>
      <c r="F29" s="17">
        <f>'estimates new'!AW72</f>
        <v>0.3</v>
      </c>
      <c r="G29" s="18">
        <f>0</f>
        <v>0</v>
      </c>
      <c r="H29" s="8">
        <v>0</v>
      </c>
    </row>
    <row r="30" spans="1:8" ht="15.75" x14ac:dyDescent="0.25">
      <c r="A30" s="17" t="str">
        <f>'estimates new'!AR75</f>
        <v>532 (8)</v>
      </c>
      <c r="B30" s="17">
        <f>'estimates new'!AS75</f>
        <v>8</v>
      </c>
      <c r="C30" s="17">
        <f>'estimates new'!AT75</f>
        <v>42</v>
      </c>
      <c r="D30" s="17">
        <f>'estimates new'!AU75</f>
        <v>4.2253521126760563E-2</v>
      </c>
      <c r="E30" s="17">
        <f>'estimates new'!AV75</f>
        <v>0.95774647887323949</v>
      </c>
      <c r="F30" s="17">
        <f>'estimates new'!AW75</f>
        <v>0.5</v>
      </c>
      <c r="G30" s="18">
        <f>0</f>
        <v>0</v>
      </c>
      <c r="H30" s="8">
        <v>0</v>
      </c>
    </row>
    <row r="31" spans="1:8" ht="15.75" x14ac:dyDescent="0.25">
      <c r="A31" s="17" t="str">
        <f>'estimates new'!AR78</f>
        <v>534 (9)</v>
      </c>
      <c r="B31" s="17">
        <f>'estimates new'!AS78</f>
        <v>9</v>
      </c>
      <c r="C31" s="17">
        <f>'estimates new'!AT78</f>
        <v>42</v>
      </c>
      <c r="D31" s="17">
        <f>'estimates new'!AU78</f>
        <v>0.2537313432835821</v>
      </c>
      <c r="E31" s="17">
        <f>'estimates new'!AV78</f>
        <v>0.74626865671641784</v>
      </c>
      <c r="F31" s="17">
        <f>'estimates new'!AW78</f>
        <v>0.5</v>
      </c>
      <c r="G31" s="18">
        <v>60</v>
      </c>
      <c r="H31" s="8">
        <v>1</v>
      </c>
    </row>
    <row r="32" spans="1:8" ht="15.75" x14ac:dyDescent="0.25">
      <c r="A32" s="17" t="str">
        <f>'estimates new'!AR81</f>
        <v>536(10)</v>
      </c>
      <c r="B32" s="17">
        <f>'estimates new'!AS81</f>
        <v>10</v>
      </c>
      <c r="C32" s="17">
        <f>'estimates new'!AT81</f>
        <v>42</v>
      </c>
      <c r="D32" s="17">
        <f>'estimates new'!AU81</f>
        <v>0.28358208955223879</v>
      </c>
      <c r="E32" s="17">
        <f>'estimates new'!AV81</f>
        <v>0.71641791044776126</v>
      </c>
      <c r="F32" s="17">
        <f>'estimates new'!AW81</f>
        <v>0.5</v>
      </c>
      <c r="G32" s="8">
        <v>30</v>
      </c>
      <c r="H32" s="8">
        <v>0</v>
      </c>
    </row>
    <row r="33" spans="1:8" ht="15.75" x14ac:dyDescent="0.25">
      <c r="A33" s="17" t="str">
        <f>'estimates new'!AR84</f>
        <v>614 (11)</v>
      </c>
      <c r="B33" s="17">
        <f>'estimates new'!AS84</f>
        <v>11</v>
      </c>
      <c r="C33" s="17">
        <f>'estimates new'!AT84</f>
        <v>42</v>
      </c>
      <c r="D33" s="17">
        <f>'estimates new'!AU84</f>
        <v>0.54651162790697672</v>
      </c>
      <c r="E33" s="17">
        <f>'estimates new'!AV84</f>
        <v>0.45348837209302328</v>
      </c>
      <c r="F33" s="17">
        <f>'estimates new'!AW84</f>
        <v>1.6</v>
      </c>
      <c r="G33" s="8">
        <v>30</v>
      </c>
      <c r="H33" s="8">
        <v>0</v>
      </c>
    </row>
    <row r="34" spans="1:8" ht="15.75" x14ac:dyDescent="0.25">
      <c r="A34" s="17" t="str">
        <f>'estimates new'!AR87</f>
        <v>617 (12)</v>
      </c>
      <c r="B34" s="17">
        <f>'estimates new'!AS87</f>
        <v>12</v>
      </c>
      <c r="C34" s="17">
        <f>'estimates new'!AT87</f>
        <v>42</v>
      </c>
      <c r="D34" s="17">
        <f>'estimates new'!AU87</f>
        <v>0.60509554140127386</v>
      </c>
      <c r="E34" s="17">
        <f>'estimates new'!AV87</f>
        <v>0.39490445859872614</v>
      </c>
      <c r="F34" s="17">
        <f>'estimates new'!AW87</f>
        <v>1.6</v>
      </c>
      <c r="G34" s="8">
        <f>0</f>
        <v>0</v>
      </c>
      <c r="H34" s="8">
        <v>1</v>
      </c>
    </row>
    <row r="35" spans="1:8" ht="15.75" x14ac:dyDescent="0.25">
      <c r="A35" s="17" t="str">
        <f>'estimates new'!AR90</f>
        <v>666 (6)</v>
      </c>
      <c r="B35" s="17">
        <f>'estimates new'!AS90</f>
        <v>6</v>
      </c>
      <c r="C35" s="17">
        <f>'estimates new'!AT90</f>
        <v>42</v>
      </c>
      <c r="D35" s="17">
        <f>'estimates new'!AU90</f>
        <v>0.31506849315068491</v>
      </c>
      <c r="E35" s="17">
        <f>'estimates new'!AV90</f>
        <v>0.68493150684931503</v>
      </c>
      <c r="F35" s="17">
        <f>'estimates new'!AW90</f>
        <v>0.3</v>
      </c>
      <c r="G35" s="8">
        <v>60</v>
      </c>
      <c r="H35" s="8">
        <v>0</v>
      </c>
    </row>
    <row r="36" spans="1:8" ht="15.75" x14ac:dyDescent="0.25">
      <c r="A36" s="17" t="s">
        <v>61</v>
      </c>
      <c r="B36" s="17">
        <v>7</v>
      </c>
      <c r="C36" s="17">
        <v>42</v>
      </c>
      <c r="D36" s="17">
        <f>'estimates new'!AU93</f>
        <v>0</v>
      </c>
      <c r="E36" s="17">
        <f>'estimates new'!AV93</f>
        <v>1</v>
      </c>
      <c r="F36" s="17">
        <v>0.3</v>
      </c>
      <c r="G36" s="17">
        <v>30</v>
      </c>
      <c r="H36" s="17">
        <v>0</v>
      </c>
    </row>
    <row r="37" spans="1:8" ht="15.75" x14ac:dyDescent="0.25">
      <c r="A37" s="17" t="str">
        <f>'estimates new'!AR96</f>
        <v>631 (14)</v>
      </c>
      <c r="B37" s="17">
        <f>'estimates new'!AS96</f>
        <v>14</v>
      </c>
      <c r="C37" s="17">
        <f>'estimates new'!AT96</f>
        <v>42</v>
      </c>
      <c r="D37" s="17">
        <f>'estimates new'!AU96</f>
        <v>0.90476190476190477</v>
      </c>
      <c r="E37" s="17">
        <f>'estimates new'!AV96</f>
        <v>9.5238095238095233E-2</v>
      </c>
      <c r="F37" s="17">
        <f>'estimates new'!AW96</f>
        <v>1.6</v>
      </c>
      <c r="G37" s="8">
        <v>60</v>
      </c>
      <c r="H37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EC8D-C13B-4C83-A668-0AFD55127A1A}">
  <dimension ref="A1:AB37"/>
  <sheetViews>
    <sheetView topLeftCell="I1" zoomScale="118" zoomScaleNormal="118" workbookViewId="0">
      <selection activeCell="Y43" sqref="Y43"/>
    </sheetView>
  </sheetViews>
  <sheetFormatPr defaultRowHeight="15" x14ac:dyDescent="0.25"/>
  <cols>
    <col min="1" max="1" width="27.85546875" bestFit="1" customWidth="1"/>
    <col min="2" max="2" width="19.140625" bestFit="1" customWidth="1"/>
    <col min="3" max="3" width="35.140625" bestFit="1" customWidth="1"/>
    <col min="4" max="4" width="15.85546875" bestFit="1" customWidth="1"/>
    <col min="5" max="5" width="15.42578125" bestFit="1" customWidth="1"/>
    <col min="6" max="6" width="12" bestFit="1" customWidth="1"/>
    <col min="7" max="7" width="18.42578125" bestFit="1" customWidth="1"/>
    <col min="8" max="8" width="9.42578125" bestFit="1" customWidth="1"/>
    <col min="11" max="11" width="11.85546875" bestFit="1" customWidth="1"/>
    <col min="12" max="12" width="9.28515625" bestFit="1" customWidth="1"/>
    <col min="14" max="14" width="11.85546875" bestFit="1" customWidth="1"/>
    <col min="15" max="15" width="11.140625" bestFit="1" customWidth="1"/>
    <col min="17" max="17" width="11.85546875" bestFit="1" customWidth="1"/>
    <col min="18" max="18" width="11.140625" bestFit="1" customWidth="1"/>
    <col min="21" max="21" width="12.140625" bestFit="1" customWidth="1"/>
    <col min="22" max="22" width="9.28515625" bestFit="1" customWidth="1"/>
    <col min="27" max="27" width="11.85546875" bestFit="1" customWidth="1"/>
    <col min="28" max="28" width="12.140625" bestFit="1" customWidth="1"/>
  </cols>
  <sheetData>
    <row r="1" spans="1:28" ht="18.75" x14ac:dyDescent="0.3">
      <c r="A1" s="2" t="str">
        <f>'estimates new'!AR60</f>
        <v>sample files from polar</v>
      </c>
      <c r="B1" s="2" t="str">
        <f>'estimates new'!AS60</f>
        <v>sample number</v>
      </c>
      <c r="C1" s="2" t="str">
        <f>'estimates new'!AT60</f>
        <v>Distance from injection point</v>
      </c>
      <c r="D1" s="2" t="str">
        <f>'estimates new'!AU60</f>
        <v>core fraction</v>
      </c>
      <c r="E1" s="2" t="str">
        <f>'estimates new'!AV60</f>
        <v>skin fraction</v>
      </c>
      <c r="F1" s="2" t="str">
        <f>'estimates new'!AW60</f>
        <v>thickness</v>
      </c>
      <c r="G1" s="2" t="s">
        <v>110</v>
      </c>
      <c r="H1" s="2" t="s">
        <v>111</v>
      </c>
      <c r="J1" t="s">
        <v>123</v>
      </c>
      <c r="K1" t="s">
        <v>122</v>
      </c>
      <c r="N1" t="s">
        <v>124</v>
      </c>
      <c r="O1" t="s">
        <v>122</v>
      </c>
      <c r="Q1" t="s">
        <v>125</v>
      </c>
      <c r="R1" t="s">
        <v>122</v>
      </c>
      <c r="T1" s="8" t="s">
        <v>123</v>
      </c>
      <c r="U1" s="8" t="s">
        <v>126</v>
      </c>
      <c r="V1" s="8"/>
      <c r="W1" s="8"/>
      <c r="X1" s="8" t="s">
        <v>124</v>
      </c>
      <c r="Y1" s="8" t="s">
        <v>126</v>
      </c>
      <c r="Z1" s="8"/>
      <c r="AA1" s="8" t="s">
        <v>125</v>
      </c>
      <c r="AB1" s="8" t="s">
        <v>126</v>
      </c>
    </row>
    <row r="2" spans="1:28" ht="15.75" x14ac:dyDescent="0.25">
      <c r="A2" s="17" t="str">
        <f>'estimates new'!AR61</f>
        <v>462 (2)</v>
      </c>
      <c r="B2" s="17">
        <f>'estimates new'!AS61</f>
        <v>2</v>
      </c>
      <c r="C2" s="17">
        <f>'estimates new'!AT61</f>
        <v>12</v>
      </c>
      <c r="D2" s="17">
        <f>'estimates new'!AU61</f>
        <v>0.40229885057471265</v>
      </c>
      <c r="E2" s="17">
        <f>'estimates new'!AV61</f>
        <v>0.5977011494252874</v>
      </c>
      <c r="F2" s="17">
        <f>'estimates new'!AW61</f>
        <v>1</v>
      </c>
      <c r="G2" s="18">
        <f>0</f>
        <v>0</v>
      </c>
      <c r="H2" s="8">
        <v>0</v>
      </c>
      <c r="K2" t="s">
        <v>107</v>
      </c>
      <c r="L2" t="s">
        <v>98</v>
      </c>
      <c r="N2" t="s">
        <v>107</v>
      </c>
      <c r="O2" t="s">
        <v>98</v>
      </c>
      <c r="Q2" t="s">
        <v>107</v>
      </c>
      <c r="R2" t="s">
        <v>98</v>
      </c>
      <c r="T2" s="8"/>
      <c r="U2" s="8" t="s">
        <v>107</v>
      </c>
      <c r="V2" s="8" t="s">
        <v>98</v>
      </c>
      <c r="W2" s="8"/>
      <c r="X2" s="8" t="s">
        <v>107</v>
      </c>
      <c r="Y2" s="8" t="s">
        <v>98</v>
      </c>
      <c r="Z2" s="8"/>
      <c r="AA2" s="8" t="s">
        <v>107</v>
      </c>
      <c r="AB2" s="8" t="s">
        <v>98</v>
      </c>
    </row>
    <row r="3" spans="1:28" ht="15.75" x14ac:dyDescent="0.25">
      <c r="A3" s="17" t="str">
        <f>'estimates new'!AR64</f>
        <v>442 (3)</v>
      </c>
      <c r="B3" s="17">
        <f>'estimates new'!AS64</f>
        <v>3</v>
      </c>
      <c r="C3" s="17">
        <f>'estimates new'!AT64</f>
        <v>12</v>
      </c>
      <c r="D3" s="17">
        <f>'estimates new'!AU64</f>
        <v>0.56818181818181823</v>
      </c>
      <c r="E3" s="17">
        <f>'estimates new'!AV64</f>
        <v>0.43181818181818182</v>
      </c>
      <c r="F3" s="17">
        <f>'estimates new'!AW64</f>
        <v>1</v>
      </c>
      <c r="G3" s="18">
        <v>60</v>
      </c>
      <c r="H3" s="8">
        <v>0</v>
      </c>
      <c r="J3" s="8"/>
      <c r="K3" s="8">
        <f>E5</f>
        <v>0.68</v>
      </c>
      <c r="L3" s="8">
        <f>F5</f>
        <v>0.3</v>
      </c>
      <c r="N3">
        <f>E14</f>
        <v>0.58888888888888891</v>
      </c>
      <c r="O3" s="8">
        <f>F14</f>
        <v>1</v>
      </c>
      <c r="Q3">
        <f>E26</f>
        <v>0.60919540229885061</v>
      </c>
      <c r="R3" s="8">
        <f>F26</f>
        <v>1</v>
      </c>
      <c r="T3" s="8"/>
      <c r="U3" s="8">
        <f>E12</f>
        <v>1</v>
      </c>
      <c r="V3" s="8">
        <f>F12</f>
        <v>0.3</v>
      </c>
      <c r="W3" s="8"/>
      <c r="X3" s="8">
        <f>E24</f>
        <v>0.69230769230769229</v>
      </c>
      <c r="Y3" s="8">
        <f>F24</f>
        <v>0.3</v>
      </c>
      <c r="Z3" s="8"/>
      <c r="AA3" s="8">
        <f>E36</f>
        <v>1</v>
      </c>
      <c r="AB3" s="8">
        <f>F36</f>
        <v>0.3</v>
      </c>
    </row>
    <row r="4" spans="1:28" ht="15.75" x14ac:dyDescent="0.25">
      <c r="A4" s="17" t="str">
        <f>'estimates new'!AR67</f>
        <v>453 (4)</v>
      </c>
      <c r="B4" s="17">
        <f>'estimates new'!AS67</f>
        <v>4</v>
      </c>
      <c r="C4" s="17">
        <f>'estimates new'!AT67</f>
        <v>12</v>
      </c>
      <c r="D4" s="17">
        <f>'estimates new'!AU67</f>
        <v>0.6067415730337079</v>
      </c>
      <c r="E4" s="17">
        <f>'estimates new'!AV67</f>
        <v>0.3932584269662921</v>
      </c>
      <c r="F4" s="17">
        <f>'estimates new'!AW67</f>
        <v>1</v>
      </c>
      <c r="G4" s="18">
        <v>30</v>
      </c>
      <c r="H4" s="8">
        <v>0</v>
      </c>
      <c r="K4">
        <f>E10</f>
        <v>0.41142857142857137</v>
      </c>
      <c r="L4" s="8">
        <f>F10</f>
        <v>1.6</v>
      </c>
      <c r="N4">
        <f>E17</f>
        <v>0.9</v>
      </c>
      <c r="O4" s="8">
        <f>F17</f>
        <v>0.3</v>
      </c>
      <c r="Q4">
        <f>E29</f>
        <v>1</v>
      </c>
      <c r="R4" s="8">
        <f>F29</f>
        <v>0.3</v>
      </c>
      <c r="T4" s="8"/>
      <c r="U4" s="8">
        <f>E8</f>
        <v>0.60526315789473684</v>
      </c>
      <c r="V4" s="8">
        <f>F8</f>
        <v>0.5</v>
      </c>
      <c r="W4" s="8"/>
      <c r="X4" s="8">
        <f>E20</f>
        <v>0.68421052631578949</v>
      </c>
      <c r="Y4" s="8">
        <f>F20</f>
        <v>0.5</v>
      </c>
      <c r="Z4" s="8"/>
      <c r="AA4" s="8">
        <f>E32</f>
        <v>0.71641791044776126</v>
      </c>
      <c r="AB4" s="8">
        <f>F32</f>
        <v>0.5</v>
      </c>
    </row>
    <row r="5" spans="1:28" ht="15.75" x14ac:dyDescent="0.25">
      <c r="A5" s="17" t="str">
        <f>'estimates new'!AR70</f>
        <v>639 (5)</v>
      </c>
      <c r="B5" s="17">
        <f>'estimates new'!AS70</f>
        <v>5</v>
      </c>
      <c r="C5" s="17">
        <f>'estimates new'!AT70</f>
        <v>12</v>
      </c>
      <c r="D5" s="17">
        <f>'estimates new'!AU70</f>
        <v>0.32</v>
      </c>
      <c r="E5" s="17">
        <f>'estimates new'!AV70</f>
        <v>0.68</v>
      </c>
      <c r="F5" s="17">
        <f>'estimates new'!AW70</f>
        <v>0.3</v>
      </c>
      <c r="G5" s="18">
        <f>0</f>
        <v>0</v>
      </c>
      <c r="H5" s="8">
        <v>0</v>
      </c>
      <c r="K5">
        <f>E6</f>
        <v>0.64473684210526316</v>
      </c>
      <c r="L5" s="8">
        <f>F6</f>
        <v>0.5</v>
      </c>
      <c r="N5" s="8">
        <f>E18</f>
        <v>0.69696969696969702</v>
      </c>
      <c r="O5" s="8">
        <f>F18</f>
        <v>0.5</v>
      </c>
      <c r="Q5" s="8">
        <f>E30</f>
        <v>0.95774647887323949</v>
      </c>
      <c r="R5" s="8">
        <f>F30</f>
        <v>0.5</v>
      </c>
      <c r="T5" s="8"/>
      <c r="U5" s="8">
        <f>E4</f>
        <v>0.3932584269662921</v>
      </c>
      <c r="V5" s="8">
        <f>F4</f>
        <v>1</v>
      </c>
      <c r="W5" s="8"/>
      <c r="X5" s="8">
        <f>E16</f>
        <v>0.6067415730337079</v>
      </c>
      <c r="Y5" s="8">
        <f>F16</f>
        <v>1</v>
      </c>
      <c r="Z5" s="8"/>
      <c r="AA5" s="8">
        <f>E28</f>
        <v>0.67777777777777781</v>
      </c>
      <c r="AB5" s="8">
        <f>F28</f>
        <v>1</v>
      </c>
    </row>
    <row r="6" spans="1:28" ht="15.75" x14ac:dyDescent="0.25">
      <c r="A6" s="17" t="str">
        <f>'estimates new'!AR73</f>
        <v>514 (8)</v>
      </c>
      <c r="B6" s="17">
        <f>'estimates new'!AS73</f>
        <v>8</v>
      </c>
      <c r="C6" s="17">
        <f>'estimates new'!AT73</f>
        <v>12</v>
      </c>
      <c r="D6" s="17">
        <f>'estimates new'!AU73</f>
        <v>0.35526315789473684</v>
      </c>
      <c r="E6" s="17">
        <f>'estimates new'!AV73</f>
        <v>0.64473684210526316</v>
      </c>
      <c r="F6" s="17">
        <f>'estimates new'!AW73</f>
        <v>0.5</v>
      </c>
      <c r="G6" s="18">
        <f>0</f>
        <v>0</v>
      </c>
      <c r="H6" s="8">
        <v>0</v>
      </c>
      <c r="K6">
        <f>E2</f>
        <v>0.5977011494252874</v>
      </c>
      <c r="L6" s="8">
        <f>F2</f>
        <v>1</v>
      </c>
      <c r="N6">
        <f>E22</f>
        <v>0.37037037037037035</v>
      </c>
      <c r="O6" s="8">
        <f>F22</f>
        <v>1.6</v>
      </c>
      <c r="Q6">
        <f>E34</f>
        <v>0.39490445859872614</v>
      </c>
      <c r="R6" s="8">
        <f>F34</f>
        <v>1.6</v>
      </c>
      <c r="T6" s="8"/>
      <c r="U6" s="8">
        <f>E9</f>
        <v>0.2484472049689441</v>
      </c>
      <c r="V6" s="8">
        <f>F9</f>
        <v>1.6</v>
      </c>
      <c r="W6" s="8"/>
      <c r="X6" s="8">
        <f>E21</f>
        <v>0.42690058479532161</v>
      </c>
      <c r="Y6" s="8">
        <f>F21</f>
        <v>1.6</v>
      </c>
      <c r="Z6" s="8"/>
      <c r="AA6" s="8">
        <f>E33</f>
        <v>0.45348837209302328</v>
      </c>
      <c r="AB6" s="8">
        <f>F33</f>
        <v>1.6</v>
      </c>
    </row>
    <row r="7" spans="1:28" ht="15.75" x14ac:dyDescent="0.25">
      <c r="A7" s="17" t="str">
        <f>'estimates new'!AR76</f>
        <v>517 (9)</v>
      </c>
      <c r="B7" s="17">
        <f>'estimates new'!AS76</f>
        <v>9</v>
      </c>
      <c r="C7" s="17">
        <f>'estimates new'!AT76</f>
        <v>12</v>
      </c>
      <c r="D7" s="17">
        <f>'estimates new'!AU76</f>
        <v>0.56164383561643838</v>
      </c>
      <c r="E7" s="17">
        <f>'estimates new'!AV76</f>
        <v>0.43835616438356162</v>
      </c>
      <c r="F7" s="17">
        <f>'estimates new'!AW76</f>
        <v>0.5</v>
      </c>
      <c r="G7" s="18">
        <v>60</v>
      </c>
      <c r="H7" s="8">
        <v>1</v>
      </c>
      <c r="K7" s="8"/>
      <c r="L7" s="8"/>
      <c r="T7" s="8"/>
      <c r="U7" s="8"/>
      <c r="V7" s="8"/>
      <c r="W7" s="8"/>
      <c r="X7" s="8"/>
      <c r="Y7" s="8"/>
      <c r="Z7" s="8"/>
      <c r="AA7" s="8"/>
      <c r="AB7" s="8"/>
    </row>
    <row r="8" spans="1:28" ht="15.75" x14ac:dyDescent="0.25">
      <c r="A8" s="17" t="str">
        <f>'estimates new'!AR79</f>
        <v>520 (10)</v>
      </c>
      <c r="B8" s="17">
        <f>'estimates new'!AS79</f>
        <v>10</v>
      </c>
      <c r="C8" s="17">
        <f>'estimates new'!AT79</f>
        <v>12</v>
      </c>
      <c r="D8" s="17">
        <f>'estimates new'!AU79</f>
        <v>0.39473684210526316</v>
      </c>
      <c r="E8" s="17">
        <f>'estimates new'!AV79</f>
        <v>0.60526315789473684</v>
      </c>
      <c r="F8" s="17">
        <f>'estimates new'!AW79</f>
        <v>0.5</v>
      </c>
      <c r="G8" s="8">
        <v>30</v>
      </c>
      <c r="H8" s="8">
        <v>0</v>
      </c>
      <c r="K8">
        <f>K3</f>
        <v>0.68</v>
      </c>
      <c r="L8" s="8">
        <f>L3</f>
        <v>0.3</v>
      </c>
      <c r="N8">
        <f>N4</f>
        <v>0.9</v>
      </c>
      <c r="O8" s="8">
        <f>O4</f>
        <v>0.3</v>
      </c>
      <c r="Q8">
        <f>Q4</f>
        <v>1</v>
      </c>
      <c r="R8" s="8">
        <f>R4</f>
        <v>0.3</v>
      </c>
      <c r="T8" s="8"/>
      <c r="U8" s="8"/>
      <c r="V8" s="8"/>
      <c r="W8" s="8"/>
      <c r="X8" s="8"/>
      <c r="Y8" s="8"/>
      <c r="Z8" s="8"/>
      <c r="AA8" s="8"/>
      <c r="AB8" s="8"/>
    </row>
    <row r="9" spans="1:28" ht="15.75" x14ac:dyDescent="0.25">
      <c r="A9" s="17" t="str">
        <f>'estimates new'!AR82</f>
        <v>584 (11)</v>
      </c>
      <c r="B9" s="17">
        <f>'estimates new'!AS82</f>
        <v>11</v>
      </c>
      <c r="C9" s="17">
        <f>'estimates new'!AT82</f>
        <v>12</v>
      </c>
      <c r="D9" s="17">
        <f>'estimates new'!AU82</f>
        <v>0.75155279503105588</v>
      </c>
      <c r="E9" s="17">
        <f>'estimates new'!AV82</f>
        <v>0.2484472049689441</v>
      </c>
      <c r="F9" s="17">
        <f>'estimates new'!AW82</f>
        <v>1.6</v>
      </c>
      <c r="G9" s="8">
        <v>30</v>
      </c>
      <c r="H9" s="8">
        <v>0</v>
      </c>
      <c r="K9">
        <f>K5</f>
        <v>0.64473684210526316</v>
      </c>
      <c r="L9" s="8">
        <f>L5</f>
        <v>0.5</v>
      </c>
      <c r="N9">
        <f>N5</f>
        <v>0.69696969696969702</v>
      </c>
      <c r="O9" s="8">
        <f>O5</f>
        <v>0.5</v>
      </c>
      <c r="Q9">
        <f>Q5</f>
        <v>0.95774647887323949</v>
      </c>
      <c r="R9" s="8">
        <f>R5</f>
        <v>0.5</v>
      </c>
      <c r="T9" s="8" t="s">
        <v>123</v>
      </c>
      <c r="U9" s="8" t="s">
        <v>127</v>
      </c>
      <c r="V9" s="8"/>
      <c r="W9" s="8"/>
      <c r="X9" s="8" t="s">
        <v>124</v>
      </c>
      <c r="Y9" s="8" t="s">
        <v>127</v>
      </c>
      <c r="Z9" s="8"/>
      <c r="AA9" s="8" t="s">
        <v>125</v>
      </c>
      <c r="AB9" s="8" t="s">
        <v>127</v>
      </c>
    </row>
    <row r="10" spans="1:28" ht="15.75" x14ac:dyDescent="0.25">
      <c r="A10" s="17" t="str">
        <f>'estimates new'!AR85</f>
        <v>588 (12)</v>
      </c>
      <c r="B10" s="17">
        <f>'estimates new'!AS85</f>
        <v>12</v>
      </c>
      <c r="C10" s="17">
        <f>'estimates new'!AT85</f>
        <v>12</v>
      </c>
      <c r="D10" s="17">
        <f>'estimates new'!AU85</f>
        <v>0.58857142857142852</v>
      </c>
      <c r="E10" s="17">
        <f>'estimates new'!AV85</f>
        <v>0.41142857142857137</v>
      </c>
      <c r="F10" s="17">
        <f>'estimates new'!AW85</f>
        <v>1.6</v>
      </c>
      <c r="G10" s="8">
        <f>0</f>
        <v>0</v>
      </c>
      <c r="H10" s="8">
        <v>1</v>
      </c>
      <c r="K10">
        <f>K6</f>
        <v>0.5977011494252874</v>
      </c>
      <c r="L10" s="8">
        <f>L6</f>
        <v>1</v>
      </c>
      <c r="N10">
        <f>N3</f>
        <v>0.58888888888888891</v>
      </c>
      <c r="O10" s="8">
        <f>O3</f>
        <v>1</v>
      </c>
      <c r="Q10">
        <f>Q3</f>
        <v>0.60919540229885061</v>
      </c>
      <c r="R10" s="8">
        <f>R3</f>
        <v>1</v>
      </c>
      <c r="T10" s="8"/>
      <c r="U10" s="8" t="s">
        <v>107</v>
      </c>
      <c r="V10" s="8" t="s">
        <v>98</v>
      </c>
      <c r="W10" s="8"/>
      <c r="X10" s="8" t="s">
        <v>107</v>
      </c>
      <c r="Y10" s="8" t="s">
        <v>98</v>
      </c>
      <c r="Z10" s="8"/>
      <c r="AA10" s="8" t="s">
        <v>107</v>
      </c>
      <c r="AB10" s="8" t="s">
        <v>98</v>
      </c>
    </row>
    <row r="11" spans="1:28" ht="15.75" x14ac:dyDescent="0.25">
      <c r="A11" s="8" t="s">
        <v>56</v>
      </c>
      <c r="B11" s="8">
        <v>6</v>
      </c>
      <c r="C11" s="8">
        <v>12</v>
      </c>
      <c r="D11" s="8">
        <f>'estimates new'!AU88</f>
        <v>0</v>
      </c>
      <c r="E11" s="8">
        <f>'estimates new'!AV88</f>
        <v>1</v>
      </c>
      <c r="F11" s="17">
        <v>0.3</v>
      </c>
      <c r="G11" s="8">
        <v>60</v>
      </c>
      <c r="H11" s="8">
        <v>0</v>
      </c>
      <c r="K11">
        <f>K4</f>
        <v>0.41142857142857137</v>
      </c>
      <c r="L11" s="8">
        <f>L4</f>
        <v>1.6</v>
      </c>
      <c r="N11">
        <f>N6</f>
        <v>0.37037037037037035</v>
      </c>
      <c r="O11" s="8">
        <f>O6</f>
        <v>1.6</v>
      </c>
      <c r="Q11">
        <f>Q6</f>
        <v>0.39490445859872614</v>
      </c>
      <c r="R11" s="8">
        <f>R6</f>
        <v>1.6</v>
      </c>
      <c r="T11" s="8"/>
      <c r="U11" s="8">
        <f>E11</f>
        <v>1</v>
      </c>
      <c r="V11" s="8">
        <f>F11</f>
        <v>0.3</v>
      </c>
      <c r="W11" s="8"/>
      <c r="X11" s="8">
        <f>E23</f>
        <v>0.70370370370370372</v>
      </c>
      <c r="Y11" s="8">
        <f>F23</f>
        <v>0.3</v>
      </c>
      <c r="Z11" s="8"/>
      <c r="AA11" s="8">
        <f>E35</f>
        <v>0.68493150684931503</v>
      </c>
      <c r="AB11" s="8">
        <f>F35</f>
        <v>0.3</v>
      </c>
    </row>
    <row r="12" spans="1:28" ht="15.75" x14ac:dyDescent="0.25">
      <c r="A12" s="17" t="str">
        <f>'estimates new'!AR91</f>
        <v>635 (7)</v>
      </c>
      <c r="B12" s="17">
        <f>'estimates new'!AS91</f>
        <v>7</v>
      </c>
      <c r="C12" s="17">
        <f>'estimates new'!AT91</f>
        <v>12</v>
      </c>
      <c r="D12" s="17">
        <f>'estimates new'!AU91</f>
        <v>0</v>
      </c>
      <c r="E12" s="17">
        <f>'estimates new'!AV91</f>
        <v>1</v>
      </c>
      <c r="F12" s="17">
        <f>'estimates new'!AW91</f>
        <v>0.3</v>
      </c>
      <c r="G12" s="8">
        <v>30</v>
      </c>
      <c r="H12" s="8">
        <v>0</v>
      </c>
      <c r="T12" s="8"/>
      <c r="U12" s="8">
        <f>E7</f>
        <v>0.43835616438356162</v>
      </c>
      <c r="V12" s="8">
        <f>F7</f>
        <v>0.5</v>
      </c>
      <c r="W12" s="8"/>
      <c r="X12" s="8">
        <f>E19</f>
        <v>0.53030303030303028</v>
      </c>
      <c r="Y12" s="8">
        <f>F19</f>
        <v>0.5</v>
      </c>
      <c r="Z12" s="8"/>
      <c r="AA12" s="8">
        <f>E31</f>
        <v>0.74626865671641784</v>
      </c>
      <c r="AB12" s="8">
        <f>F31</f>
        <v>0.5</v>
      </c>
    </row>
    <row r="13" spans="1:28" ht="15.75" x14ac:dyDescent="0.25">
      <c r="A13" s="17" t="str">
        <f>'estimates new'!AR94</f>
        <v>596 (14)</v>
      </c>
      <c r="B13" s="17">
        <f>'estimates new'!AS94</f>
        <v>14</v>
      </c>
      <c r="C13" s="17">
        <f>'estimates new'!AT94</f>
        <v>12</v>
      </c>
      <c r="D13" s="17">
        <f>'estimates new'!AU94</f>
        <v>0.80107526881720426</v>
      </c>
      <c r="E13" s="17">
        <f>'estimates new'!AV94</f>
        <v>0.19892473118279569</v>
      </c>
      <c r="F13" s="17">
        <f>'estimates new'!AW94</f>
        <v>1.6</v>
      </c>
      <c r="G13" s="8">
        <v>60</v>
      </c>
      <c r="H13" s="8">
        <v>0</v>
      </c>
      <c r="T13" s="8"/>
      <c r="U13" s="8">
        <f>E3</f>
        <v>0.43181818181818182</v>
      </c>
      <c r="V13" s="8">
        <f>F3</f>
        <v>1</v>
      </c>
      <c r="W13" s="8"/>
      <c r="X13" s="8">
        <f>E15</f>
        <v>0.62222222222222223</v>
      </c>
      <c r="Y13" s="8">
        <f>F15</f>
        <v>1</v>
      </c>
      <c r="Z13" s="8"/>
      <c r="AA13" s="8">
        <f>E27</f>
        <v>0.66292134831460681</v>
      </c>
      <c r="AB13" s="8">
        <f>F27</f>
        <v>1</v>
      </c>
    </row>
    <row r="14" spans="1:28" ht="15.75" x14ac:dyDescent="0.25">
      <c r="A14" s="17" t="str">
        <f>'estimates new'!AR62</f>
        <v>510 (2)</v>
      </c>
      <c r="B14" s="17">
        <f>'estimates new'!AS62</f>
        <v>2</v>
      </c>
      <c r="C14" s="17">
        <f>'estimates new'!AT62</f>
        <v>27</v>
      </c>
      <c r="D14" s="17">
        <f>'estimates new'!AU62</f>
        <v>0.41111111111111109</v>
      </c>
      <c r="E14" s="17">
        <f>'estimates new'!AV62</f>
        <v>0.58888888888888891</v>
      </c>
      <c r="F14" s="17">
        <f>'estimates new'!AW62</f>
        <v>1</v>
      </c>
      <c r="G14" s="18">
        <f>0</f>
        <v>0</v>
      </c>
      <c r="H14" s="8">
        <v>0</v>
      </c>
      <c r="T14" s="8"/>
      <c r="U14" s="8">
        <f>E13</f>
        <v>0.19892473118279569</v>
      </c>
      <c r="V14" s="8">
        <f>F13</f>
        <v>1.6</v>
      </c>
      <c r="W14" s="8"/>
      <c r="X14" s="8">
        <f>E25</f>
        <v>8.9285714285714288E-2</v>
      </c>
      <c r="Y14" s="8">
        <f>F25</f>
        <v>1.6</v>
      </c>
      <c r="Z14" s="8"/>
      <c r="AA14" s="8">
        <f>E37</f>
        <v>9.5238095238095233E-2</v>
      </c>
      <c r="AB14" s="8">
        <f>F37</f>
        <v>1.6</v>
      </c>
    </row>
    <row r="15" spans="1:28" ht="15.75" x14ac:dyDescent="0.25">
      <c r="A15" s="17" t="str">
        <f>'estimates new'!AR65</f>
        <v>505 (3)</v>
      </c>
      <c r="B15" s="17">
        <f>'estimates new'!AS65</f>
        <v>3</v>
      </c>
      <c r="C15" s="17">
        <f>'estimates new'!AT65</f>
        <v>27</v>
      </c>
      <c r="D15" s="17">
        <f>'estimates new'!AU65</f>
        <v>0.37777777777777777</v>
      </c>
      <c r="E15" s="17">
        <f>'estimates new'!AV65</f>
        <v>0.62222222222222223</v>
      </c>
      <c r="F15" s="17">
        <f>'estimates new'!AW65</f>
        <v>1</v>
      </c>
      <c r="G15" s="18">
        <v>60</v>
      </c>
      <c r="H15" s="8">
        <v>0</v>
      </c>
    </row>
    <row r="16" spans="1:28" ht="15.75" x14ac:dyDescent="0.25">
      <c r="A16" s="17" t="str">
        <f>'estimates new'!AR68</f>
        <v>508 (4)</v>
      </c>
      <c r="B16" s="17">
        <f>'estimates new'!AS68</f>
        <v>4</v>
      </c>
      <c r="C16" s="17">
        <f>'estimates new'!AT68</f>
        <v>27</v>
      </c>
      <c r="D16" s="17">
        <f>'estimates new'!AU68</f>
        <v>0.39325842696629215</v>
      </c>
      <c r="E16" s="17">
        <f>'estimates new'!AV68</f>
        <v>0.6067415730337079</v>
      </c>
      <c r="F16" s="17">
        <f>'estimates new'!AW68</f>
        <v>1</v>
      </c>
      <c r="G16" s="18">
        <v>30</v>
      </c>
      <c r="H16" s="8">
        <v>0</v>
      </c>
    </row>
    <row r="17" spans="1:8" ht="15.75" x14ac:dyDescent="0.25">
      <c r="A17" s="17" t="str">
        <f>'estimates new'!AR71</f>
        <v>650 (5)</v>
      </c>
      <c r="B17" s="17">
        <f>'estimates new'!AS71</f>
        <v>5</v>
      </c>
      <c r="C17" s="17">
        <f>'estimates new'!AT71</f>
        <v>27</v>
      </c>
      <c r="D17" s="17">
        <f>'estimates new'!AU71</f>
        <v>0.1</v>
      </c>
      <c r="E17" s="17">
        <f>'estimates new'!AV71</f>
        <v>0.9</v>
      </c>
      <c r="F17" s="17">
        <f>'estimates new'!AW71</f>
        <v>0.3</v>
      </c>
      <c r="G17" s="18">
        <f>0</f>
        <v>0</v>
      </c>
      <c r="H17" s="8">
        <v>0</v>
      </c>
    </row>
    <row r="18" spans="1:8" ht="15.75" x14ac:dyDescent="0.25">
      <c r="A18" s="17" t="str">
        <f>'estimates new'!AR74</f>
        <v>523 (8)</v>
      </c>
      <c r="B18" s="17">
        <f>'estimates new'!AS74</f>
        <v>8</v>
      </c>
      <c r="C18" s="17">
        <f>'estimates new'!AT74</f>
        <v>27</v>
      </c>
      <c r="D18" s="17">
        <f>'estimates new'!AU74</f>
        <v>0.30303030303030304</v>
      </c>
      <c r="E18" s="17">
        <f>'estimates new'!AV74</f>
        <v>0.69696969696969702</v>
      </c>
      <c r="F18" s="17">
        <f>'estimates new'!AW74</f>
        <v>0.5</v>
      </c>
      <c r="G18" s="18">
        <f>0</f>
        <v>0</v>
      </c>
      <c r="H18" s="8">
        <v>0</v>
      </c>
    </row>
    <row r="19" spans="1:8" ht="15.75" x14ac:dyDescent="0.25">
      <c r="A19" s="17" t="str">
        <f>'estimates new'!AR77</f>
        <v>525 (9)</v>
      </c>
      <c r="B19" s="17">
        <f>'estimates new'!AS77</f>
        <v>9</v>
      </c>
      <c r="C19" s="17">
        <f>'estimates new'!AT77</f>
        <v>27</v>
      </c>
      <c r="D19" s="17">
        <f>'estimates new'!AU77</f>
        <v>0.46969696969696972</v>
      </c>
      <c r="E19" s="17">
        <f>'estimates new'!AV77</f>
        <v>0.53030303030303028</v>
      </c>
      <c r="F19" s="17">
        <f>'estimates new'!AW77</f>
        <v>0.5</v>
      </c>
      <c r="G19" s="18">
        <v>60</v>
      </c>
      <c r="H19" s="8">
        <v>1</v>
      </c>
    </row>
    <row r="20" spans="1:8" ht="15.75" x14ac:dyDescent="0.25">
      <c r="A20" s="17" t="str">
        <f>'estimates new'!AR80</f>
        <v>530 (10)</v>
      </c>
      <c r="B20" s="17">
        <f>'estimates new'!AS80</f>
        <v>10</v>
      </c>
      <c r="C20" s="17">
        <f>'estimates new'!AT80</f>
        <v>27</v>
      </c>
      <c r="D20" s="17">
        <f>'estimates new'!AU80</f>
        <v>0.31578947368421051</v>
      </c>
      <c r="E20" s="17">
        <f>'estimates new'!AV80</f>
        <v>0.68421052631578949</v>
      </c>
      <c r="F20" s="17">
        <f>'estimates new'!AW80</f>
        <v>0.5</v>
      </c>
      <c r="G20" s="8">
        <v>30</v>
      </c>
      <c r="H20" s="8">
        <v>0</v>
      </c>
    </row>
    <row r="21" spans="1:8" ht="15.75" x14ac:dyDescent="0.25">
      <c r="A21" s="17" t="str">
        <f>'estimates new'!AR83</f>
        <v>602 (11)</v>
      </c>
      <c r="B21" s="17">
        <f>'estimates new'!AS83</f>
        <v>11</v>
      </c>
      <c r="C21" s="17">
        <f>'estimates new'!AT83</f>
        <v>27</v>
      </c>
      <c r="D21" s="17">
        <f>'estimates new'!AU83</f>
        <v>0.57309941520467833</v>
      </c>
      <c r="E21" s="17">
        <f>'estimates new'!AV83</f>
        <v>0.42690058479532161</v>
      </c>
      <c r="F21" s="17">
        <f>'estimates new'!AW83</f>
        <v>1.6</v>
      </c>
      <c r="G21" s="8">
        <v>30</v>
      </c>
      <c r="H21" s="8">
        <v>0</v>
      </c>
    </row>
    <row r="22" spans="1:8" ht="15.75" x14ac:dyDescent="0.25">
      <c r="A22" s="17" t="str">
        <f>'estimates new'!AR86</f>
        <v>607(12)</v>
      </c>
      <c r="B22" s="17">
        <f>'estimates new'!AS86</f>
        <v>12</v>
      </c>
      <c r="C22" s="17">
        <f>'estimates new'!AT86</f>
        <v>27</v>
      </c>
      <c r="D22" s="17">
        <f>'estimates new'!AU86</f>
        <v>0.62962962962962965</v>
      </c>
      <c r="E22" s="17">
        <f>'estimates new'!AV86</f>
        <v>0.37037037037037035</v>
      </c>
      <c r="F22" s="17">
        <f>'estimates new'!AW86</f>
        <v>1.6</v>
      </c>
      <c r="G22" s="8">
        <f>0</f>
        <v>0</v>
      </c>
      <c r="H22" s="8">
        <v>1</v>
      </c>
    </row>
    <row r="23" spans="1:8" ht="15.75" x14ac:dyDescent="0.25">
      <c r="A23" s="17" t="str">
        <f>'estimates new'!AR89</f>
        <v>654 (6)</v>
      </c>
      <c r="B23" s="17">
        <f>'estimates new'!AS89</f>
        <v>6</v>
      </c>
      <c r="C23" s="17">
        <f>'estimates new'!AT89</f>
        <v>27</v>
      </c>
      <c r="D23" s="17">
        <f>'estimates new'!AU89</f>
        <v>0.29629629629629628</v>
      </c>
      <c r="E23" s="17">
        <f>'estimates new'!AV89</f>
        <v>0.70370370370370372</v>
      </c>
      <c r="F23" s="17">
        <f>'estimates new'!AW89</f>
        <v>0.3</v>
      </c>
      <c r="G23" s="8">
        <v>60</v>
      </c>
      <c r="H23" s="8">
        <v>0</v>
      </c>
    </row>
    <row r="24" spans="1:8" ht="15.75" x14ac:dyDescent="0.25">
      <c r="A24" s="17" t="str">
        <f>'estimates new'!AR92</f>
        <v>646 (7)</v>
      </c>
      <c r="B24" s="17">
        <f>'estimates new'!AS92</f>
        <v>7</v>
      </c>
      <c r="C24" s="17">
        <f>'estimates new'!AT92</f>
        <v>27</v>
      </c>
      <c r="D24" s="17">
        <f>'estimates new'!AU92</f>
        <v>0.30769230769230771</v>
      </c>
      <c r="E24" s="17">
        <f>'estimates new'!AV92</f>
        <v>0.69230769230769229</v>
      </c>
      <c r="F24" s="17">
        <f>'estimates new'!AW92</f>
        <v>0.3</v>
      </c>
      <c r="G24" s="8">
        <v>30</v>
      </c>
      <c r="H24" s="8">
        <v>0</v>
      </c>
    </row>
    <row r="25" spans="1:8" ht="15.75" x14ac:dyDescent="0.25">
      <c r="A25" s="17" t="str">
        <f>'estimates new'!AR95</f>
        <v>610 (14)</v>
      </c>
      <c r="B25" s="17">
        <f>'estimates new'!AS95</f>
        <v>14</v>
      </c>
      <c r="C25" s="17">
        <f>'estimates new'!AT95</f>
        <v>27</v>
      </c>
      <c r="D25" s="17">
        <f>'estimates new'!AU95</f>
        <v>0.9107142857142857</v>
      </c>
      <c r="E25" s="17">
        <f>'estimates new'!AV95</f>
        <v>8.9285714285714288E-2</v>
      </c>
      <c r="F25" s="17">
        <f>'estimates new'!AW95</f>
        <v>1.6</v>
      </c>
      <c r="G25" s="8">
        <v>60</v>
      </c>
      <c r="H25" s="8">
        <v>0</v>
      </c>
    </row>
    <row r="26" spans="1:8" ht="15.75" x14ac:dyDescent="0.25">
      <c r="A26" s="17" t="str">
        <f>'estimates new'!AR63</f>
        <v>503 (2)</v>
      </c>
      <c r="B26" s="17">
        <f>'estimates new'!AS63</f>
        <v>2</v>
      </c>
      <c r="C26" s="17">
        <f>'estimates new'!AT63</f>
        <v>42</v>
      </c>
      <c r="D26" s="17">
        <f>'estimates new'!AU63</f>
        <v>0.39080459770114945</v>
      </c>
      <c r="E26" s="17">
        <f>'estimates new'!AV63</f>
        <v>0.60919540229885061</v>
      </c>
      <c r="F26" s="17">
        <f>'estimates new'!AW63</f>
        <v>1</v>
      </c>
      <c r="G26" s="18">
        <f>0</f>
        <v>0</v>
      </c>
      <c r="H26" s="8">
        <v>0</v>
      </c>
    </row>
    <row r="27" spans="1:8" ht="15.75" x14ac:dyDescent="0.25">
      <c r="A27" s="17" t="str">
        <f>'estimates new'!AR66</f>
        <v>499 (3)</v>
      </c>
      <c r="B27" s="17">
        <f>'estimates new'!AS66</f>
        <v>3</v>
      </c>
      <c r="C27" s="17">
        <f>'estimates new'!AT66</f>
        <v>42</v>
      </c>
      <c r="D27" s="17">
        <f>'estimates new'!AU66</f>
        <v>0.33707865168539325</v>
      </c>
      <c r="E27" s="17">
        <f>'estimates new'!AV66</f>
        <v>0.66292134831460681</v>
      </c>
      <c r="F27" s="17">
        <f>'estimates new'!AW66</f>
        <v>1</v>
      </c>
      <c r="G27" s="18">
        <v>60</v>
      </c>
      <c r="H27" s="8">
        <v>0</v>
      </c>
    </row>
    <row r="28" spans="1:8" ht="15.75" x14ac:dyDescent="0.25">
      <c r="A28" s="17" t="str">
        <f>'estimates new'!AR69</f>
        <v>501 (4)</v>
      </c>
      <c r="B28" s="17">
        <f>'estimates new'!AS69</f>
        <v>4</v>
      </c>
      <c r="C28" s="17">
        <f>'estimates new'!AT69</f>
        <v>42</v>
      </c>
      <c r="D28" s="17">
        <f>'estimates new'!AU69</f>
        <v>0.32222222222222224</v>
      </c>
      <c r="E28" s="17">
        <f>'estimates new'!AV69</f>
        <v>0.67777777777777781</v>
      </c>
      <c r="F28" s="17">
        <f>'estimates new'!AW69</f>
        <v>1</v>
      </c>
      <c r="G28" s="18">
        <v>30</v>
      </c>
      <c r="H28" s="8">
        <v>0</v>
      </c>
    </row>
    <row r="29" spans="1:8" ht="15.75" x14ac:dyDescent="0.25">
      <c r="A29" s="17" t="str">
        <f>'estimates new'!AR72</f>
        <v>661 (5)</v>
      </c>
      <c r="B29" s="17">
        <f>'estimates new'!AS72</f>
        <v>5</v>
      </c>
      <c r="C29" s="17">
        <f>'estimates new'!AT72</f>
        <v>42</v>
      </c>
      <c r="D29" s="17">
        <f>'estimates new'!AU72</f>
        <v>0</v>
      </c>
      <c r="E29" s="17">
        <f>'estimates new'!AV72</f>
        <v>1</v>
      </c>
      <c r="F29" s="17">
        <f>'estimates new'!AW72</f>
        <v>0.3</v>
      </c>
      <c r="G29" s="18">
        <f>0</f>
        <v>0</v>
      </c>
      <c r="H29" s="8">
        <v>0</v>
      </c>
    </row>
    <row r="30" spans="1:8" ht="15.75" x14ac:dyDescent="0.25">
      <c r="A30" s="17" t="str">
        <f>'estimates new'!AR75</f>
        <v>532 (8)</v>
      </c>
      <c r="B30" s="17">
        <f>'estimates new'!AS75</f>
        <v>8</v>
      </c>
      <c r="C30" s="17">
        <f>'estimates new'!AT75</f>
        <v>42</v>
      </c>
      <c r="D30" s="17">
        <f>'estimates new'!AU75</f>
        <v>4.2253521126760563E-2</v>
      </c>
      <c r="E30" s="17">
        <f>'estimates new'!AV75</f>
        <v>0.95774647887323949</v>
      </c>
      <c r="F30" s="17">
        <f>'estimates new'!AW75</f>
        <v>0.5</v>
      </c>
      <c r="G30" s="18">
        <f>0</f>
        <v>0</v>
      </c>
      <c r="H30" s="8">
        <v>0</v>
      </c>
    </row>
    <row r="31" spans="1:8" ht="15.75" x14ac:dyDescent="0.25">
      <c r="A31" s="17" t="str">
        <f>'estimates new'!AR78</f>
        <v>534 (9)</v>
      </c>
      <c r="B31" s="17">
        <f>'estimates new'!AS78</f>
        <v>9</v>
      </c>
      <c r="C31" s="17">
        <f>'estimates new'!AT78</f>
        <v>42</v>
      </c>
      <c r="D31" s="17">
        <f>'estimates new'!AU78</f>
        <v>0.2537313432835821</v>
      </c>
      <c r="E31" s="17">
        <f>'estimates new'!AV78</f>
        <v>0.74626865671641784</v>
      </c>
      <c r="F31" s="17">
        <f>'estimates new'!AW78</f>
        <v>0.5</v>
      </c>
      <c r="G31" s="18">
        <v>60</v>
      </c>
      <c r="H31" s="8">
        <v>1</v>
      </c>
    </row>
    <row r="32" spans="1:8" ht="15.75" x14ac:dyDescent="0.25">
      <c r="A32" s="17" t="str">
        <f>'estimates new'!AR81</f>
        <v>536(10)</v>
      </c>
      <c r="B32" s="17">
        <f>'estimates new'!AS81</f>
        <v>10</v>
      </c>
      <c r="C32" s="17">
        <f>'estimates new'!AT81</f>
        <v>42</v>
      </c>
      <c r="D32" s="17">
        <f>'estimates new'!AU81</f>
        <v>0.28358208955223879</v>
      </c>
      <c r="E32" s="17">
        <f>'estimates new'!AV81</f>
        <v>0.71641791044776126</v>
      </c>
      <c r="F32" s="17">
        <f>'estimates new'!AW81</f>
        <v>0.5</v>
      </c>
      <c r="G32" s="8">
        <v>30</v>
      </c>
      <c r="H32" s="8">
        <v>0</v>
      </c>
    </row>
    <row r="33" spans="1:8" ht="15.75" x14ac:dyDescent="0.25">
      <c r="A33" s="17" t="str">
        <f>'estimates new'!AR84</f>
        <v>614 (11)</v>
      </c>
      <c r="B33" s="17">
        <f>'estimates new'!AS84</f>
        <v>11</v>
      </c>
      <c r="C33" s="17">
        <f>'estimates new'!AT84</f>
        <v>42</v>
      </c>
      <c r="D33" s="17">
        <f>'estimates new'!AU84</f>
        <v>0.54651162790697672</v>
      </c>
      <c r="E33" s="17">
        <f>'estimates new'!AV84</f>
        <v>0.45348837209302328</v>
      </c>
      <c r="F33" s="17">
        <f>'estimates new'!AW84</f>
        <v>1.6</v>
      </c>
      <c r="G33" s="8">
        <v>30</v>
      </c>
      <c r="H33" s="8">
        <v>0</v>
      </c>
    </row>
    <row r="34" spans="1:8" ht="15.75" x14ac:dyDescent="0.25">
      <c r="A34" s="17" t="str">
        <f>'estimates new'!AR87</f>
        <v>617 (12)</v>
      </c>
      <c r="B34" s="17">
        <f>'estimates new'!AS87</f>
        <v>12</v>
      </c>
      <c r="C34" s="17">
        <f>'estimates new'!AT87</f>
        <v>42</v>
      </c>
      <c r="D34" s="17">
        <f>'estimates new'!AU87</f>
        <v>0.60509554140127386</v>
      </c>
      <c r="E34" s="17">
        <f>'estimates new'!AV87</f>
        <v>0.39490445859872614</v>
      </c>
      <c r="F34" s="17">
        <f>'estimates new'!AW87</f>
        <v>1.6</v>
      </c>
      <c r="G34" s="8">
        <f>0</f>
        <v>0</v>
      </c>
      <c r="H34" s="8">
        <v>1</v>
      </c>
    </row>
    <row r="35" spans="1:8" ht="15.75" x14ac:dyDescent="0.25">
      <c r="A35" s="17" t="str">
        <f>'estimates new'!AR90</f>
        <v>666 (6)</v>
      </c>
      <c r="B35" s="17">
        <f>'estimates new'!AS90</f>
        <v>6</v>
      </c>
      <c r="C35" s="17">
        <f>'estimates new'!AT90</f>
        <v>42</v>
      </c>
      <c r="D35" s="17">
        <f>'estimates new'!AU90</f>
        <v>0.31506849315068491</v>
      </c>
      <c r="E35" s="17">
        <f>'estimates new'!AV90</f>
        <v>0.68493150684931503</v>
      </c>
      <c r="F35" s="17">
        <f>'estimates new'!AW90</f>
        <v>0.3</v>
      </c>
      <c r="G35" s="8">
        <v>60</v>
      </c>
      <c r="H35" s="8">
        <v>0</v>
      </c>
    </row>
    <row r="36" spans="1:8" ht="15.75" x14ac:dyDescent="0.25">
      <c r="A36" s="17" t="s">
        <v>61</v>
      </c>
      <c r="B36" s="17">
        <v>7</v>
      </c>
      <c r="C36" s="17">
        <v>42</v>
      </c>
      <c r="D36" s="17">
        <f>'estimates new'!AU93</f>
        <v>0</v>
      </c>
      <c r="E36" s="17">
        <f>'estimates new'!AV93</f>
        <v>1</v>
      </c>
      <c r="F36" s="17">
        <v>0.3</v>
      </c>
      <c r="G36" s="17">
        <v>30</v>
      </c>
      <c r="H36" s="17">
        <v>0</v>
      </c>
    </row>
    <row r="37" spans="1:8" ht="15.75" x14ac:dyDescent="0.25">
      <c r="A37" s="17" t="str">
        <f>'estimates new'!AR96</f>
        <v>631 (14)</v>
      </c>
      <c r="B37" s="17">
        <f>'estimates new'!AS96</f>
        <v>14</v>
      </c>
      <c r="C37" s="17">
        <f>'estimates new'!AT96</f>
        <v>42</v>
      </c>
      <c r="D37" s="17">
        <f>'estimates new'!AU96</f>
        <v>0.90476190476190477</v>
      </c>
      <c r="E37" s="17">
        <f>'estimates new'!AV96</f>
        <v>9.5238095238095233E-2</v>
      </c>
      <c r="F37" s="17">
        <f>'estimates new'!AW96</f>
        <v>1.6</v>
      </c>
      <c r="G37" s="8">
        <v>60</v>
      </c>
      <c r="H37" s="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377-5BC8-4513-9214-EDA7BC7C1D64}">
  <dimension ref="A1:MR268"/>
  <sheetViews>
    <sheetView tabSelected="1" topLeftCell="A295" zoomScale="84" zoomScaleNormal="84" workbookViewId="0">
      <selection activeCell="AC314" sqref="AC314"/>
    </sheetView>
  </sheetViews>
  <sheetFormatPr defaultRowHeight="15" x14ac:dyDescent="0.25"/>
  <cols>
    <col min="1" max="1" width="15.28515625" bestFit="1" customWidth="1"/>
    <col min="2" max="2" width="18.5703125" bestFit="1" customWidth="1"/>
    <col min="3" max="3" width="12.28515625" bestFit="1" customWidth="1"/>
    <col min="4" max="4" width="13.140625" bestFit="1" customWidth="1"/>
    <col min="6" max="6" width="11.5703125" bestFit="1" customWidth="1"/>
    <col min="7" max="7" width="25.140625" bestFit="1" customWidth="1"/>
    <col min="8" max="10" width="15" bestFit="1" customWidth="1"/>
    <col min="14" max="14" width="28.42578125" bestFit="1" customWidth="1"/>
    <col min="15" max="15" width="14" bestFit="1" customWidth="1"/>
    <col min="16" max="17" width="14.5703125" bestFit="1" customWidth="1"/>
    <col min="20" max="20" width="14.5703125" bestFit="1" customWidth="1"/>
    <col min="22" max="22" width="12" bestFit="1" customWidth="1"/>
    <col min="23" max="23" width="14.5703125" bestFit="1" customWidth="1"/>
    <col min="37" max="37" width="13.42578125" bestFit="1" customWidth="1"/>
    <col min="39" max="39" width="12" bestFit="1" customWidth="1"/>
    <col min="41" max="41" width="65.42578125" bestFit="1" customWidth="1"/>
    <col min="57" max="57" width="12" bestFit="1" customWidth="1"/>
    <col min="69" max="69" width="13.42578125" bestFit="1" customWidth="1"/>
    <col min="87" max="87" width="11" bestFit="1" customWidth="1"/>
    <col min="88" max="88" width="12.5703125" bestFit="1" customWidth="1"/>
    <col min="89" max="89" width="16.28515625" bestFit="1" customWidth="1"/>
    <col min="93" max="93" width="20" bestFit="1" customWidth="1"/>
    <col min="94" max="94" width="18.140625" bestFit="1" customWidth="1"/>
    <col min="95" max="95" width="15.28515625" bestFit="1" customWidth="1"/>
    <col min="169" max="169" width="12" bestFit="1" customWidth="1"/>
  </cols>
  <sheetData>
    <row r="1" spans="1:96" x14ac:dyDescent="0.25">
      <c r="A1" s="10" t="s">
        <v>131</v>
      </c>
      <c r="B1" s="10" t="s">
        <v>132</v>
      </c>
      <c r="C1" s="10" t="s">
        <v>133</v>
      </c>
      <c r="D1" s="10" t="s">
        <v>136</v>
      </c>
      <c r="F1" s="10" t="s">
        <v>137</v>
      </c>
      <c r="G1" s="10" t="s">
        <v>138</v>
      </c>
      <c r="I1" s="8"/>
      <c r="J1" s="8"/>
      <c r="M1" s="8"/>
      <c r="N1" s="8"/>
      <c r="O1" s="8"/>
      <c r="P1" s="8"/>
      <c r="Q1" s="8"/>
      <c r="R1" s="8"/>
      <c r="CJ1" t="s">
        <v>98</v>
      </c>
      <c r="CK1" t="s">
        <v>166</v>
      </c>
      <c r="CO1" t="s">
        <v>177</v>
      </c>
      <c r="CP1" t="s">
        <v>167</v>
      </c>
    </row>
    <row r="2" spans="1:96" x14ac:dyDescent="0.25">
      <c r="A2">
        <f>15*10^-3</f>
        <v>1.4999999999999999E-2</v>
      </c>
      <c r="B2">
        <f>2*10^-3</f>
        <v>2E-3</v>
      </c>
      <c r="C2">
        <f>1*10^-3</f>
        <v>1E-3</v>
      </c>
      <c r="D2">
        <f>B5*C5</f>
        <v>3.5342917352885172E-7</v>
      </c>
      <c r="F2">
        <f>0.3*10^-3</f>
        <v>2.9999999999999997E-4</v>
      </c>
      <c r="G2">
        <f>12*10^-3</f>
        <v>1.2E-2</v>
      </c>
      <c r="M2" s="8"/>
      <c r="N2" s="8"/>
      <c r="O2" s="8"/>
      <c r="P2" s="8"/>
      <c r="Q2" s="8"/>
      <c r="R2" s="8"/>
      <c r="CJ2">
        <f>0.3</f>
        <v>0.3</v>
      </c>
      <c r="CK2">
        <f>V19</f>
        <v>312.50000000000006</v>
      </c>
      <c r="CP2" t="s">
        <v>173</v>
      </c>
      <c r="CQ2" t="s">
        <v>171</v>
      </c>
      <c r="CR2" t="s">
        <v>172</v>
      </c>
    </row>
    <row r="3" spans="1:96" x14ac:dyDescent="0.25">
      <c r="F3">
        <f>0.5*10^-3</f>
        <v>5.0000000000000001E-4</v>
      </c>
      <c r="G3">
        <f>27*10^-3</f>
        <v>2.7E-2</v>
      </c>
      <c r="M3" s="8"/>
      <c r="N3" s="8"/>
      <c r="O3" s="8"/>
      <c r="P3" s="8"/>
      <c r="Q3" s="8"/>
      <c r="R3" s="8"/>
      <c r="CK3" s="8">
        <f t="shared" ref="CK3:CK4" si="0">V20</f>
        <v>138.88888888888894</v>
      </c>
      <c r="CO3">
        <f>CP3/(0.3*10^-3)</f>
        <v>0.68000000000000016</v>
      </c>
      <c r="CP3">
        <f>'estimates new'!AV70*'shear rates'!$CJ$2*10^-3</f>
        <v>2.0400000000000003E-4</v>
      </c>
      <c r="CQ3">
        <f>'estimates new'!AV91*'shear rates'!$CJ$2*10^-3</f>
        <v>2.9999999999999997E-4</v>
      </c>
      <c r="CR3">
        <f>'estimates new'!AV88*'shear rates'!$CJ$2*10^-3</f>
        <v>2.9999999999999997E-4</v>
      </c>
    </row>
    <row r="4" spans="1:96" x14ac:dyDescent="0.25">
      <c r="A4" t="s">
        <v>179</v>
      </c>
      <c r="B4" t="s">
        <v>180</v>
      </c>
      <c r="C4" t="s">
        <v>132</v>
      </c>
      <c r="F4">
        <f>1*10^-3</f>
        <v>1E-3</v>
      </c>
      <c r="G4">
        <f>42*10^-3</f>
        <v>4.2000000000000003E-2</v>
      </c>
      <c r="CK4" s="8">
        <f t="shared" si="0"/>
        <v>89.285714285714306</v>
      </c>
      <c r="CO4" s="8">
        <f t="shared" ref="CO4:CO5" si="1">CP4/(0.3*10^-3)</f>
        <v>0.90000000000000013</v>
      </c>
      <c r="CP4" s="8">
        <f>'estimates new'!AV71*'shear rates'!$CJ$2*10^-3</f>
        <v>2.7E-4</v>
      </c>
      <c r="CQ4" s="8">
        <f>'estimates new'!AV92*'shear rates'!$CJ$2*10^-3</f>
        <v>2.0769230769230768E-4</v>
      </c>
      <c r="CR4" s="8">
        <f>'estimates new'!AV89*'shear rates'!$CJ$2*10^-3</f>
        <v>2.1111111111111111E-4</v>
      </c>
    </row>
    <row r="5" spans="1:96" x14ac:dyDescent="0.25">
      <c r="A5">
        <f>15*10^-3</f>
        <v>1.4999999999999999E-2</v>
      </c>
      <c r="B5">
        <f>(PI()*A5^2)/4</f>
        <v>1.7671458676442585E-4</v>
      </c>
      <c r="C5">
        <f>2*10^-3</f>
        <v>2E-3</v>
      </c>
      <c r="F5">
        <f>1.6*10^-3</f>
        <v>1.6000000000000001E-3</v>
      </c>
      <c r="CJ5">
        <v>0.5</v>
      </c>
      <c r="CK5">
        <f>AF32</f>
        <v>112.50000000000001</v>
      </c>
      <c r="CO5" s="8">
        <f t="shared" si="1"/>
        <v>1</v>
      </c>
      <c r="CP5" s="8">
        <f>'estimates new'!AV72*'shear rates'!$CJ$2*10^-3</f>
        <v>2.9999999999999997E-4</v>
      </c>
      <c r="CQ5" s="8">
        <f>'estimates new'!AV93*'shear rates'!$CJ$2*10^-3</f>
        <v>2.9999999999999997E-4</v>
      </c>
      <c r="CR5" s="8">
        <f>'estimates new'!AV90*'shear rates'!$CJ$2*10^-3</f>
        <v>2.0547945205479451E-4</v>
      </c>
    </row>
    <row r="6" spans="1:96" x14ac:dyDescent="0.25">
      <c r="CK6" s="8">
        <f t="shared" ref="CK6:CK7" si="2">AF33</f>
        <v>50</v>
      </c>
    </row>
    <row r="7" spans="1:96" x14ac:dyDescent="0.25">
      <c r="CK7" s="8">
        <f t="shared" si="2"/>
        <v>32.142857142857139</v>
      </c>
      <c r="CP7" t="s">
        <v>174</v>
      </c>
      <c r="CQ7" t="s">
        <v>175</v>
      </c>
      <c r="CR7" t="s">
        <v>176</v>
      </c>
    </row>
    <row r="8" spans="1:96" x14ac:dyDescent="0.25">
      <c r="A8" s="10" t="s">
        <v>142</v>
      </c>
      <c r="B8">
        <f>0</f>
        <v>0</v>
      </c>
      <c r="C8">
        <f>B8+0.01*10^-3</f>
        <v>1.0000000000000001E-5</v>
      </c>
      <c r="D8" s="8">
        <f t="shared" ref="D8:BO8" si="3">C8+0.01*10^-3</f>
        <v>2.0000000000000002E-5</v>
      </c>
      <c r="E8" s="8">
        <f t="shared" si="3"/>
        <v>3.0000000000000004E-5</v>
      </c>
      <c r="F8" s="8">
        <f t="shared" si="3"/>
        <v>4.0000000000000003E-5</v>
      </c>
      <c r="G8" s="8">
        <f t="shared" si="3"/>
        <v>5.0000000000000002E-5</v>
      </c>
      <c r="H8" s="8">
        <f t="shared" si="3"/>
        <v>6.0000000000000002E-5</v>
      </c>
      <c r="I8" s="8">
        <f t="shared" si="3"/>
        <v>7.0000000000000007E-5</v>
      </c>
      <c r="J8" s="8">
        <f t="shared" si="3"/>
        <v>8.0000000000000007E-5</v>
      </c>
      <c r="K8" s="8">
        <f t="shared" si="3"/>
        <v>9.0000000000000006E-5</v>
      </c>
      <c r="L8" s="8">
        <f t="shared" si="3"/>
        <v>1E-4</v>
      </c>
      <c r="M8" s="8">
        <f t="shared" si="3"/>
        <v>1.1E-4</v>
      </c>
      <c r="N8" s="8">
        <f t="shared" si="3"/>
        <v>1.2E-4</v>
      </c>
      <c r="O8" s="8">
        <f t="shared" si="3"/>
        <v>1.3000000000000002E-4</v>
      </c>
      <c r="P8" s="8">
        <f t="shared" si="3"/>
        <v>1.4000000000000001E-4</v>
      </c>
      <c r="Q8" s="8">
        <f t="shared" si="3"/>
        <v>1.5000000000000001E-4</v>
      </c>
      <c r="R8" s="8">
        <f t="shared" si="3"/>
        <v>1.6000000000000001E-4</v>
      </c>
      <c r="S8" s="8">
        <f t="shared" si="3"/>
        <v>1.7000000000000001E-4</v>
      </c>
      <c r="T8" s="8">
        <f t="shared" si="3"/>
        <v>1.8000000000000001E-4</v>
      </c>
      <c r="U8" s="8">
        <f t="shared" si="3"/>
        <v>1.9000000000000001E-4</v>
      </c>
      <c r="V8" s="8">
        <f t="shared" si="3"/>
        <v>2.0000000000000001E-4</v>
      </c>
      <c r="W8" s="8">
        <f t="shared" si="3"/>
        <v>2.1000000000000001E-4</v>
      </c>
      <c r="X8" s="8">
        <f t="shared" si="3"/>
        <v>2.2000000000000001E-4</v>
      </c>
      <c r="Y8" s="8">
        <f t="shared" si="3"/>
        <v>2.3000000000000001E-4</v>
      </c>
      <c r="Z8" s="8">
        <f t="shared" si="3"/>
        <v>2.4000000000000001E-4</v>
      </c>
      <c r="AA8" s="8">
        <f t="shared" si="3"/>
        <v>2.5000000000000001E-4</v>
      </c>
      <c r="AB8" s="8">
        <f t="shared" si="3"/>
        <v>2.6000000000000003E-4</v>
      </c>
      <c r="AC8" s="8">
        <f t="shared" si="3"/>
        <v>2.7000000000000006E-4</v>
      </c>
      <c r="AD8" s="8">
        <f t="shared" si="3"/>
        <v>2.8000000000000008E-4</v>
      </c>
      <c r="AE8" s="8">
        <f t="shared" si="3"/>
        <v>2.9000000000000011E-4</v>
      </c>
      <c r="AF8" s="8">
        <f t="shared" si="3"/>
        <v>3.0000000000000014E-4</v>
      </c>
      <c r="AG8" s="8">
        <f t="shared" si="3"/>
        <v>3.1000000000000016E-4</v>
      </c>
      <c r="AH8" s="8">
        <f t="shared" si="3"/>
        <v>3.2000000000000019E-4</v>
      </c>
      <c r="AI8" s="8">
        <f t="shared" si="3"/>
        <v>3.3000000000000022E-4</v>
      </c>
      <c r="AJ8" s="8">
        <f t="shared" si="3"/>
        <v>3.4000000000000024E-4</v>
      </c>
      <c r="AK8" s="8">
        <f t="shared" si="3"/>
        <v>3.5000000000000027E-4</v>
      </c>
      <c r="AL8" s="8">
        <f t="shared" si="3"/>
        <v>3.6000000000000029E-4</v>
      </c>
      <c r="AM8" s="8">
        <f t="shared" si="3"/>
        <v>3.7000000000000032E-4</v>
      </c>
      <c r="AN8" s="8">
        <f t="shared" si="3"/>
        <v>3.8000000000000035E-4</v>
      </c>
      <c r="AO8" s="8">
        <f t="shared" si="3"/>
        <v>3.9000000000000037E-4</v>
      </c>
      <c r="AP8" s="8">
        <f t="shared" si="3"/>
        <v>4.000000000000004E-4</v>
      </c>
      <c r="AQ8" s="8">
        <f t="shared" si="3"/>
        <v>4.1000000000000042E-4</v>
      </c>
      <c r="AR8" s="8">
        <f t="shared" si="3"/>
        <v>4.2000000000000045E-4</v>
      </c>
      <c r="AS8" s="8">
        <f t="shared" si="3"/>
        <v>4.3000000000000048E-4</v>
      </c>
      <c r="AT8" s="8">
        <f t="shared" si="3"/>
        <v>4.400000000000005E-4</v>
      </c>
      <c r="AU8" s="8">
        <f t="shared" si="3"/>
        <v>4.5000000000000053E-4</v>
      </c>
      <c r="AV8" s="8">
        <f t="shared" si="3"/>
        <v>4.6000000000000056E-4</v>
      </c>
      <c r="AW8" s="8">
        <f t="shared" si="3"/>
        <v>4.7000000000000058E-4</v>
      </c>
      <c r="AX8" s="8">
        <f t="shared" si="3"/>
        <v>4.8000000000000061E-4</v>
      </c>
      <c r="AY8" s="8">
        <f t="shared" si="3"/>
        <v>4.9000000000000063E-4</v>
      </c>
      <c r="AZ8" s="8">
        <f t="shared" si="3"/>
        <v>5.0000000000000066E-4</v>
      </c>
      <c r="BA8" s="8">
        <f t="shared" si="3"/>
        <v>5.1000000000000069E-4</v>
      </c>
      <c r="BB8" s="8">
        <f t="shared" si="3"/>
        <v>5.2000000000000071E-4</v>
      </c>
      <c r="BC8" s="8">
        <f t="shared" si="3"/>
        <v>5.3000000000000074E-4</v>
      </c>
      <c r="BD8" s="8">
        <f t="shared" si="3"/>
        <v>5.4000000000000077E-4</v>
      </c>
      <c r="BE8" s="8">
        <f t="shared" si="3"/>
        <v>5.5000000000000079E-4</v>
      </c>
      <c r="BF8" s="8">
        <f t="shared" si="3"/>
        <v>5.6000000000000082E-4</v>
      </c>
      <c r="BG8" s="8">
        <f t="shared" si="3"/>
        <v>5.7000000000000084E-4</v>
      </c>
      <c r="BH8" s="8">
        <f t="shared" si="3"/>
        <v>5.8000000000000087E-4</v>
      </c>
      <c r="BI8" s="8">
        <f t="shared" si="3"/>
        <v>5.900000000000009E-4</v>
      </c>
      <c r="BJ8" s="8">
        <f t="shared" si="3"/>
        <v>6.0000000000000092E-4</v>
      </c>
      <c r="BK8" s="8">
        <f t="shared" si="3"/>
        <v>6.1000000000000095E-4</v>
      </c>
      <c r="BL8" s="8">
        <f t="shared" si="3"/>
        <v>6.2000000000000098E-4</v>
      </c>
      <c r="BM8" s="8">
        <f t="shared" si="3"/>
        <v>6.30000000000001E-4</v>
      </c>
      <c r="BN8" s="8">
        <f t="shared" si="3"/>
        <v>6.4000000000000103E-4</v>
      </c>
      <c r="BO8" s="8">
        <f t="shared" si="3"/>
        <v>6.5000000000000105E-4</v>
      </c>
      <c r="BP8" s="8">
        <f t="shared" ref="BP8:CD8" si="4">BO8+0.01*10^-3</f>
        <v>6.6000000000000108E-4</v>
      </c>
      <c r="BQ8" s="8">
        <f t="shared" si="4"/>
        <v>6.7000000000000111E-4</v>
      </c>
      <c r="BR8" s="8">
        <f t="shared" si="4"/>
        <v>6.8000000000000113E-4</v>
      </c>
      <c r="BS8" s="8">
        <f t="shared" si="4"/>
        <v>6.9000000000000116E-4</v>
      </c>
      <c r="BT8" s="8">
        <f t="shared" si="4"/>
        <v>7.0000000000000119E-4</v>
      </c>
      <c r="BU8" s="8">
        <f t="shared" si="4"/>
        <v>7.1000000000000121E-4</v>
      </c>
      <c r="BV8" s="8">
        <f t="shared" si="4"/>
        <v>7.2000000000000124E-4</v>
      </c>
      <c r="BW8" s="8">
        <f t="shared" si="4"/>
        <v>7.3000000000000126E-4</v>
      </c>
      <c r="BX8" s="8">
        <f t="shared" si="4"/>
        <v>7.4000000000000129E-4</v>
      </c>
      <c r="BY8" s="8">
        <f t="shared" si="4"/>
        <v>7.5000000000000132E-4</v>
      </c>
      <c r="BZ8" s="8">
        <f t="shared" si="4"/>
        <v>7.6000000000000134E-4</v>
      </c>
      <c r="CA8" s="8">
        <f t="shared" si="4"/>
        <v>7.7000000000000137E-4</v>
      </c>
      <c r="CB8" s="8">
        <f t="shared" si="4"/>
        <v>7.800000000000014E-4</v>
      </c>
      <c r="CC8" s="8">
        <f t="shared" si="4"/>
        <v>7.9000000000000142E-4</v>
      </c>
      <c r="CD8" s="8">
        <f t="shared" si="4"/>
        <v>8.0000000000000145E-4</v>
      </c>
      <c r="CE8" s="8"/>
      <c r="CF8" s="8"/>
      <c r="CG8" s="8"/>
      <c r="CJ8">
        <v>1</v>
      </c>
      <c r="CK8">
        <f>BE45</f>
        <v>28.125000000000039</v>
      </c>
      <c r="CO8">
        <f>CP8/(0.5*10^-3)</f>
        <v>0.64473684210526316</v>
      </c>
      <c r="CP8">
        <f>($CJ$5*10^-3)*'estimates new'!AV73</f>
        <v>3.2236842105263158E-4</v>
      </c>
      <c r="CQ8">
        <f>($CJ$5*10^-3)*'estimates new'!AV79</f>
        <v>3.0263157894736844E-4</v>
      </c>
      <c r="CR8">
        <f>($CJ$5*10^-3)*'estimates new'!AV76</f>
        <v>2.191780821917808E-4</v>
      </c>
    </row>
    <row r="9" spans="1:96" x14ac:dyDescent="0.25">
      <c r="D9" s="8"/>
      <c r="CK9" s="8">
        <f t="shared" ref="CK9:CK10" si="5">BE46</f>
        <v>12.500000000000016</v>
      </c>
      <c r="CO9" s="8">
        <f t="shared" ref="CO9:CO10" si="6">CP9/(0.5*10^-3)</f>
        <v>0.69696969696969702</v>
      </c>
      <c r="CP9" s="8">
        <f>($CJ$5*10^-3)*'estimates new'!AV74</f>
        <v>3.484848484848485E-4</v>
      </c>
      <c r="CQ9" s="8">
        <f>($CJ$5*10^-3)*'estimates new'!AV80</f>
        <v>3.4210526315789477E-4</v>
      </c>
      <c r="CR9" s="8">
        <f>($CJ$5*10^-3)*'estimates new'!AV77</f>
        <v>2.6515151515151512E-4</v>
      </c>
    </row>
    <row r="10" spans="1:96" x14ac:dyDescent="0.25">
      <c r="D10" s="8"/>
      <c r="CK10" s="8">
        <f t="shared" si="5"/>
        <v>8.0357142857142971</v>
      </c>
      <c r="CO10" s="8">
        <f t="shared" si="6"/>
        <v>0.95774647887323949</v>
      </c>
      <c r="CP10" s="8">
        <f>($CJ$5*10^-3)*'estimates new'!AV75</f>
        <v>4.7887323943661978E-4</v>
      </c>
      <c r="CQ10" s="8">
        <f>($CJ$5*10^-3)*'estimates new'!AV81</f>
        <v>3.5820895522388062E-4</v>
      </c>
      <c r="CR10" s="8">
        <f>($CJ$5*10^-3)*'estimates new'!AV78</f>
        <v>3.731343283582089E-4</v>
      </c>
    </row>
    <row r="11" spans="1:96" x14ac:dyDescent="0.25">
      <c r="D11" s="8"/>
      <c r="G11" s="10" t="s">
        <v>135</v>
      </c>
      <c r="H11" s="10"/>
      <c r="CJ11">
        <v>1.6</v>
      </c>
      <c r="CK11">
        <f>CI57</f>
        <v>10.986328125000018</v>
      </c>
    </row>
    <row r="12" spans="1:96" x14ac:dyDescent="0.25">
      <c r="D12" s="8"/>
      <c r="G12" s="10" t="s">
        <v>141</v>
      </c>
      <c r="H12" s="10"/>
      <c r="CK12" s="8">
        <f t="shared" ref="CK12:CK13" si="7">CI58</f>
        <v>4.8828125000000089</v>
      </c>
      <c r="CP12" t="s">
        <v>168</v>
      </c>
      <c r="CQ12" t="s">
        <v>169</v>
      </c>
      <c r="CR12" t="s">
        <v>170</v>
      </c>
    </row>
    <row r="13" spans="1:96" x14ac:dyDescent="0.25">
      <c r="D13" s="8"/>
      <c r="G13" s="10" t="s">
        <v>140</v>
      </c>
      <c r="H13" s="10"/>
      <c r="X13" t="s">
        <v>146</v>
      </c>
      <c r="AF13" s="8"/>
      <c r="AG13" s="8"/>
      <c r="AI13" s="8"/>
      <c r="AJ13" s="8"/>
      <c r="AO13" t="s">
        <v>159</v>
      </c>
      <c r="AP13" t="s">
        <v>160</v>
      </c>
      <c r="AQ13" t="s">
        <v>106</v>
      </c>
      <c r="AR13" t="s">
        <v>162</v>
      </c>
      <c r="AS13" t="s">
        <v>178</v>
      </c>
      <c r="CK13" s="8">
        <f t="shared" si="7"/>
        <v>3.1389508928571481</v>
      </c>
      <c r="CO13">
        <f>CP13/(10^-3)</f>
        <v>0.5977011494252874</v>
      </c>
      <c r="CP13">
        <f>($CJ$8*10^-3)*'estimates new'!AV61</f>
        <v>5.9770114942528743E-4</v>
      </c>
      <c r="CQ13">
        <f>($CJ$8*10^-3)*'estimates new'!AV67</f>
        <v>3.9325842696629208E-4</v>
      </c>
      <c r="CR13">
        <f>($CJ$8*10^-3)*'estimates new'!AV64</f>
        <v>4.3181818181818181E-4</v>
      </c>
    </row>
    <row r="14" spans="1:96" x14ac:dyDescent="0.25">
      <c r="D14" s="8"/>
      <c r="G14">
        <f>ABS(SQRT(2)*(3*$D$2*2/(8*PI()*$F$2*$G2^2))*(1-B$8^2/($F$2/2)^2))</f>
        <v>2.7621358640099518</v>
      </c>
      <c r="H14" s="8">
        <f>ABS(SQRT(2)*(3*$D$2*2/(8*PI()*$F$2*$G2^2))*(1-C$8^2/($F$2/2)^2))</f>
        <v>2.749859704614352</v>
      </c>
      <c r="I14" s="8">
        <f t="shared" ref="I14:V14" si="8">ABS(SQRT(2)*(3*$D$2*2/(8*PI()*$F$2*$G2^2))*(1-D$8^2/($F$2/2)^2))</f>
        <v>2.7130312264275527</v>
      </c>
      <c r="J14" s="8">
        <f t="shared" si="8"/>
        <v>2.6516504294495538</v>
      </c>
      <c r="K14" s="8">
        <f t="shared" si="8"/>
        <v>2.5657173136803553</v>
      </c>
      <c r="L14" s="8">
        <f t="shared" si="8"/>
        <v>2.4552318791199572</v>
      </c>
      <c r="M14" s="8">
        <f t="shared" si="8"/>
        <v>2.3201941257683596</v>
      </c>
      <c r="N14" s="8">
        <f t="shared" si="8"/>
        <v>2.160604053625562</v>
      </c>
      <c r="O14" s="8">
        <f t="shared" si="8"/>
        <v>1.9764616626915654</v>
      </c>
      <c r="P14" s="8">
        <f t="shared" si="8"/>
        <v>1.7677669529663689</v>
      </c>
      <c r="Q14" s="8">
        <f t="shared" si="8"/>
        <v>1.534519924449973</v>
      </c>
      <c r="R14" s="8">
        <f t="shared" si="8"/>
        <v>1.2767205771423773</v>
      </c>
      <c r="S14" s="8">
        <f t="shared" si="8"/>
        <v>0.99436891104358227</v>
      </c>
      <c r="T14" s="8">
        <f t="shared" si="8"/>
        <v>0.68746492615358723</v>
      </c>
      <c r="U14" s="8">
        <f t="shared" si="8"/>
        <v>0.35600862247239301</v>
      </c>
      <c r="V14" s="8">
        <f t="shared" si="8"/>
        <v>6.1331736667334975E-16</v>
      </c>
      <c r="W14" s="8"/>
      <c r="X14" s="8">
        <f>G19/G14</f>
        <v>0</v>
      </c>
      <c r="Y14" s="8">
        <f>H19/H14</f>
        <v>7.576144084141581</v>
      </c>
      <c r="Z14" s="8">
        <f t="shared" ref="Z14:AL14" si="9">I19/I14</f>
        <v>15.357975337988364</v>
      </c>
      <c r="AA14" s="8">
        <f t="shared" si="9"/>
        <v>23.570226039551589</v>
      </c>
      <c r="AB14" s="8">
        <f t="shared" si="9"/>
        <v>32.479545930099796</v>
      </c>
      <c r="AC14" s="8">
        <f t="shared" si="9"/>
        <v>42.426406871192853</v>
      </c>
      <c r="AD14" s="8">
        <f t="shared" si="9"/>
        <v>53.874802376117906</v>
      </c>
      <c r="AE14" s="8">
        <f t="shared" si="9"/>
        <v>67.49655638598864</v>
      </c>
      <c r="AF14" s="8">
        <f t="shared" si="9"/>
        <v>84.325777632184554</v>
      </c>
      <c r="AG14" s="8">
        <f t="shared" si="9"/>
        <v>106.06601717798215</v>
      </c>
      <c r="AH14" s="8">
        <f t="shared" si="9"/>
        <v>135.76450198781717</v>
      </c>
      <c r="AI14" s="8">
        <f t="shared" si="9"/>
        <v>179.49633676273905</v>
      </c>
      <c r="AJ14" s="8">
        <f t="shared" si="9"/>
        <v>251.41574442188366</v>
      </c>
      <c r="AK14" s="8">
        <f t="shared" si="9"/>
        <v>393.95949237536269</v>
      </c>
      <c r="AL14" s="8">
        <f t="shared" si="9"/>
        <v>819.26854647820858</v>
      </c>
      <c r="AM14" s="8">
        <f>V19/V14</f>
        <v>5.0952413380206182E+17</v>
      </c>
      <c r="AN14" s="8"/>
      <c r="AO14">
        <f>0.00004</f>
        <v>4.0000000000000003E-5</v>
      </c>
      <c r="AP14" s="8">
        <f>AO14*2</f>
        <v>8.0000000000000007E-5</v>
      </c>
      <c r="AQ14" s="8">
        <f>AP14/(0.3*10^-3)</f>
        <v>0.26666666666666672</v>
      </c>
      <c r="AR14">
        <f>'estimates new'!AU70</f>
        <v>0.32</v>
      </c>
      <c r="AS14">
        <f>AR14-AQ14</f>
        <v>5.3333333333333288E-2</v>
      </c>
      <c r="CO14" s="8">
        <f t="shared" ref="CO14:CO15" si="10">CP14/(10^-3)</f>
        <v>0.58888888888888891</v>
      </c>
      <c r="CP14" s="8">
        <f>($CJ$8*10^-3)*'estimates new'!AV62</f>
        <v>5.888888888888889E-4</v>
      </c>
      <c r="CQ14" s="8">
        <f>($CJ$8*10^-3)*'estimates new'!AV68</f>
        <v>6.0674157303370788E-4</v>
      </c>
      <c r="CR14" s="8">
        <f>($CJ$8*10^-3)*'estimates new'!AV65</f>
        <v>6.2222222222222225E-4</v>
      </c>
    </row>
    <row r="15" spans="1:96" x14ac:dyDescent="0.25">
      <c r="D15" s="8"/>
      <c r="G15" s="8">
        <f>ABS(SQRT(2)*(3*$D$2*2/(8*PI()*$F$2*$G3^2))*(1-B$8^2/($F$2/2)^2))</f>
        <v>0.54560708424887949</v>
      </c>
      <c r="H15" s="8">
        <f t="shared" ref="H15" si="11">ABS(SQRT(2)*(3*$D$2*2/(8*PI()*$F$2*$G3^2))*(1-C$8^2/($F$2/2)^2))</f>
        <v>0.54318216387443996</v>
      </c>
      <c r="I15" s="8">
        <f>ABS(SQRT(2)*(3*$D$2*2/(8*PI()*$F$2*$G3^2))*(1-D$8^2/($F$2/2)^2))</f>
        <v>0.53590740275112159</v>
      </c>
      <c r="J15" s="8">
        <f t="shared" ref="J15:J16" si="12">ABS(SQRT(2)*(3*$D$2*2/(8*PI()*$F$2*$G3^2))*(1-E$8^2/($F$2/2)^2))</f>
        <v>0.52378280087892426</v>
      </c>
      <c r="K15" s="8">
        <f t="shared" ref="K15:K16" si="13">ABS(SQRT(2)*(3*$D$2*2/(8*PI()*$F$2*$G3^2))*(1-F$8^2/($F$2/2)^2))</f>
        <v>0.50680835825784809</v>
      </c>
      <c r="L15" s="8">
        <f t="shared" ref="L15:L16" si="14">ABS(SQRT(2)*(3*$D$2*2/(8*PI()*$F$2*$G3^2))*(1-G$8^2/($F$2/2)^2))</f>
        <v>0.48498407488789286</v>
      </c>
      <c r="M15" s="8">
        <f t="shared" ref="M15:M16" si="15">ABS(SQRT(2)*(3*$D$2*2/(8*PI()*$F$2*$G3^2))*(1-H$8^2/($F$2/2)^2))</f>
        <v>0.45830995076905878</v>
      </c>
      <c r="N15" s="8">
        <f t="shared" ref="N15:N16" si="16">ABS(SQRT(2)*(3*$D$2*2/(8*PI()*$F$2*$G3^2))*(1-I$8^2/($F$2/2)^2))</f>
        <v>0.4267859859013457</v>
      </c>
      <c r="O15" s="8">
        <f t="shared" ref="O15:O16" si="17">ABS(SQRT(2)*(3*$D$2*2/(8*PI()*$F$2*$G3^2))*(1-J$8^2/($F$2/2)^2))</f>
        <v>0.39041218028475372</v>
      </c>
      <c r="P15" s="8">
        <f t="shared" ref="P15:P16" si="18">ABS(SQRT(2)*(3*$D$2*2/(8*PI()*$F$2*$G3^2))*(1-K$8^2/($F$2/2)^2))</f>
        <v>0.34918853391928284</v>
      </c>
      <c r="Q15" s="8">
        <f t="shared" ref="Q15:Q16" si="19">ABS(SQRT(2)*(3*$D$2*2/(8*PI()*$F$2*$G3^2))*(1-L$8^2/($F$2/2)^2))</f>
        <v>0.30311504680493301</v>
      </c>
      <c r="R15" s="8">
        <f t="shared" ref="R15:R16" si="20">ABS(SQRT(2)*(3*$D$2*2/(8*PI()*$F$2*$G3^2))*(1-M$8^2/($F$2/2)^2))</f>
        <v>0.25219171894170422</v>
      </c>
      <c r="S15" s="8">
        <f t="shared" ref="S15:S16" si="21">ABS(SQRT(2)*(3*$D$2*2/(8*PI()*$F$2*$G3^2))*(1-N$8^2/($F$2/2)^2))</f>
        <v>0.19641855032959654</v>
      </c>
      <c r="T15" s="8">
        <f t="shared" ref="T15:T16" si="22">ABS(SQRT(2)*(3*$D$2*2/(8*PI()*$F$2*$G3^2))*(1-O$8^2/($F$2/2)^2))</f>
        <v>0.13579554096860985</v>
      </c>
      <c r="U15" s="8">
        <f t="shared" ref="U15:U16" si="23">ABS(SQRT(2)*(3*$D$2*2/(8*PI()*$F$2*$G3^2))*(1-P$8^2/($F$2/2)^2))</f>
        <v>7.0322690858744319E-2</v>
      </c>
      <c r="V15" s="8">
        <f t="shared" ref="V15:V16" si="24">ABS(SQRT(2)*(3*$D$2*2/(8*PI()*$F$2*$G3^2))*(1-Q$8^2/($F$2/2)^2))</f>
        <v>1.2114910946634072E-16</v>
      </c>
      <c r="W15" s="8"/>
      <c r="X15" s="8">
        <f t="shared" ref="X15:X16" si="25">G20/G15</f>
        <v>0</v>
      </c>
      <c r="Y15" s="8">
        <f t="shared" ref="Y15" si="26">H20/H15</f>
        <v>17.046324189318558</v>
      </c>
      <c r="Z15" s="8">
        <f t="shared" ref="Z15:Z16" si="27">I20/I15</f>
        <v>34.555444510473819</v>
      </c>
      <c r="AA15" s="8">
        <f t="shared" ref="AA15:AA16" si="28">J20/J15</f>
        <v>53.033008588991066</v>
      </c>
      <c r="AB15" s="8">
        <f t="shared" ref="AB15:AB16" si="29">K20/K15</f>
        <v>73.078978342724525</v>
      </c>
      <c r="AC15" s="8">
        <f t="shared" ref="AC15:AC16" si="30">L20/L15</f>
        <v>95.459415460183934</v>
      </c>
      <c r="AD15" s="8">
        <f t="shared" ref="AD15:AD16" si="31">M20/M15</f>
        <v>121.21830534626527</v>
      </c>
      <c r="AE15" s="8">
        <f t="shared" ref="AE15:AE16" si="32">N20/N15</f>
        <v>151.86725186847443</v>
      </c>
      <c r="AF15" s="8">
        <f t="shared" ref="AF15:AF16" si="33">O20/O15</f>
        <v>189.73299967241525</v>
      </c>
      <c r="AG15" s="8">
        <f t="shared" ref="AG15:AG16" si="34">P20/P15</f>
        <v>238.64853865045978</v>
      </c>
      <c r="AH15" s="8">
        <f t="shared" ref="AH15:AH16" si="35">Q20/Q15</f>
        <v>305.47012947258861</v>
      </c>
      <c r="AI15" s="8">
        <f t="shared" ref="AI15:AI16" si="36">R20/R15</f>
        <v>403.86675771616279</v>
      </c>
      <c r="AJ15" s="8">
        <f t="shared" ref="AJ15:AJ16" si="37">S20/S15</f>
        <v>565.68542494923815</v>
      </c>
      <c r="AK15" s="8">
        <f t="shared" ref="AK15:AK16" si="38">T20/T15</f>
        <v>886.40885784456589</v>
      </c>
      <c r="AL15" s="8">
        <f t="shared" ref="AL15:AM16" si="39">U20/U15</f>
        <v>1843.3542295759692</v>
      </c>
      <c r="AM15" s="8">
        <f t="shared" si="39"/>
        <v>1.146429301054639E+18</v>
      </c>
      <c r="AN15" s="8"/>
      <c r="AO15">
        <f>0.00002</f>
        <v>2.0000000000000002E-5</v>
      </c>
      <c r="AP15" s="8">
        <f t="shared" ref="AP15:AP16" si="40">AO15*2</f>
        <v>4.0000000000000003E-5</v>
      </c>
      <c r="AQ15" s="8">
        <f t="shared" ref="AQ15:AQ16" si="41">AP15/(0.3*10^-3)</f>
        <v>0.13333333333333336</v>
      </c>
      <c r="AR15" s="8">
        <f>'estimates new'!AU71</f>
        <v>0.1</v>
      </c>
      <c r="AS15" s="8">
        <f t="shared" ref="AS15:AS16" si="42">AR15-AQ15</f>
        <v>-3.3333333333333354E-2</v>
      </c>
      <c r="CO15" s="8">
        <f t="shared" si="10"/>
        <v>0.60919540229885061</v>
      </c>
      <c r="CP15" s="8">
        <f>($CJ$8*10^-3)*'estimates new'!AV63</f>
        <v>6.0919540229885057E-4</v>
      </c>
      <c r="CQ15" s="8">
        <f>($CJ$8*10^-3)*'estimates new'!AV69</f>
        <v>6.777777777777778E-4</v>
      </c>
      <c r="CR15" s="8">
        <f>($CJ$8*10^-3)*'estimates new'!AV66</f>
        <v>6.6292134831460678E-4</v>
      </c>
    </row>
    <row r="16" spans="1:96" x14ac:dyDescent="0.25">
      <c r="D16" s="8"/>
      <c r="G16" s="8">
        <f t="shared" ref="G16" si="43">ABS(SQRT(2)*(3*$D$2*2/(8*PI()*$F$2*$G4^2))*(1-B$8^2/($F$2/2)^2))</f>
        <v>0.2254804786946899</v>
      </c>
      <c r="H16" s="8">
        <f>ABS(SQRT(2)*(3*$D$2*2/(8*PI()*$F$2*$G4^2))*(1-C$8^2/($F$2/2)^2))</f>
        <v>0.2244783432338246</v>
      </c>
      <c r="I16" s="8">
        <f t="shared" ref="I16" si="44">ABS(SQRT(2)*(3*$D$2*2/(8*PI()*$F$2*$G4^2))*(1-D$8^2/($F$2/2)^2))</f>
        <v>0.22147193685122873</v>
      </c>
      <c r="J16" s="8">
        <f t="shared" si="12"/>
        <v>0.21646125954690229</v>
      </c>
      <c r="K16" s="8">
        <f t="shared" si="13"/>
        <v>0.20944631132084529</v>
      </c>
      <c r="L16" s="8">
        <f t="shared" si="14"/>
        <v>0.20042709217305768</v>
      </c>
      <c r="M16" s="8">
        <f t="shared" si="15"/>
        <v>0.18940360210353951</v>
      </c>
      <c r="N16" s="8">
        <f t="shared" si="16"/>
        <v>0.17637584111229074</v>
      </c>
      <c r="O16" s="8">
        <f t="shared" si="17"/>
        <v>0.16134380919931143</v>
      </c>
      <c r="P16" s="8">
        <f t="shared" si="18"/>
        <v>0.14430750636460152</v>
      </c>
      <c r="Q16" s="8">
        <f t="shared" si="19"/>
        <v>0.12526693260816105</v>
      </c>
      <c r="R16" s="8">
        <f t="shared" si="20"/>
        <v>0.10422208792998996</v>
      </c>
      <c r="S16" s="8">
        <f t="shared" si="21"/>
        <v>8.1172972330088342E-2</v>
      </c>
      <c r="T16" s="8">
        <f t="shared" si="22"/>
        <v>5.6119585808456086E-2</v>
      </c>
      <c r="U16" s="8">
        <f t="shared" si="23"/>
        <v>2.90619283650933E-2</v>
      </c>
      <c r="V16" s="8">
        <f t="shared" si="24"/>
        <v>5.0066723810069358E-17</v>
      </c>
      <c r="W16" s="8"/>
      <c r="X16" s="8">
        <f t="shared" si="25"/>
        <v>0</v>
      </c>
      <c r="Y16" s="8">
        <f>H21/H16</f>
        <v>26.51650429449554</v>
      </c>
      <c r="Z16" s="8">
        <f t="shared" si="27"/>
        <v>53.752913682959282</v>
      </c>
      <c r="AA16" s="8">
        <f t="shared" si="28"/>
        <v>82.495791138430562</v>
      </c>
      <c r="AB16" s="8">
        <f t="shared" si="29"/>
        <v>113.67841075534929</v>
      </c>
      <c r="AC16" s="8">
        <f t="shared" si="30"/>
        <v>148.49242404917501</v>
      </c>
      <c r="AD16" s="8">
        <f t="shared" si="31"/>
        <v>188.56180831641271</v>
      </c>
      <c r="AE16" s="8">
        <f t="shared" si="32"/>
        <v>236.23794735096027</v>
      </c>
      <c r="AF16" s="8">
        <f t="shared" si="33"/>
        <v>295.140221712646</v>
      </c>
      <c r="AG16" s="8">
        <f t="shared" si="34"/>
        <v>371.23106012293755</v>
      </c>
      <c r="AH16" s="8">
        <f t="shared" si="35"/>
        <v>475.17575695736002</v>
      </c>
      <c r="AI16" s="8">
        <f t="shared" si="36"/>
        <v>628.23717866958668</v>
      </c>
      <c r="AJ16" s="8">
        <f t="shared" si="37"/>
        <v>879.95510547659296</v>
      </c>
      <c r="AK16" s="8">
        <f t="shared" si="38"/>
        <v>1378.8582233137695</v>
      </c>
      <c r="AL16" s="8">
        <f t="shared" si="39"/>
        <v>2867.4399126737303</v>
      </c>
      <c r="AM16" s="8">
        <f t="shared" ref="AM16" si="45">V21/V16</f>
        <v>1.7833344683072166E+18</v>
      </c>
      <c r="AN16" s="8"/>
      <c r="AO16" s="8">
        <f>0.00001</f>
        <v>1.0000000000000001E-5</v>
      </c>
      <c r="AP16" s="8">
        <f t="shared" si="40"/>
        <v>2.0000000000000002E-5</v>
      </c>
      <c r="AQ16" s="8">
        <f t="shared" si="41"/>
        <v>6.666666666666668E-2</v>
      </c>
      <c r="AR16" s="8">
        <f>'estimates new'!AU72</f>
        <v>0</v>
      </c>
      <c r="AS16" s="8">
        <f t="shared" si="42"/>
        <v>-6.666666666666668E-2</v>
      </c>
    </row>
    <row r="17" spans="2:73" x14ac:dyDescent="0.25">
      <c r="D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X17" s="8"/>
      <c r="Y17" s="8"/>
      <c r="Z17" s="8"/>
      <c r="AA17" s="8"/>
      <c r="AB17" s="8"/>
      <c r="AC17" s="8"/>
    </row>
    <row r="18" spans="2:73" x14ac:dyDescent="0.25">
      <c r="D18" s="8"/>
      <c r="G18" s="10" t="s">
        <v>139</v>
      </c>
      <c r="AO18" s="8"/>
    </row>
    <row r="19" spans="2:73" x14ac:dyDescent="0.25">
      <c r="B19" t="s">
        <v>134</v>
      </c>
      <c r="D19" s="8"/>
      <c r="G19">
        <f>ABS((3*$D$2*2/(8*PI()*$G2*$F$2))*2*4*B$8/$F$2^2)</f>
        <v>0</v>
      </c>
      <c r="H19" s="8">
        <f t="shared" ref="H19:V19" si="46">ABS((3*$D$2*2/(8*PI()*$G2*$F$2))*2*4*C$8/$F$2^2)</f>
        <v>20.833333333333339</v>
      </c>
      <c r="I19" s="8">
        <f t="shared" si="46"/>
        <v>41.666666666666679</v>
      </c>
      <c r="J19" s="8">
        <f t="shared" si="46"/>
        <v>62.500000000000021</v>
      </c>
      <c r="K19" s="8">
        <f t="shared" si="46"/>
        <v>83.333333333333357</v>
      </c>
      <c r="L19" s="8">
        <f t="shared" si="46"/>
        <v>104.1666666666667</v>
      </c>
      <c r="M19" s="8">
        <f t="shared" si="46"/>
        <v>125.00000000000003</v>
      </c>
      <c r="N19" s="8">
        <f t="shared" si="46"/>
        <v>145.83333333333337</v>
      </c>
      <c r="O19" s="8">
        <f t="shared" si="46"/>
        <v>166.66666666666671</v>
      </c>
      <c r="P19" s="8">
        <f t="shared" si="46"/>
        <v>187.50000000000003</v>
      </c>
      <c r="Q19" s="8">
        <f t="shared" si="46"/>
        <v>208.3333333333334</v>
      </c>
      <c r="R19" s="8">
        <f t="shared" si="46"/>
        <v>229.16666666666671</v>
      </c>
      <c r="S19" s="8">
        <f t="shared" si="46"/>
        <v>250.00000000000006</v>
      </c>
      <c r="T19" s="8">
        <f t="shared" si="46"/>
        <v>270.83333333333343</v>
      </c>
      <c r="U19" s="8">
        <f t="shared" si="46"/>
        <v>291.66666666666674</v>
      </c>
      <c r="V19" s="8">
        <f t="shared" si="46"/>
        <v>312.50000000000006</v>
      </c>
      <c r="W19" s="8"/>
    </row>
    <row r="20" spans="2:73" x14ac:dyDescent="0.25">
      <c r="D20" s="8"/>
      <c r="G20" s="8">
        <f t="shared" ref="G20:G21" si="47">ABS((3*$D$2*2/(8*PI()*$G3*$F$2))*2*4*B$8/$F$2^2)</f>
        <v>0</v>
      </c>
      <c r="H20" s="8">
        <f t="shared" ref="H20:H21" si="48">ABS((3*$D$2*2/(8*PI()*$G3*$F$2))*2*4*C$8/$F$2^2)</f>
        <v>9.2592592592592631</v>
      </c>
      <c r="I20" s="8">
        <f>ABS((3*$D$2*2/(8*PI()*$G3*$F$2))*2*4*D$8/$F$2^2)</f>
        <v>18.518518518518526</v>
      </c>
      <c r="J20" s="8">
        <f t="shared" ref="J20:J21" si="49">ABS((3*$D$2*2/(8*PI()*$G3*$F$2))*2*4*E$8/$F$2^2)</f>
        <v>27.777777777777789</v>
      </c>
      <c r="K20" s="8">
        <f t="shared" ref="K20:K21" si="50">ABS((3*$D$2*2/(8*PI()*$G3*$F$2))*2*4*F$8/$F$2^2)</f>
        <v>37.037037037037052</v>
      </c>
      <c r="L20" s="8">
        <f t="shared" ref="L20:L21" si="51">ABS((3*$D$2*2/(8*PI()*$G3*$F$2))*2*4*G$8/$F$2^2)</f>
        <v>46.296296296296319</v>
      </c>
      <c r="M20" s="8">
        <f t="shared" ref="M20:M21" si="52">ABS((3*$D$2*2/(8*PI()*$G3*$F$2))*2*4*H$8/$F$2^2)</f>
        <v>55.555555555555571</v>
      </c>
      <c r="N20" s="8">
        <f t="shared" ref="N20:N21" si="53">ABS((3*$D$2*2/(8*PI()*$G3*$F$2))*2*4*I$8/$F$2^2)</f>
        <v>64.814814814814838</v>
      </c>
      <c r="O20" s="8">
        <f t="shared" ref="O20:O21" si="54">ABS((3*$D$2*2/(8*PI()*$G3*$F$2))*2*4*J$8/$F$2^2)</f>
        <v>74.074074074074105</v>
      </c>
      <c r="P20" s="8">
        <f t="shared" ref="P20:P21" si="55">ABS((3*$D$2*2/(8*PI()*$G3*$F$2))*2*4*K$8/$F$2^2)</f>
        <v>83.333333333333357</v>
      </c>
      <c r="Q20" s="8">
        <f t="shared" ref="Q20:Q21" si="56">ABS((3*$D$2*2/(8*PI()*$G3*$F$2))*2*4*L$8/$F$2^2)</f>
        <v>92.592592592592638</v>
      </c>
      <c r="R20" s="8">
        <f t="shared" ref="R20:R21" si="57">ABS((3*$D$2*2/(8*PI()*$G3*$F$2))*2*4*M$8/$F$2^2)</f>
        <v>101.85185185185189</v>
      </c>
      <c r="S20" s="8">
        <f t="shared" ref="S20:S21" si="58">ABS((3*$D$2*2/(8*PI()*$G3*$F$2))*2*4*N$8/$F$2^2)</f>
        <v>111.11111111111114</v>
      </c>
      <c r="T20" s="8">
        <f t="shared" ref="T20:T21" si="59">ABS((3*$D$2*2/(8*PI()*$G3*$F$2))*2*4*O$8/$F$2^2)</f>
        <v>120.37037037037041</v>
      </c>
      <c r="U20" s="8">
        <f t="shared" ref="U20:U21" si="60">ABS((3*$D$2*2/(8*PI()*$G3*$F$2))*2*4*P$8/$F$2^2)</f>
        <v>129.62962962962968</v>
      </c>
      <c r="V20" s="8">
        <f t="shared" ref="V20" si="61">ABS((3*$D$2*2/(8*PI()*$G3*$F$2))*2*4*Q$8/$F$2^2)</f>
        <v>138.88888888888894</v>
      </c>
      <c r="W20" s="8"/>
    </row>
    <row r="21" spans="2:73" x14ac:dyDescent="0.25">
      <c r="D21" s="8"/>
      <c r="G21" s="8">
        <f t="shared" si="47"/>
        <v>0</v>
      </c>
      <c r="H21" s="8">
        <f t="shared" si="48"/>
        <v>5.9523809523809534</v>
      </c>
      <c r="I21" s="8">
        <f t="shared" ref="I21" si="62">ABS((3*$D$2*2/(8*PI()*$G4*$F$2))*2*4*D$8/$F$2^2)</f>
        <v>11.904761904761907</v>
      </c>
      <c r="J21" s="8">
        <f t="shared" si="49"/>
        <v>17.857142857142861</v>
      </c>
      <c r="K21" s="8">
        <f t="shared" si="50"/>
        <v>23.809523809523814</v>
      </c>
      <c r="L21" s="8">
        <f t="shared" si="51"/>
        <v>29.761904761904766</v>
      </c>
      <c r="M21" s="8">
        <f t="shared" si="52"/>
        <v>35.714285714285722</v>
      </c>
      <c r="N21" s="8">
        <f t="shared" si="53"/>
        <v>41.666666666666671</v>
      </c>
      <c r="O21" s="8">
        <f t="shared" si="54"/>
        <v>47.619047619047628</v>
      </c>
      <c r="P21" s="8">
        <f t="shared" si="55"/>
        <v>53.571428571428577</v>
      </c>
      <c r="Q21" s="8">
        <f t="shared" si="56"/>
        <v>59.523809523809533</v>
      </c>
      <c r="R21" s="8">
        <f t="shared" si="57"/>
        <v>65.476190476190482</v>
      </c>
      <c r="S21" s="8">
        <f t="shared" si="58"/>
        <v>71.428571428571445</v>
      </c>
      <c r="T21" s="8">
        <f t="shared" si="59"/>
        <v>77.380952380952394</v>
      </c>
      <c r="U21" s="8">
        <f t="shared" si="60"/>
        <v>83.333333333333343</v>
      </c>
      <c r="V21" s="8">
        <f>ABS((3*$D$2*2/(8*PI()*$G4*$F$2))*2*4*Q$8/$F$2^2)</f>
        <v>89.285714285714306</v>
      </c>
      <c r="W21" s="8"/>
    </row>
    <row r="22" spans="2:73" x14ac:dyDescent="0.25">
      <c r="D22" s="8"/>
    </row>
    <row r="23" spans="2:73" x14ac:dyDescent="0.25">
      <c r="D23" s="8"/>
    </row>
    <row r="24" spans="2:73" x14ac:dyDescent="0.25">
      <c r="D24" s="8"/>
      <c r="G24" s="10" t="s">
        <v>135</v>
      </c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2:73" x14ac:dyDescent="0.25">
      <c r="D25" s="8"/>
      <c r="G25" s="10" t="s">
        <v>143</v>
      </c>
      <c r="H25" s="1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2:73" x14ac:dyDescent="0.25">
      <c r="G26" s="10" t="s">
        <v>140</v>
      </c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H26" t="s">
        <v>146</v>
      </c>
      <c r="BI26" t="s">
        <v>161</v>
      </c>
      <c r="BJ26" t="s">
        <v>160</v>
      </c>
      <c r="BK26" t="s">
        <v>106</v>
      </c>
      <c r="BL26" t="s">
        <v>162</v>
      </c>
      <c r="BM26" t="s">
        <v>72</v>
      </c>
    </row>
    <row r="27" spans="2:73" x14ac:dyDescent="0.25">
      <c r="G27" s="8">
        <f>ABS(SQRT(2)*(3*$D$2*2/(8*PI()*$F$3*$G2^2))*(1-B$8^2/($F$3/2)^2))</f>
        <v>1.6572815184059708</v>
      </c>
      <c r="H27" s="8">
        <f t="shared" ref="H27:AF27" si="63">ABS(SQRT(2)*(3*$D$2*2/(8*PI()*$F$3*$G2^2))*(1-C$8^2/($F$3/2)^2))</f>
        <v>1.6546298679765212</v>
      </c>
      <c r="I27" s="8">
        <f t="shared" si="63"/>
        <v>1.6466749166881727</v>
      </c>
      <c r="J27" s="8">
        <f t="shared" si="63"/>
        <v>1.6334166645409249</v>
      </c>
      <c r="K27" s="8">
        <f t="shared" si="63"/>
        <v>1.614855111534778</v>
      </c>
      <c r="L27" s="8">
        <f t="shared" si="63"/>
        <v>1.5909902576697319</v>
      </c>
      <c r="M27" s="8">
        <f t="shared" si="63"/>
        <v>1.5618221029457868</v>
      </c>
      <c r="N27" s="8">
        <f t="shared" si="63"/>
        <v>1.5273506473629426</v>
      </c>
      <c r="O27" s="8">
        <f t="shared" si="63"/>
        <v>1.4875758909211994</v>
      </c>
      <c r="P27" s="8">
        <f t="shared" si="63"/>
        <v>1.4424978336205569</v>
      </c>
      <c r="Q27" s="8">
        <f>ABS(SQRT(2)*(3*$D$2*2/(8*PI()*$F$3*$G2^2))*(1-L$8^2/($F$3/2)^2))</f>
        <v>1.3921164754610154</v>
      </c>
      <c r="R27" s="8">
        <f t="shared" si="63"/>
        <v>1.3364318164425748</v>
      </c>
      <c r="S27" s="8">
        <f t="shared" si="63"/>
        <v>1.2754438565652351</v>
      </c>
      <c r="T27" s="8">
        <f t="shared" si="63"/>
        <v>1.2091525958289964</v>
      </c>
      <c r="U27" s="8">
        <f t="shared" si="63"/>
        <v>1.1375580342338583</v>
      </c>
      <c r="V27" s="8">
        <f t="shared" si="63"/>
        <v>1.0606601717798212</v>
      </c>
      <c r="W27" s="8">
        <f t="shared" si="63"/>
        <v>0.97845900846688505</v>
      </c>
      <c r="X27" s="8">
        <f t="shared" si="63"/>
        <v>0.89095454429504972</v>
      </c>
      <c r="Y27" s="8">
        <f t="shared" si="63"/>
        <v>0.79814677926431543</v>
      </c>
      <c r="Z27" s="8">
        <f t="shared" si="63"/>
        <v>0.70003571337468184</v>
      </c>
      <c r="AA27" s="8">
        <f t="shared" si="63"/>
        <v>0.59662134662614952</v>
      </c>
      <c r="AB27" s="8">
        <f t="shared" si="63"/>
        <v>0.48790367901871762</v>
      </c>
      <c r="AC27" s="8">
        <f t="shared" si="63"/>
        <v>0.37388271055238687</v>
      </c>
      <c r="AD27" s="8">
        <f t="shared" si="63"/>
        <v>0.25455844122715687</v>
      </c>
      <c r="AE27" s="8">
        <f t="shared" si="63"/>
        <v>0.12993087104302797</v>
      </c>
      <c r="AF27" s="8">
        <f t="shared" si="63"/>
        <v>0</v>
      </c>
      <c r="AG27" s="8"/>
      <c r="AH27" s="8">
        <f>G32/G27</f>
        <v>0</v>
      </c>
      <c r="AI27" s="8">
        <f t="shared" ref="AI27:BG27" si="64">H32/H27</f>
        <v>2.719641466102106</v>
      </c>
      <c r="AJ27" s="8">
        <f t="shared" si="64"/>
        <v>5.4655596613452948</v>
      </c>
      <c r="AK27" s="8">
        <f t="shared" si="64"/>
        <v>8.2648844554271808</v>
      </c>
      <c r="AL27" s="8">
        <f t="shared" si="64"/>
        <v>11.146510836438187</v>
      </c>
      <c r="AM27" s="8">
        <f t="shared" si="64"/>
        <v>14.142135623730953</v>
      </c>
      <c r="AN27" s="8">
        <f t="shared" si="64"/>
        <v>17.287500253117631</v>
      </c>
      <c r="AO27" s="8">
        <f t="shared" si="64"/>
        <v>20.62394778460764</v>
      </c>
      <c r="AP27" s="8">
        <f t="shared" si="64"/>
        <v>24.200445987133179</v>
      </c>
      <c r="AQ27" s="8">
        <f t="shared" si="64"/>
        <v>28.076298664759982</v>
      </c>
      <c r="AR27" s="8">
        <f>Q32/Q27</f>
        <v>32.324881425670753</v>
      </c>
      <c r="AS27" s="8">
        <f t="shared" si="64"/>
        <v>37.038926633581063</v>
      </c>
      <c r="AT27" s="8">
        <f t="shared" si="64"/>
        <v>42.338202283103058</v>
      </c>
      <c r="AU27" s="8">
        <f t="shared" si="64"/>
        <v>48.38099029171115</v>
      </c>
      <c r="AV27" s="8">
        <f t="shared" si="64"/>
        <v>55.381789855170169</v>
      </c>
      <c r="AW27" s="8">
        <f t="shared" si="64"/>
        <v>63.639610306789294</v>
      </c>
      <c r="AX27" s="8">
        <f t="shared" si="64"/>
        <v>73.585095928356168</v>
      </c>
      <c r="AY27" s="8">
        <f t="shared" si="64"/>
        <v>85.862966286937933</v>
      </c>
      <c r="AZ27" s="8">
        <f t="shared" si="64"/>
        <v>101.48509284803609</v>
      </c>
      <c r="BA27" s="8">
        <f t="shared" si="64"/>
        <v>122.13662584131281</v>
      </c>
      <c r="BB27" s="8">
        <f t="shared" si="64"/>
        <v>150.84944665313014</v>
      </c>
      <c r="BC27" s="8">
        <f t="shared" si="64"/>
        <v>193.68577049892397</v>
      </c>
      <c r="BD27" s="8">
        <f t="shared" si="64"/>
        <v>264.78892231666475</v>
      </c>
      <c r="BE27" s="8">
        <f t="shared" si="64"/>
        <v>406.58639918226527</v>
      </c>
      <c r="BF27" s="8">
        <f t="shared" si="64"/>
        <v>831.21123666010578</v>
      </c>
      <c r="BG27" s="8" t="e">
        <f t="shared" si="64"/>
        <v>#DIV/0!</v>
      </c>
      <c r="BH27" s="8"/>
      <c r="BI27" s="8">
        <f>0.0001</f>
        <v>1E-4</v>
      </c>
      <c r="BJ27" s="8">
        <f>BI27*2</f>
        <v>2.0000000000000001E-4</v>
      </c>
      <c r="BK27" s="8">
        <f>BJ27/(0.5*10^-3)</f>
        <v>0.4</v>
      </c>
      <c r="BL27" s="8">
        <f>'estimates new'!AU73</f>
        <v>0.35526315789473684</v>
      </c>
      <c r="BM27" s="8">
        <f>BL27-BK27</f>
        <v>-4.4736842105263186E-2</v>
      </c>
      <c r="BN27" s="8"/>
      <c r="BO27" s="8"/>
      <c r="BP27" s="8"/>
      <c r="BQ27" s="8"/>
      <c r="BR27" s="8"/>
      <c r="BS27" s="8"/>
      <c r="BT27" s="8"/>
      <c r="BU27" s="8"/>
    </row>
    <row r="28" spans="2:73" x14ac:dyDescent="0.25">
      <c r="G28" s="8">
        <f t="shared" ref="G28:G29" si="65">ABS(SQRT(2)*(3*$D$2*2/(8*PI()*$F$3*$G3^2))*(1-B$8^2/($F$3/2)^2))</f>
        <v>0.32736425054932755</v>
      </c>
      <c r="H28" s="8">
        <f t="shared" ref="H28:H29" si="66">ABS(SQRT(2)*(3*$D$2*2/(8*PI()*$F$3*$G3^2))*(1-C$8^2/($F$3/2)^2))</f>
        <v>0.3268404677484486</v>
      </c>
      <c r="I28" s="8">
        <f t="shared" ref="I28:I29" si="67">ABS(SQRT(2)*(3*$D$2*2/(8*PI()*$F$3*$G3^2))*(1-D$8^2/($F$3/2)^2))</f>
        <v>0.32526911934581187</v>
      </c>
      <c r="J28" s="8">
        <f t="shared" ref="J28:J29" si="68">ABS(SQRT(2)*(3*$D$2*2/(8*PI()*$F$3*$G3^2))*(1-E$8^2/($F$3/2)^2))</f>
        <v>0.32265020534141725</v>
      </c>
      <c r="K28" s="8">
        <f t="shared" ref="K28:K29" si="69">ABS(SQRT(2)*(3*$D$2*2/(8*PI()*$F$3*$G3^2))*(1-F$8^2/($F$3/2)^2))</f>
        <v>0.31898372573526479</v>
      </c>
      <c r="L28" s="8">
        <f t="shared" ref="L28:L29" si="70">ABS(SQRT(2)*(3*$D$2*2/(8*PI()*$F$3*$G3^2))*(1-G$8^2/($F$3/2)^2))</f>
        <v>0.31426968052735443</v>
      </c>
      <c r="M28" s="8">
        <f t="shared" ref="M28:M29" si="71">ABS(SQRT(2)*(3*$D$2*2/(8*PI()*$F$3*$G3^2))*(1-H$8^2/($F$3/2)^2))</f>
        <v>0.3085080697176863</v>
      </c>
      <c r="N28" s="8">
        <f t="shared" ref="N28:N29" si="72">ABS(SQRT(2)*(3*$D$2*2/(8*PI()*$F$3*$G3^2))*(1-I$8^2/($F$3/2)^2))</f>
        <v>0.30169889330626026</v>
      </c>
      <c r="O28" s="8">
        <f t="shared" ref="O28:O29" si="73">ABS(SQRT(2)*(3*$D$2*2/(8*PI()*$F$3*$G3^2))*(1-J$8^2/($F$3/2)^2))</f>
        <v>0.29384215129307639</v>
      </c>
      <c r="P28" s="8">
        <f t="shared" ref="P28:P29" si="74">ABS(SQRT(2)*(3*$D$2*2/(8*PI()*$F$3*$G3^2))*(1-K$8^2/($F$3/2)^2))</f>
        <v>0.28493784367813468</v>
      </c>
      <c r="Q28" s="8">
        <f t="shared" ref="Q28:Q29" si="75">ABS(SQRT(2)*(3*$D$2*2/(8*PI()*$F$3*$G3^2))*(1-L$8^2/($F$3/2)^2))</f>
        <v>0.27498597046143514</v>
      </c>
      <c r="R28" s="8">
        <f t="shared" ref="R28:R29" si="76">ABS(SQRT(2)*(3*$D$2*2/(8*PI()*$F$3*$G3^2))*(1-M$8^2/($F$3/2)^2))</f>
        <v>0.26398653164297775</v>
      </c>
      <c r="S28" s="8">
        <f t="shared" ref="S28:S29" si="77">ABS(SQRT(2)*(3*$D$2*2/(8*PI()*$F$3*$G3^2))*(1-N$8^2/($F$3/2)^2))</f>
        <v>0.25193952722276247</v>
      </c>
      <c r="T28" s="8">
        <f t="shared" ref="T28:T29" si="78">ABS(SQRT(2)*(3*$D$2*2/(8*PI()*$F$3*$G3^2))*(1-O$8^2/($F$3/2)^2))</f>
        <v>0.23884495720078938</v>
      </c>
      <c r="U28" s="8">
        <f t="shared" ref="U28:U29" si="79">ABS(SQRT(2)*(3*$D$2*2/(8*PI()*$F$3*$G3^2))*(1-P$8^2/($F$3/2)^2))</f>
        <v>0.2247028215770584</v>
      </c>
      <c r="V28" s="8">
        <f t="shared" ref="V28:V29" si="80">ABS(SQRT(2)*(3*$D$2*2/(8*PI()*$F$3*$G3^2))*(1-Q$8^2/($F$3/2)^2))</f>
        <v>0.2095131203515696</v>
      </c>
      <c r="W28" s="8">
        <f t="shared" ref="W28:W29" si="81">ABS(SQRT(2)*(3*$D$2*2/(8*PI()*$F$3*$G3^2))*(1-R$8^2/($F$3/2)^2))</f>
        <v>0.19327585352432297</v>
      </c>
      <c r="X28" s="8">
        <f t="shared" ref="X28:X29" si="82">ABS(SQRT(2)*(3*$D$2*2/(8*PI()*$F$3*$G3^2))*(1-S$8^2/($F$3/2)^2))</f>
        <v>0.17599102109531845</v>
      </c>
      <c r="Y28" s="8">
        <f t="shared" ref="Y28:Y29" si="83">ABS(SQRT(2)*(3*$D$2*2/(8*PI()*$F$3*$G3^2))*(1-T$8^2/($F$3/2)^2))</f>
        <v>0.15765862306455611</v>
      </c>
      <c r="Z28" s="8">
        <f t="shared" ref="Z28:Z29" si="84">ABS(SQRT(2)*(3*$D$2*2/(8*PI()*$F$3*$G3^2))*(1-U$8^2/($F$3/2)^2))</f>
        <v>0.13827865943203593</v>
      </c>
      <c r="AA28" s="8">
        <f t="shared" ref="AA28:AA29" si="85">ABS(SQRT(2)*(3*$D$2*2/(8*PI()*$F$3*$G3^2))*(1-V$8^2/($F$3/2)^2))</f>
        <v>0.11785113019775792</v>
      </c>
      <c r="AB28" s="8">
        <f t="shared" ref="AB28:AB29" si="86">ABS(SQRT(2)*(3*$D$2*2/(8*PI()*$F$3*$G3^2))*(1-W$8^2/($F$3/2)^2))</f>
        <v>9.6376035361721998E-2</v>
      </c>
      <c r="AC28" s="8">
        <f t="shared" ref="AC28:AC29" si="87">ABS(SQRT(2)*(3*$D$2*2/(8*PI()*$F$3*$G3^2))*(1-X$8^2/($F$3/2)^2))</f>
        <v>7.3853374923928267E-2</v>
      </c>
      <c r="AD28" s="8">
        <f t="shared" ref="AD28:AD29" si="88">ABS(SQRT(2)*(3*$D$2*2/(8*PI()*$F$3*$G3^2))*(1-Y$8^2/($F$3/2)^2))</f>
        <v>5.0283148884376662E-2</v>
      </c>
      <c r="AE28" s="8">
        <f t="shared" ref="AE28:AE29" si="89">ABS(SQRT(2)*(3*$D$2*2/(8*PI()*$F$3*$G3^2))*(1-Z$8^2/($F$3/2)^2))</f>
        <v>2.5665357243067254E-2</v>
      </c>
      <c r="AF28" s="8">
        <f t="shared" ref="AF28:AF29" si="90">ABS(SQRT(2)*(3*$D$2*2/(8*PI()*$F$3*$G3^2))*(1-AA$8^2/($F$3/2)^2))</f>
        <v>0</v>
      </c>
      <c r="AG28" s="8"/>
      <c r="AH28" s="8">
        <f t="shared" ref="AH28:AH29" si="91">G33/G28</f>
        <v>0</v>
      </c>
      <c r="AI28" s="8">
        <f t="shared" ref="AI28:AI29" si="92">H33/H28</f>
        <v>6.1191932987297388</v>
      </c>
      <c r="AJ28" s="8">
        <f t="shared" ref="AJ28:AJ29" si="93">I33/I28</f>
        <v>12.297509238026914</v>
      </c>
      <c r="AK28" s="8">
        <f t="shared" ref="AK28:AK29" si="94">J33/J28</f>
        <v>18.595990024711153</v>
      </c>
      <c r="AL28" s="8">
        <f t="shared" ref="AL28:AL29" si="95">K33/K28</f>
        <v>25.07964938198592</v>
      </c>
      <c r="AM28" s="8">
        <f t="shared" ref="AM28:AM29" si="96">L33/L28</f>
        <v>31.81980515339464</v>
      </c>
      <c r="AN28" s="8">
        <f t="shared" ref="AN28:AN29" si="97">M33/M28</f>
        <v>38.89687556951467</v>
      </c>
      <c r="AO28" s="8">
        <f t="shared" ref="AO28:AO29" si="98">N33/N28</f>
        <v>46.403882515367187</v>
      </c>
      <c r="AP28" s="8">
        <f t="shared" ref="AP28:AP29" si="99">O33/O28</f>
        <v>54.451003471049653</v>
      </c>
      <c r="AQ28" s="8">
        <f t="shared" ref="AQ28:AQ29" si="100">P33/P28</f>
        <v>63.17167199570995</v>
      </c>
      <c r="AR28" s="8">
        <f t="shared" ref="AR28:AR29" si="101">Q33/Q28</f>
        <v>72.730983207759181</v>
      </c>
      <c r="AS28" s="8">
        <f t="shared" ref="AS28:AS29" si="102">R33/R28</f>
        <v>83.33758492555738</v>
      </c>
      <c r="AT28" s="8">
        <f t="shared" ref="AT28:AT29" si="103">S33/S28</f>
        <v>95.260955136981877</v>
      </c>
      <c r="AU28" s="8">
        <f t="shared" ref="AU28:AU29" si="104">T33/T28</f>
        <v>108.85722815635009</v>
      </c>
      <c r="AV28" s="8">
        <f t="shared" ref="AV28:AV29" si="105">U33/U28</f>
        <v>124.60902717413288</v>
      </c>
      <c r="AW28" s="8">
        <f t="shared" ref="AW28:AW29" si="106">V33/V28</f>
        <v>143.18912319027592</v>
      </c>
      <c r="AX28" s="8">
        <f t="shared" ref="AX28:AX29" si="107">W33/W28</f>
        <v>165.56646583880138</v>
      </c>
      <c r="AY28" s="8">
        <f t="shared" ref="AY28:AY29" si="108">X33/X28</f>
        <v>193.19167414561036</v>
      </c>
      <c r="AZ28" s="8">
        <f t="shared" ref="AZ28:AZ29" si="109">Y33/Y28</f>
        <v>228.34145890808119</v>
      </c>
      <c r="BA28" s="8">
        <f t="shared" ref="BA28:BA29" si="110">Z33/Z28</f>
        <v>274.80740814295382</v>
      </c>
      <c r="BB28" s="8">
        <f t="shared" ref="BB28:BB29" si="111">AA33/AA28</f>
        <v>339.41125496954282</v>
      </c>
      <c r="BC28" s="8">
        <f t="shared" ref="BC28:BC29" si="112">AB33/AB28</f>
        <v>435.7929836225789</v>
      </c>
      <c r="BD28" s="8">
        <f t="shared" ref="BD28:BD29" si="113">AC33/AC28</f>
        <v>595.77507521249561</v>
      </c>
      <c r="BE28" s="8">
        <f t="shared" ref="BE28:BE29" si="114">AD33/AD28</f>
        <v>914.81939816009674</v>
      </c>
      <c r="BF28" s="8">
        <f t="shared" ref="BF28:BF29" si="115">AE33/AE28</f>
        <v>1870.2252824852378</v>
      </c>
      <c r="BG28" s="8" t="e">
        <f t="shared" ref="BG28:BG29" si="116">AF33/AF28</f>
        <v>#DIV/0!</v>
      </c>
      <c r="BI28">
        <v>5.0000000000000002E-5</v>
      </c>
      <c r="BJ28" s="8">
        <f t="shared" ref="BJ28:BJ29" si="117">BI28*2</f>
        <v>1E-4</v>
      </c>
      <c r="BK28" s="8">
        <f t="shared" ref="BK28:BK29" si="118">BJ28/(0.5*10^-3)</f>
        <v>0.2</v>
      </c>
      <c r="BL28" s="8">
        <f>'estimates new'!AU74</f>
        <v>0.30303030303030304</v>
      </c>
      <c r="BM28" s="8">
        <f t="shared" ref="BM28:BM29" si="119">BL28-BK28</f>
        <v>0.10303030303030303</v>
      </c>
    </row>
    <row r="29" spans="2:73" x14ac:dyDescent="0.25">
      <c r="G29" s="8">
        <f t="shared" si="65"/>
        <v>0.13528828721681393</v>
      </c>
      <c r="H29" s="8">
        <f t="shared" si="66"/>
        <v>0.13507182595726702</v>
      </c>
      <c r="I29" s="8">
        <f t="shared" si="67"/>
        <v>0.13442244217862634</v>
      </c>
      <c r="J29" s="8">
        <f t="shared" si="68"/>
        <v>0.13334013588089183</v>
      </c>
      <c r="K29" s="8">
        <f t="shared" si="69"/>
        <v>0.1318249070640635</v>
      </c>
      <c r="L29" s="8">
        <f t="shared" si="70"/>
        <v>0.12987675572814136</v>
      </c>
      <c r="M29" s="8">
        <f t="shared" si="71"/>
        <v>0.12749568187312546</v>
      </c>
      <c r="N29" s="8">
        <f t="shared" si="72"/>
        <v>0.12468168549901572</v>
      </c>
      <c r="O29" s="8">
        <f t="shared" si="73"/>
        <v>0.12143476660581218</v>
      </c>
      <c r="P29" s="8">
        <f t="shared" si="74"/>
        <v>0.11775492519351484</v>
      </c>
      <c r="Q29" s="8">
        <f t="shared" si="75"/>
        <v>0.1136421612621237</v>
      </c>
      <c r="R29" s="8">
        <f t="shared" si="76"/>
        <v>0.10909647481163876</v>
      </c>
      <c r="S29" s="8">
        <f t="shared" si="77"/>
        <v>0.10411786584206</v>
      </c>
      <c r="T29" s="8">
        <f t="shared" si="78"/>
        <v>9.8706334353387451E-2</v>
      </c>
      <c r="U29" s="8">
        <f t="shared" si="79"/>
        <v>9.2861880345621067E-2</v>
      </c>
      <c r="V29" s="8">
        <f t="shared" si="80"/>
        <v>8.65845038187609E-2</v>
      </c>
      <c r="W29" s="8">
        <f t="shared" si="81"/>
        <v>7.9874204772806934E-2</v>
      </c>
      <c r="X29" s="8">
        <f t="shared" si="82"/>
        <v>7.2730983207759156E-2</v>
      </c>
      <c r="Y29" s="8">
        <f t="shared" si="83"/>
        <v>6.5154839123617581E-2</v>
      </c>
      <c r="Z29" s="8">
        <f t="shared" si="84"/>
        <v>5.7145772520382193E-2</v>
      </c>
      <c r="AA29" s="8">
        <f t="shared" si="85"/>
        <v>4.8703783398053015E-2</v>
      </c>
      <c r="AB29" s="8">
        <f t="shared" si="86"/>
        <v>3.9828871756630004E-2</v>
      </c>
      <c r="AC29" s="8">
        <f t="shared" si="87"/>
        <v>3.0521037596113212E-2</v>
      </c>
      <c r="AD29" s="8">
        <f t="shared" si="88"/>
        <v>2.0780280916502601E-2</v>
      </c>
      <c r="AE29" s="8">
        <f t="shared" si="89"/>
        <v>1.0606601717798201E-2</v>
      </c>
      <c r="AF29" s="8">
        <f t="shared" si="90"/>
        <v>0</v>
      </c>
      <c r="AG29" s="8"/>
      <c r="AH29" s="8">
        <f t="shared" si="91"/>
        <v>0</v>
      </c>
      <c r="AI29" s="8">
        <f t="shared" si="92"/>
        <v>9.5187451313573703</v>
      </c>
      <c r="AJ29" s="8">
        <f t="shared" si="93"/>
        <v>19.129458814708528</v>
      </c>
      <c r="AK29" s="8">
        <f t="shared" si="94"/>
        <v>28.927095593995123</v>
      </c>
      <c r="AL29" s="8">
        <f t="shared" si="95"/>
        <v>39.012787927533658</v>
      </c>
      <c r="AM29" s="8">
        <f t="shared" si="96"/>
        <v>49.497474683058336</v>
      </c>
      <c r="AN29" s="8">
        <f t="shared" si="97"/>
        <v>60.506250885911705</v>
      </c>
      <c r="AO29" s="8">
        <f t="shared" si="98"/>
        <v>72.183817246126736</v>
      </c>
      <c r="AP29" s="8">
        <f t="shared" si="99"/>
        <v>84.701560954966126</v>
      </c>
      <c r="AQ29" s="8">
        <f t="shared" si="100"/>
        <v>98.267045326659925</v>
      </c>
      <c r="AR29" s="8">
        <f t="shared" si="101"/>
        <v>113.13708498984761</v>
      </c>
      <c r="AS29" s="8">
        <f t="shared" si="102"/>
        <v>129.63624321753372</v>
      </c>
      <c r="AT29" s="8">
        <f t="shared" si="103"/>
        <v>148.18370799086071</v>
      </c>
      <c r="AU29" s="8">
        <f t="shared" si="104"/>
        <v>169.33346602098902</v>
      </c>
      <c r="AV29" s="8">
        <f t="shared" si="105"/>
        <v>193.8362644930956</v>
      </c>
      <c r="AW29" s="8">
        <f t="shared" si="106"/>
        <v>222.73863607376251</v>
      </c>
      <c r="AX29" s="8">
        <f t="shared" si="107"/>
        <v>257.54783574924659</v>
      </c>
      <c r="AY29" s="8">
        <f t="shared" si="108"/>
        <v>300.52038200428279</v>
      </c>
      <c r="AZ29" s="8">
        <f t="shared" si="109"/>
        <v>355.19782496812627</v>
      </c>
      <c r="BA29" s="8">
        <f t="shared" si="110"/>
        <v>427.4781904445947</v>
      </c>
      <c r="BB29" s="8">
        <f t="shared" si="111"/>
        <v>527.9730632859555</v>
      </c>
      <c r="BC29" s="8">
        <f t="shared" si="112"/>
        <v>677.90019674623397</v>
      </c>
      <c r="BD29" s="8">
        <f t="shared" si="113"/>
        <v>926.76122810832646</v>
      </c>
      <c r="BE29" s="8">
        <f t="shared" si="114"/>
        <v>1423.0523971379282</v>
      </c>
      <c r="BF29" s="8">
        <f t="shared" si="115"/>
        <v>2909.2393283103702</v>
      </c>
      <c r="BG29" s="8" t="e">
        <f t="shared" si="116"/>
        <v>#DIV/0!</v>
      </c>
      <c r="BI29">
        <f>0.00003</f>
        <v>3.0000000000000001E-5</v>
      </c>
      <c r="BJ29" s="8">
        <f t="shared" si="117"/>
        <v>6.0000000000000002E-5</v>
      </c>
      <c r="BK29" s="8">
        <f t="shared" si="118"/>
        <v>0.12</v>
      </c>
      <c r="BL29" s="8">
        <f>'estimates new'!AU75</f>
        <v>4.2253521126760563E-2</v>
      </c>
      <c r="BM29" s="8">
        <f t="shared" si="119"/>
        <v>-7.7746478873239433E-2</v>
      </c>
    </row>
    <row r="30" spans="2:73" x14ac:dyDescent="0.25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spans="2:73" x14ac:dyDescent="0.25">
      <c r="G31" s="10" t="s">
        <v>139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2:73" x14ac:dyDescent="0.25">
      <c r="G32" s="8">
        <f>ABS((3*$D$2*2/(4*PI()*$G2*$F$3))*4*B$8/$F$3^2)</f>
        <v>0</v>
      </c>
      <c r="H32" s="8">
        <f t="shared" ref="H32:AF32" si="120">ABS((3*$D$2*2/(4*PI()*$G2*$F$3))*4*C$8/$F$3^2)</f>
        <v>4.5</v>
      </c>
      <c r="I32" s="8">
        <f t="shared" si="120"/>
        <v>9</v>
      </c>
      <c r="J32" s="8">
        <f t="shared" si="120"/>
        <v>13.500000000000004</v>
      </c>
      <c r="K32" s="8">
        <f t="shared" si="120"/>
        <v>18</v>
      </c>
      <c r="L32" s="8">
        <f t="shared" si="120"/>
        <v>22.500000000000004</v>
      </c>
      <c r="M32" s="8">
        <f t="shared" si="120"/>
        <v>27.000000000000004</v>
      </c>
      <c r="N32" s="8">
        <f t="shared" si="120"/>
        <v>31.500000000000007</v>
      </c>
      <c r="O32" s="8">
        <f t="shared" si="120"/>
        <v>36</v>
      </c>
      <c r="P32" s="8">
        <f t="shared" si="120"/>
        <v>40.500000000000007</v>
      </c>
      <c r="Q32" s="8">
        <f t="shared" si="120"/>
        <v>45.000000000000007</v>
      </c>
      <c r="R32" s="8">
        <f t="shared" si="120"/>
        <v>49.500000000000007</v>
      </c>
      <c r="S32" s="8">
        <f t="shared" si="120"/>
        <v>54.000000000000007</v>
      </c>
      <c r="T32" s="8">
        <f t="shared" si="120"/>
        <v>58.500000000000007</v>
      </c>
      <c r="U32" s="8">
        <f t="shared" si="120"/>
        <v>63.000000000000014</v>
      </c>
      <c r="V32" s="8">
        <f t="shared" si="120"/>
        <v>67.500000000000014</v>
      </c>
      <c r="W32" s="8">
        <f t="shared" si="120"/>
        <v>72</v>
      </c>
      <c r="X32" s="8">
        <f t="shared" si="120"/>
        <v>76.5</v>
      </c>
      <c r="Y32" s="8">
        <f t="shared" si="120"/>
        <v>81.000000000000014</v>
      </c>
      <c r="Z32" s="8">
        <f t="shared" si="120"/>
        <v>85.500000000000014</v>
      </c>
      <c r="AA32" s="8">
        <f t="shared" si="120"/>
        <v>90.000000000000014</v>
      </c>
      <c r="AB32" s="8">
        <f t="shared" si="120"/>
        <v>94.500000000000014</v>
      </c>
      <c r="AC32" s="8">
        <f t="shared" si="120"/>
        <v>99.000000000000014</v>
      </c>
      <c r="AD32" s="8">
        <f t="shared" si="120"/>
        <v>103.50000000000001</v>
      </c>
      <c r="AE32" s="8">
        <f t="shared" si="120"/>
        <v>108.00000000000001</v>
      </c>
      <c r="AF32" s="8">
        <f t="shared" si="120"/>
        <v>112.50000000000001</v>
      </c>
    </row>
    <row r="33" spans="7:127" x14ac:dyDescent="0.25">
      <c r="G33" s="8">
        <f t="shared" ref="G33:G34" si="121">ABS((3*$D$2*2/(4*PI()*$G3*$F$3))*4*B$8/$F$3^2)</f>
        <v>0</v>
      </c>
      <c r="H33" s="8">
        <f t="shared" ref="H33:H34" si="122">ABS((3*$D$2*2/(4*PI()*$G3*$F$3))*4*C$8/$F$3^2)</f>
        <v>2</v>
      </c>
      <c r="I33" s="8">
        <f t="shared" ref="I33:I34" si="123">ABS((3*$D$2*2/(4*PI()*$G3*$F$3))*4*D$8/$F$3^2)</f>
        <v>4</v>
      </c>
      <c r="J33" s="8">
        <f t="shared" ref="J33:J34" si="124">ABS((3*$D$2*2/(4*PI()*$G3*$F$3))*4*E$8/$F$3^2)</f>
        <v>6</v>
      </c>
      <c r="K33" s="8">
        <f t="shared" ref="K33:K34" si="125">ABS((3*$D$2*2/(4*PI()*$G3*$F$3))*4*F$8/$F$3^2)</f>
        <v>8</v>
      </c>
      <c r="L33" s="8">
        <f t="shared" ref="L33:L34" si="126">ABS((3*$D$2*2/(4*PI()*$G3*$F$3))*4*G$8/$F$3^2)</f>
        <v>10</v>
      </c>
      <c r="M33" s="8">
        <f t="shared" ref="M33:M34" si="127">ABS((3*$D$2*2/(4*PI()*$G3*$F$3))*4*H$8/$F$3^2)</f>
        <v>12</v>
      </c>
      <c r="N33" s="8">
        <f t="shared" ref="N33:N34" si="128">ABS((3*$D$2*2/(4*PI()*$G3*$F$3))*4*I$8/$F$3^2)</f>
        <v>14</v>
      </c>
      <c r="O33" s="8">
        <f t="shared" ref="O33:O34" si="129">ABS((3*$D$2*2/(4*PI()*$G3*$F$3))*4*J$8/$F$3^2)</f>
        <v>16</v>
      </c>
      <c r="P33" s="8">
        <f t="shared" ref="P33:P34" si="130">ABS((3*$D$2*2/(4*PI()*$G3*$F$3))*4*K$8/$F$3^2)</f>
        <v>18</v>
      </c>
      <c r="Q33" s="8">
        <f t="shared" ref="Q33:Q34" si="131">ABS((3*$D$2*2/(4*PI()*$G3*$F$3))*4*L$8/$F$3^2)</f>
        <v>20</v>
      </c>
      <c r="R33" s="8">
        <f t="shared" ref="R33:R34" si="132">ABS((3*$D$2*2/(4*PI()*$G3*$F$3))*4*M$8/$F$3^2)</f>
        <v>22</v>
      </c>
      <c r="S33" s="8">
        <f t="shared" ref="S33:S34" si="133">ABS((3*$D$2*2/(4*PI()*$G3*$F$3))*4*N$8/$F$3^2)</f>
        <v>24</v>
      </c>
      <c r="T33" s="8">
        <f t="shared" ref="T33:T34" si="134">ABS((3*$D$2*2/(4*PI()*$G3*$F$3))*4*O$8/$F$3^2)</f>
        <v>26.000000000000004</v>
      </c>
      <c r="U33" s="8">
        <f t="shared" ref="U33:U34" si="135">ABS((3*$D$2*2/(4*PI()*$G3*$F$3))*4*P$8/$F$3^2)</f>
        <v>28</v>
      </c>
      <c r="V33" s="8">
        <f t="shared" ref="V33:V34" si="136">ABS((3*$D$2*2/(4*PI()*$G3*$F$3))*4*Q$8/$F$3^2)</f>
        <v>30.000000000000004</v>
      </c>
      <c r="W33" s="8">
        <f t="shared" ref="W33:W34" si="137">ABS((3*$D$2*2/(4*PI()*$G3*$F$3))*4*R$8/$F$3^2)</f>
        <v>32</v>
      </c>
      <c r="X33" s="8">
        <f t="shared" ref="X33:X34" si="138">ABS((3*$D$2*2/(4*PI()*$G3*$F$3))*4*S$8/$F$3^2)</f>
        <v>34</v>
      </c>
      <c r="Y33" s="8">
        <f t="shared" ref="Y33:Y34" si="139">ABS((3*$D$2*2/(4*PI()*$G3*$F$3))*4*T$8/$F$3^2)</f>
        <v>36</v>
      </c>
      <c r="Z33" s="8">
        <f t="shared" ref="Z33:Z34" si="140">ABS((3*$D$2*2/(4*PI()*$G3*$F$3))*4*U$8/$F$3^2)</f>
        <v>38.000000000000007</v>
      </c>
      <c r="AA33" s="8">
        <f t="shared" ref="AA33:AA34" si="141">ABS((3*$D$2*2/(4*PI()*$G3*$F$3))*4*V$8/$F$3^2)</f>
        <v>40</v>
      </c>
      <c r="AB33" s="8">
        <f t="shared" ref="AB33:AB34" si="142">ABS((3*$D$2*2/(4*PI()*$G3*$F$3))*4*W$8/$F$3^2)</f>
        <v>42</v>
      </c>
      <c r="AC33" s="8">
        <f t="shared" ref="AC33:AC34" si="143">ABS((3*$D$2*2/(4*PI()*$G3*$F$3))*4*X$8/$F$3^2)</f>
        <v>44</v>
      </c>
      <c r="AD33" s="8">
        <f t="shared" ref="AD33:AD34" si="144">ABS((3*$D$2*2/(4*PI()*$G3*$F$3))*4*Y$8/$F$3^2)</f>
        <v>46</v>
      </c>
      <c r="AE33" s="8">
        <f t="shared" ref="AE33:AE34" si="145">ABS((3*$D$2*2/(4*PI()*$G3*$F$3))*4*Z$8/$F$3^2)</f>
        <v>48</v>
      </c>
      <c r="AF33" s="8">
        <f t="shared" ref="AF33:AF34" si="146">ABS((3*$D$2*2/(4*PI()*$G3*$F$3))*4*AA$8/$F$3^2)</f>
        <v>50</v>
      </c>
    </row>
    <row r="34" spans="7:127" x14ac:dyDescent="0.25">
      <c r="G34" s="8">
        <f t="shared" si="121"/>
        <v>0</v>
      </c>
      <c r="H34" s="8">
        <f t="shared" si="122"/>
        <v>1.2857142857142856</v>
      </c>
      <c r="I34" s="8">
        <f t="shared" si="123"/>
        <v>2.5714285714285712</v>
      </c>
      <c r="J34" s="8">
        <f t="shared" si="124"/>
        <v>3.8571428571428572</v>
      </c>
      <c r="K34" s="8">
        <f t="shared" si="125"/>
        <v>5.1428571428571423</v>
      </c>
      <c r="L34" s="8">
        <f t="shared" si="126"/>
        <v>6.4285714285714288</v>
      </c>
      <c r="M34" s="8">
        <f t="shared" si="127"/>
        <v>7.7142857142857144</v>
      </c>
      <c r="N34" s="8">
        <f t="shared" si="128"/>
        <v>9</v>
      </c>
      <c r="O34" s="8">
        <f t="shared" si="129"/>
        <v>10.285714285714285</v>
      </c>
      <c r="P34" s="8">
        <f t="shared" si="130"/>
        <v>11.571428571428571</v>
      </c>
      <c r="Q34" s="8">
        <f t="shared" si="131"/>
        <v>12.857142857142858</v>
      </c>
      <c r="R34" s="8">
        <f t="shared" si="132"/>
        <v>14.142857142857142</v>
      </c>
      <c r="S34" s="8">
        <f t="shared" si="133"/>
        <v>15.428571428571429</v>
      </c>
      <c r="T34" s="8">
        <f t="shared" si="134"/>
        <v>16.714285714285715</v>
      </c>
      <c r="U34" s="8">
        <f t="shared" si="135"/>
        <v>18</v>
      </c>
      <c r="V34" s="8">
        <f t="shared" si="136"/>
        <v>19.285714285714285</v>
      </c>
      <c r="W34" s="8">
        <f t="shared" si="137"/>
        <v>20.571428571428569</v>
      </c>
      <c r="X34" s="8">
        <f t="shared" si="138"/>
        <v>21.857142857142858</v>
      </c>
      <c r="Y34" s="8">
        <f t="shared" si="139"/>
        <v>23.142857142857142</v>
      </c>
      <c r="Z34" s="8">
        <f t="shared" si="140"/>
        <v>24.428571428571427</v>
      </c>
      <c r="AA34" s="8">
        <f t="shared" si="141"/>
        <v>25.714285714285715</v>
      </c>
      <c r="AB34" s="8">
        <f t="shared" si="142"/>
        <v>27</v>
      </c>
      <c r="AC34" s="8">
        <f t="shared" si="143"/>
        <v>28.285714285714285</v>
      </c>
      <c r="AD34" s="8">
        <f t="shared" si="144"/>
        <v>29.571428571428569</v>
      </c>
      <c r="AE34" s="8">
        <f t="shared" si="145"/>
        <v>30.857142857142858</v>
      </c>
      <c r="AF34" s="8">
        <f t="shared" si="146"/>
        <v>32.142857142857139</v>
      </c>
    </row>
    <row r="37" spans="7:127" x14ac:dyDescent="0.25">
      <c r="G37" s="10" t="s">
        <v>135</v>
      </c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7:127" x14ac:dyDescent="0.25">
      <c r="G38" s="10" t="s">
        <v>144</v>
      </c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7:127" x14ac:dyDescent="0.25">
      <c r="G39" s="10" t="s">
        <v>140</v>
      </c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BG39" t="s">
        <v>146</v>
      </c>
      <c r="DG39" t="s">
        <v>161</v>
      </c>
      <c r="DH39" t="s">
        <v>160</v>
      </c>
      <c r="DI39" t="s">
        <v>106</v>
      </c>
      <c r="DJ39" t="s">
        <v>163</v>
      </c>
      <c r="DK39" t="s">
        <v>72</v>
      </c>
    </row>
    <row r="40" spans="7:127" x14ac:dyDescent="0.25">
      <c r="G40" s="8">
        <f>ABS(SQRT(2)*(3*$D$2*2/(8*PI()*$F$4*$G2^2))*(1-B$8^2/($F$4/2)^2))</f>
        <v>0.82864075920298541</v>
      </c>
      <c r="H40" s="8">
        <f t="shared" ref="H40:BE40" si="147">ABS(SQRT(2)*(3*$D$2*2/(8*PI()*$F$4*$G2^2))*(1-C$8^2/($F$4/2)^2))</f>
        <v>0.82830930289930427</v>
      </c>
      <c r="I40" s="8">
        <f t="shared" si="147"/>
        <v>0.82731493398826061</v>
      </c>
      <c r="J40" s="8">
        <f t="shared" si="147"/>
        <v>0.82565765246985467</v>
      </c>
      <c r="K40" s="8">
        <f t="shared" si="147"/>
        <v>0.82333745834408634</v>
      </c>
      <c r="L40" s="8">
        <f t="shared" si="147"/>
        <v>0.8203543516109556</v>
      </c>
      <c r="M40" s="8">
        <f t="shared" si="147"/>
        <v>0.81670833227046247</v>
      </c>
      <c r="N40" s="8">
        <f t="shared" si="147"/>
        <v>0.81239940032260693</v>
      </c>
      <c r="O40" s="8">
        <f t="shared" si="147"/>
        <v>0.807427555767389</v>
      </c>
      <c r="P40" s="8">
        <f t="shared" si="147"/>
        <v>0.80179279860480868</v>
      </c>
      <c r="Q40" s="8">
        <f t="shared" si="147"/>
        <v>0.79549512883486595</v>
      </c>
      <c r="R40" s="8">
        <f t="shared" si="147"/>
        <v>0.78853454645756094</v>
      </c>
      <c r="S40" s="8">
        <f t="shared" si="147"/>
        <v>0.78091105147289341</v>
      </c>
      <c r="T40" s="8">
        <f t="shared" si="147"/>
        <v>0.7726246438808636</v>
      </c>
      <c r="U40" s="8">
        <f t="shared" si="147"/>
        <v>0.76367532368147129</v>
      </c>
      <c r="V40" s="8">
        <f t="shared" si="147"/>
        <v>0.75406309087471679</v>
      </c>
      <c r="W40" s="8">
        <f t="shared" si="147"/>
        <v>0.74378794546059968</v>
      </c>
      <c r="X40" s="8">
        <f t="shared" si="147"/>
        <v>0.73284988743912027</v>
      </c>
      <c r="Y40" s="8">
        <f t="shared" si="147"/>
        <v>0.72124891681027847</v>
      </c>
      <c r="Z40" s="8">
        <f t="shared" si="147"/>
        <v>0.70898503357407427</v>
      </c>
      <c r="AA40" s="8">
        <f t="shared" si="147"/>
        <v>0.69605823773050768</v>
      </c>
      <c r="AB40" s="8">
        <f t="shared" si="147"/>
        <v>0.68246852927957879</v>
      </c>
      <c r="AC40" s="8">
        <f t="shared" si="147"/>
        <v>0.6682159082212874</v>
      </c>
      <c r="AD40" s="8">
        <f t="shared" si="147"/>
        <v>0.65330037455563372</v>
      </c>
      <c r="AE40" s="8">
        <f t="shared" si="147"/>
        <v>0.63772192828261753</v>
      </c>
      <c r="AF40" s="8">
        <f t="shared" si="147"/>
        <v>0.62148056940223906</v>
      </c>
      <c r="AG40" s="8">
        <f t="shared" si="147"/>
        <v>0.60457629791449818</v>
      </c>
      <c r="AH40" s="8">
        <f t="shared" si="147"/>
        <v>0.5870091138193948</v>
      </c>
      <c r="AI40" s="8">
        <f t="shared" si="147"/>
        <v>0.56877901711692902</v>
      </c>
      <c r="AJ40" s="8">
        <f t="shared" si="147"/>
        <v>0.54988600780710095</v>
      </c>
      <c r="AK40" s="8">
        <f t="shared" si="147"/>
        <v>0.53033008588991037</v>
      </c>
      <c r="AL40" s="8">
        <f t="shared" si="147"/>
        <v>0.51011125136535751</v>
      </c>
      <c r="AM40" s="8">
        <f t="shared" si="147"/>
        <v>0.48922950423344214</v>
      </c>
      <c r="AN40" s="8">
        <f t="shared" si="147"/>
        <v>0.46768484449416442</v>
      </c>
      <c r="AO40" s="8">
        <f t="shared" si="147"/>
        <v>0.44547727214752447</v>
      </c>
      <c r="AP40" s="8">
        <f t="shared" si="147"/>
        <v>0.42260678719352202</v>
      </c>
      <c r="AQ40" s="8">
        <f t="shared" si="147"/>
        <v>0.39907338963215705</v>
      </c>
      <c r="AR40" s="8">
        <f t="shared" si="147"/>
        <v>0.3748770794634298</v>
      </c>
      <c r="AS40" s="8">
        <f t="shared" si="147"/>
        <v>0.35001785668734009</v>
      </c>
      <c r="AT40" s="8">
        <f t="shared" si="147"/>
        <v>0.32449572130388815</v>
      </c>
      <c r="AU40" s="8">
        <f t="shared" si="147"/>
        <v>0.29831067331307365</v>
      </c>
      <c r="AV40" s="8">
        <f t="shared" si="147"/>
        <v>0.2714627127148968</v>
      </c>
      <c r="AW40" s="8">
        <f t="shared" si="147"/>
        <v>0.24395183950935762</v>
      </c>
      <c r="AX40" s="8">
        <f t="shared" si="147"/>
        <v>0.215778053696456</v>
      </c>
      <c r="AY40" s="8">
        <f t="shared" si="147"/>
        <v>0.18694135527619204</v>
      </c>
      <c r="AZ40" s="8">
        <f t="shared" si="147"/>
        <v>0.15744174424856561</v>
      </c>
      <c r="BA40" s="8">
        <f t="shared" si="147"/>
        <v>0.12727922061357677</v>
      </c>
      <c r="BB40" s="8">
        <f t="shared" si="147"/>
        <v>9.645378437122562E-2</v>
      </c>
      <c r="BC40" s="8">
        <f t="shared" si="147"/>
        <v>6.4965435521512058E-2</v>
      </c>
      <c r="BD40" s="8">
        <f t="shared" si="147"/>
        <v>3.2814174064436173E-2</v>
      </c>
      <c r="BE40" s="8">
        <f t="shared" si="147"/>
        <v>2.2079425200240588E-15</v>
      </c>
      <c r="BF40" s="8"/>
      <c r="BG40" s="8">
        <f>G45/G40</f>
        <v>0</v>
      </c>
      <c r="BH40" s="8">
        <f t="shared" ref="BH40:DE40" si="148">H45/H40</f>
        <v>0.67909414759812481</v>
      </c>
      <c r="BI40" s="8">
        <f t="shared" si="148"/>
        <v>1.359820733051053</v>
      </c>
      <c r="BJ40" s="8">
        <f t="shared" si="148"/>
        <v>2.0438253009004992</v>
      </c>
      <c r="BK40" s="8">
        <f t="shared" si="148"/>
        <v>2.7327798306726474</v>
      </c>
      <c r="BL40" s="8">
        <f t="shared" si="148"/>
        <v>3.4283965148438669</v>
      </c>
      <c r="BM40" s="8">
        <f t="shared" si="148"/>
        <v>4.1324422277135895</v>
      </c>
      <c r="BN40" s="8">
        <f t="shared" si="148"/>
        <v>4.8467539469334966</v>
      </c>
      <c r="BO40" s="8">
        <f t="shared" si="148"/>
        <v>5.5732554182190936</v>
      </c>
      <c r="BP40" s="8">
        <f t="shared" si="148"/>
        <v>6.3139753921576807</v>
      </c>
      <c r="BQ40" s="8">
        <f t="shared" si="148"/>
        <v>7.0710678118654764</v>
      </c>
      <c r="BR40" s="8">
        <f t="shared" si="148"/>
        <v>7.8468343939995195</v>
      </c>
      <c r="BS40" s="8">
        <f t="shared" si="148"/>
        <v>8.6437501265588157</v>
      </c>
      <c r="BT40" s="8">
        <f t="shared" si="148"/>
        <v>9.4644923093180111</v>
      </c>
      <c r="BU40" s="8">
        <f t="shared" si="148"/>
        <v>10.31197389230382</v>
      </c>
      <c r="BV40" s="8">
        <f t="shared" si="148"/>
        <v>11.189382031962952</v>
      </c>
      <c r="BW40" s="8">
        <f t="shared" si="148"/>
        <v>12.100222993566589</v>
      </c>
      <c r="BX40" s="8">
        <f t="shared" si="148"/>
        <v>13.048374795301283</v>
      </c>
      <c r="BY40" s="8">
        <f t="shared" si="148"/>
        <v>14.038149332379991</v>
      </c>
      <c r="BZ40" s="8">
        <f t="shared" si="148"/>
        <v>15.07436616274267</v>
      </c>
      <c r="CA40" s="8">
        <f t="shared" si="148"/>
        <v>16.162440712835377</v>
      </c>
      <c r="CB40" s="8">
        <f t="shared" si="148"/>
        <v>17.308490418553667</v>
      </c>
      <c r="CC40" s="8">
        <f t="shared" si="148"/>
        <v>18.519463316790532</v>
      </c>
      <c r="CD40" s="8">
        <f t="shared" si="148"/>
        <v>19.803294937340144</v>
      </c>
      <c r="CE40" s="8">
        <f t="shared" si="148"/>
        <v>21.169101141551529</v>
      </c>
      <c r="CF40" s="8">
        <f t="shared" si="148"/>
        <v>22.627416997969522</v>
      </c>
      <c r="CG40" s="8">
        <f t="shared" si="148"/>
        <v>24.190495145855575</v>
      </c>
      <c r="CH40" s="8">
        <f t="shared" si="148"/>
        <v>25.872681773511175</v>
      </c>
      <c r="CI40" s="8">
        <f t="shared" si="148"/>
        <v>27.690894927585099</v>
      </c>
      <c r="CJ40" s="8">
        <f t="shared" si="148"/>
        <v>29.665239283052287</v>
      </c>
      <c r="CK40" s="8">
        <f t="shared" si="148"/>
        <v>31.819805153394668</v>
      </c>
      <c r="CL40" s="8">
        <f t="shared" si="148"/>
        <v>34.183719636308773</v>
      </c>
      <c r="CM40" s="8">
        <f t="shared" si="148"/>
        <v>36.792547964178134</v>
      </c>
      <c r="CN40" s="8">
        <f t="shared" si="148"/>
        <v>39.690189277090482</v>
      </c>
      <c r="CO40" s="8">
        <f t="shared" si="148"/>
        <v>42.93148314346903</v>
      </c>
      <c r="CP40" s="8">
        <f t="shared" si="148"/>
        <v>46.585858525231458</v>
      </c>
      <c r="CQ40" s="8">
        <f t="shared" si="148"/>
        <v>50.742546424018165</v>
      </c>
      <c r="CR40" s="8">
        <f t="shared" si="148"/>
        <v>55.518198204567291</v>
      </c>
      <c r="CS40" s="8">
        <f t="shared" si="148"/>
        <v>61.068312920656602</v>
      </c>
      <c r="CT40" s="8">
        <f t="shared" si="148"/>
        <v>67.604897567988871</v>
      </c>
      <c r="CU40" s="8">
        <f t="shared" si="148"/>
        <v>75.424723326565413</v>
      </c>
      <c r="CV40" s="8">
        <f t="shared" si="148"/>
        <v>84.95641913157101</v>
      </c>
      <c r="CW40" s="8">
        <f t="shared" si="148"/>
        <v>96.842885249462554</v>
      </c>
      <c r="CX40" s="8">
        <f t="shared" si="148"/>
        <v>112.09434687934295</v>
      </c>
      <c r="CY40" s="8">
        <f t="shared" si="148"/>
        <v>132.39446115833348</v>
      </c>
      <c r="CZ40" s="8">
        <f t="shared" si="148"/>
        <v>160.7737523539958</v>
      </c>
      <c r="DA40" s="8">
        <f t="shared" si="148"/>
        <v>203.29319959113553</v>
      </c>
      <c r="DB40" s="8">
        <f t="shared" si="148"/>
        <v>274.09499971767775</v>
      </c>
      <c r="DC40" s="8">
        <f t="shared" si="148"/>
        <v>415.60561833006579</v>
      </c>
      <c r="DD40" s="8">
        <f t="shared" si="148"/>
        <v>839.95714613680093</v>
      </c>
      <c r="DE40" s="8">
        <f t="shared" si="148"/>
        <v>1.2738103345051562E+16</v>
      </c>
      <c r="DF40" s="8"/>
      <c r="DG40" s="8">
        <f>0.0003</f>
        <v>2.9999999999999997E-4</v>
      </c>
      <c r="DH40" s="8">
        <f>DG40*2</f>
        <v>5.9999999999999995E-4</v>
      </c>
      <c r="DI40" s="8">
        <f>DH40/(1*10^-3)</f>
        <v>0.6</v>
      </c>
      <c r="DJ40" s="8">
        <f>'estimates new'!AU61</f>
        <v>0.40229885057471265</v>
      </c>
      <c r="DK40" s="8">
        <f>DJ40-DI40</f>
        <v>-0.19770114942528733</v>
      </c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</row>
    <row r="41" spans="7:127" x14ac:dyDescent="0.25">
      <c r="G41" s="8">
        <f t="shared" ref="G41:G42" si="149">ABS(SQRT(2)*(3*$D$2*2/(8*PI()*$F$4*$G3^2))*(1-B$8^2/($F$4/2)^2))</f>
        <v>0.16368212527466378</v>
      </c>
      <c r="H41" s="8">
        <f t="shared" ref="H41:H42" si="150">ABS(SQRT(2)*(3*$D$2*2/(8*PI()*$F$4*$G3^2))*(1-C$8^2/($F$4/2)^2))</f>
        <v>0.16361665242455392</v>
      </c>
      <c r="I41" s="8">
        <f t="shared" ref="I41:I42" si="151">ABS(SQRT(2)*(3*$D$2*2/(8*PI()*$F$4*$G3^2))*(1-D$8^2/($F$4/2)^2))</f>
        <v>0.1634202338742243</v>
      </c>
      <c r="J41" s="8">
        <f t="shared" ref="J41:J42" si="152">ABS(SQRT(2)*(3*$D$2*2/(8*PI()*$F$4*$G3^2))*(1-E$8^2/($F$4/2)^2))</f>
        <v>0.16309286962367497</v>
      </c>
      <c r="K41" s="8">
        <f t="shared" ref="K41:K42" si="153">ABS(SQRT(2)*(3*$D$2*2/(8*PI()*$F$4*$G3^2))*(1-F$8^2/($F$4/2)^2))</f>
        <v>0.16263455967290594</v>
      </c>
      <c r="L41" s="8">
        <f t="shared" ref="L41:L42" si="154">ABS(SQRT(2)*(3*$D$2*2/(8*PI()*$F$4*$G3^2))*(1-G$8^2/($F$4/2)^2))</f>
        <v>0.16204530402191714</v>
      </c>
      <c r="M41" s="8">
        <f t="shared" ref="M41:M42" si="155">ABS(SQRT(2)*(3*$D$2*2/(8*PI()*$F$4*$G3^2))*(1-H$8^2/($F$4/2)^2))</f>
        <v>0.16132510267070863</v>
      </c>
      <c r="N41" s="8">
        <f t="shared" ref="N41:N42" si="156">ABS(SQRT(2)*(3*$D$2*2/(8*PI()*$F$4*$G3^2))*(1-I$8^2/($F$4/2)^2))</f>
        <v>0.16047395561928038</v>
      </c>
      <c r="O41" s="8">
        <f t="shared" ref="O41:O42" si="157">ABS(SQRT(2)*(3*$D$2*2/(8*PI()*$F$4*$G3^2))*(1-J$8^2/($F$4/2)^2))</f>
        <v>0.15949186286763239</v>
      </c>
      <c r="P41" s="8">
        <f t="shared" ref="P41:P42" si="158">ABS(SQRT(2)*(3*$D$2*2/(8*PI()*$F$4*$G3^2))*(1-K$8^2/($F$4/2)^2))</f>
        <v>0.15837882441576467</v>
      </c>
      <c r="Q41" s="8">
        <f t="shared" ref="Q41:Q42" si="159">ABS(SQRT(2)*(3*$D$2*2/(8*PI()*$F$4*$G3^2))*(1-L$8^2/($F$4/2)^2))</f>
        <v>0.15713484026367722</v>
      </c>
      <c r="R41" s="8">
        <f t="shared" ref="R41:R42" si="160">ABS(SQRT(2)*(3*$D$2*2/(8*PI()*$F$4*$G3^2))*(1-M$8^2/($F$4/2)^2))</f>
        <v>0.15575991041137005</v>
      </c>
      <c r="S41" s="8">
        <f t="shared" ref="S41:S42" si="161">ABS(SQRT(2)*(3*$D$2*2/(8*PI()*$F$4*$G3^2))*(1-N$8^2/($F$4/2)^2))</f>
        <v>0.15425403485884315</v>
      </c>
      <c r="T41" s="8">
        <f t="shared" ref="T41:T42" si="162">ABS(SQRT(2)*(3*$D$2*2/(8*PI()*$F$4*$G3^2))*(1-O$8^2/($F$4/2)^2))</f>
        <v>0.15261721360609651</v>
      </c>
      <c r="U41" s="8">
        <f t="shared" ref="U41:U42" si="163">ABS(SQRT(2)*(3*$D$2*2/(8*PI()*$F$4*$G3^2))*(1-P$8^2/($F$4/2)^2))</f>
        <v>0.15084944665313013</v>
      </c>
      <c r="V41" s="8">
        <f t="shared" ref="V41:V42" si="164">ABS(SQRT(2)*(3*$D$2*2/(8*PI()*$F$4*$G3^2))*(1-Q$8^2/($F$4/2)^2))</f>
        <v>0.14895073399994405</v>
      </c>
      <c r="W41" s="8">
        <f t="shared" ref="W41:W42" si="165">ABS(SQRT(2)*(3*$D$2*2/(8*PI()*$F$4*$G3^2))*(1-R$8^2/($F$4/2)^2))</f>
        <v>0.1469210756465382</v>
      </c>
      <c r="X41" s="8">
        <f t="shared" ref="X41:X42" si="166">ABS(SQRT(2)*(3*$D$2*2/(8*PI()*$F$4*$G3^2))*(1-S$8^2/($F$4/2)^2))</f>
        <v>0.14476047159291264</v>
      </c>
      <c r="Y41" s="8">
        <f t="shared" ref="Y41:Y42" si="167">ABS(SQRT(2)*(3*$D$2*2/(8*PI()*$F$4*$G3^2))*(1-T$8^2/($F$4/2)^2))</f>
        <v>0.14246892183906734</v>
      </c>
      <c r="Z41" s="8">
        <f t="shared" ref="Z41:Z42" si="168">ABS(SQRT(2)*(3*$D$2*2/(8*PI()*$F$4*$G3^2))*(1-U$8^2/($F$4/2)^2))</f>
        <v>0.14004642638500231</v>
      </c>
      <c r="AA41" s="8">
        <f t="shared" ref="AA41:AA42" si="169">ABS(SQRT(2)*(3*$D$2*2/(8*PI()*$F$4*$G3^2))*(1-V$8^2/($F$4/2)^2))</f>
        <v>0.13749298523071757</v>
      </c>
      <c r="AB41" s="8">
        <f t="shared" ref="AB41:AB42" si="170">ABS(SQRT(2)*(3*$D$2*2/(8*PI()*$F$4*$G3^2))*(1-W$8^2/($F$4/2)^2))</f>
        <v>0.13480859837621309</v>
      </c>
      <c r="AC41" s="8">
        <f t="shared" ref="AC41:AC42" si="171">ABS(SQRT(2)*(3*$D$2*2/(8*PI()*$F$4*$G3^2))*(1-X$8^2/($F$4/2)^2))</f>
        <v>0.13199326582148888</v>
      </c>
      <c r="AD41" s="8">
        <f t="shared" ref="AD41:AD42" si="172">ABS(SQRT(2)*(3*$D$2*2/(8*PI()*$F$4*$G3^2))*(1-Y$8^2/($F$4/2)^2))</f>
        <v>0.12904698756654492</v>
      </c>
      <c r="AE41" s="8">
        <f t="shared" ref="AE41:AE42" si="173">ABS(SQRT(2)*(3*$D$2*2/(8*PI()*$F$4*$G3^2))*(1-Z$8^2/($F$4/2)^2))</f>
        <v>0.12596976361138124</v>
      </c>
      <c r="AF41" s="8">
        <f t="shared" ref="AF41:AF42" si="174">ABS(SQRT(2)*(3*$D$2*2/(8*PI()*$F$4*$G3^2))*(1-AA$8^2/($F$4/2)^2))</f>
        <v>0.12276159395599784</v>
      </c>
      <c r="AG41" s="8">
        <f t="shared" ref="AG41:AG42" si="175">ABS(SQRT(2)*(3*$D$2*2/(8*PI()*$F$4*$G3^2))*(1-AB$8^2/($F$4/2)^2))</f>
        <v>0.11942247860039469</v>
      </c>
      <c r="AH41" s="8">
        <f t="shared" ref="AH41:AH42" si="176">ABS(SQRT(2)*(3*$D$2*2/(8*PI()*$F$4*$G3^2))*(1-AC$8^2/($F$4/2)^2))</f>
        <v>0.11595241754457181</v>
      </c>
      <c r="AI41" s="8">
        <f t="shared" ref="AI41:AI42" si="177">ABS(SQRT(2)*(3*$D$2*2/(8*PI()*$F$4*$G3^2))*(1-AD$8^2/($F$4/2)^2))</f>
        <v>0.11235141078852919</v>
      </c>
      <c r="AJ41" s="8">
        <f t="shared" ref="AJ41:AJ42" si="178">ABS(SQRT(2)*(3*$D$2*2/(8*PI()*$F$4*$G3^2))*(1-AE$8^2/($F$4/2)^2))</f>
        <v>0.10861945833226684</v>
      </c>
      <c r="AK41" s="8">
        <f t="shared" ref="AK41:AK42" si="179">ABS(SQRT(2)*(3*$D$2*2/(8*PI()*$F$4*$G3^2))*(1-AF$8^2/($F$4/2)^2))</f>
        <v>0.10475656017578476</v>
      </c>
      <c r="AL41" s="8">
        <f t="shared" ref="AL41:AL42" si="180">ABS(SQRT(2)*(3*$D$2*2/(8*PI()*$F$4*$G3^2))*(1-AG$8^2/($F$4/2)^2))</f>
        <v>0.10076271631908296</v>
      </c>
      <c r="AM41" s="8">
        <f t="shared" ref="AM41:AM42" si="181">ABS(SQRT(2)*(3*$D$2*2/(8*PI()*$F$4*$G3^2))*(1-AH$8^2/($F$4/2)^2))</f>
        <v>9.6637926762161402E-2</v>
      </c>
      <c r="AN41" s="8">
        <f t="shared" ref="AN41:AN42" si="182">ABS(SQRT(2)*(3*$D$2*2/(8*PI()*$F$4*$G3^2))*(1-AI$8^2/($F$4/2)^2))</f>
        <v>9.2382191505020125E-2</v>
      </c>
      <c r="AO41" s="8">
        <f t="shared" ref="AO41:AO42" si="183">ABS(SQRT(2)*(3*$D$2*2/(8*PI()*$F$4*$G3^2))*(1-AJ$8^2/($F$4/2)^2))</f>
        <v>8.7995510547659153E-2</v>
      </c>
      <c r="AP41" s="8">
        <f t="shared" ref="AP41:AP42" si="184">ABS(SQRT(2)*(3*$D$2*2/(8*PI()*$F$4*$G3^2))*(1-AK$8^2/($F$4/2)^2))</f>
        <v>8.3477883890078416E-2</v>
      </c>
      <c r="AQ41" s="8">
        <f t="shared" ref="AQ41:AQ42" si="185">ABS(SQRT(2)*(3*$D$2*2/(8*PI()*$F$4*$G3^2))*(1-AL$8^2/($F$4/2)^2))</f>
        <v>7.8829311532277929E-2</v>
      </c>
      <c r="AR41" s="8">
        <f t="shared" ref="AR41:AR42" si="186">ABS(SQRT(2)*(3*$D$2*2/(8*PI()*$F$4*$G3^2))*(1-AM$8^2/($F$4/2)^2))</f>
        <v>7.4049793474257733E-2</v>
      </c>
      <c r="AS41" s="8">
        <f t="shared" ref="AS41:AS42" si="187">ABS(SQRT(2)*(3*$D$2*2/(8*PI()*$F$4*$G3^2))*(1-AN$8^2/($F$4/2)^2))</f>
        <v>6.91393297160178E-2</v>
      </c>
      <c r="AT41" s="8">
        <f t="shared" ref="AT41:AT42" si="188">ABS(SQRT(2)*(3*$D$2*2/(8*PI()*$F$4*$G3^2))*(1-AO$8^2/($F$4/2)^2))</f>
        <v>6.4097920257558144E-2</v>
      </c>
      <c r="AU41" s="8">
        <f t="shared" ref="AU41:AU42" si="189">ABS(SQRT(2)*(3*$D$2*2/(8*PI()*$F$4*$G3^2))*(1-AP$8^2/($F$4/2)^2))</f>
        <v>5.8925565098878738E-2</v>
      </c>
      <c r="AV41" s="8">
        <f t="shared" ref="AV41:AV42" si="190">ABS(SQRT(2)*(3*$D$2*2/(8*PI()*$F$4*$G3^2))*(1-AQ$8^2/($F$4/2)^2))</f>
        <v>5.3622264239979615E-2</v>
      </c>
      <c r="AW41" s="8">
        <f t="shared" ref="AW41:AW42" si="191">ABS(SQRT(2)*(3*$D$2*2/(8*PI()*$F$4*$G3^2))*(1-AR$8^2/($F$4/2)^2))</f>
        <v>4.8188017680860763E-2</v>
      </c>
      <c r="AX41" s="8">
        <f t="shared" ref="AX41:AX42" si="192">ABS(SQRT(2)*(3*$D$2*2/(8*PI()*$F$4*$G3^2))*(1-AS$8^2/($F$4/2)^2))</f>
        <v>4.2622825421522167E-2</v>
      </c>
      <c r="AY41" s="8">
        <f t="shared" ref="AY41:AY42" si="193">ABS(SQRT(2)*(3*$D$2*2/(8*PI()*$F$4*$G3^2))*(1-AT$8^2/($F$4/2)^2))</f>
        <v>3.6926687461963863E-2</v>
      </c>
      <c r="AZ41" s="8">
        <f t="shared" ref="AZ41:AZ42" si="194">ABS(SQRT(2)*(3*$D$2*2/(8*PI()*$F$4*$G3^2))*(1-AU$8^2/($F$4/2)^2))</f>
        <v>3.10996038021858E-2</v>
      </c>
      <c r="BA41" s="8">
        <f t="shared" ref="BA41:BA42" si="195">ABS(SQRT(2)*(3*$D$2*2/(8*PI()*$F$4*$G3^2))*(1-AV$8^2/($F$4/2)^2))</f>
        <v>2.5141574442188005E-2</v>
      </c>
      <c r="BB41" s="8">
        <f t="shared" ref="BB41:BB42" si="196">ABS(SQRT(2)*(3*$D$2*2/(8*PI()*$F$4*$G3^2))*(1-AW$8^2/($F$4/2)^2))</f>
        <v>1.905259938197049E-2</v>
      </c>
      <c r="BC41" s="8">
        <f t="shared" ref="BC41:BC42" si="197">ABS(SQRT(2)*(3*$D$2*2/(8*PI()*$F$4*$G3^2))*(1-AX$8^2/($F$4/2)^2))</f>
        <v>1.2832678621533245E-2</v>
      </c>
      <c r="BD41" s="8">
        <f t="shared" ref="BD41:BD42" si="198">ABS(SQRT(2)*(3*$D$2*2/(8*PI()*$F$4*$G3^2))*(1-AY$8^2/($F$4/2)^2))</f>
        <v>6.4818121608762802E-3</v>
      </c>
      <c r="BE41" s="8">
        <f t="shared" ref="BE41:BE42" si="199">ABS(SQRT(2)*(3*$D$2*2/(8*PI()*$F$4*$G3^2))*(1-AZ$8^2/($F$4/2)^2))</f>
        <v>4.3613679407882642E-16</v>
      </c>
      <c r="BG41" s="8">
        <f t="shared" ref="BG41:BG42" si="200">G46/G41</f>
        <v>0</v>
      </c>
      <c r="BH41" s="8">
        <f t="shared" ref="BH41:BH42" si="201">H46/H41</f>
        <v>1.5279618320957808</v>
      </c>
      <c r="BI41" s="8">
        <f t="shared" ref="BI41:BI42" si="202">I46/I41</f>
        <v>3.0595966493648694</v>
      </c>
      <c r="BJ41" s="8">
        <f t="shared" ref="BJ41:BJ42" si="203">J46/J41</f>
        <v>4.5986069270261227</v>
      </c>
      <c r="BK41" s="8">
        <f t="shared" ref="BK41:BK42" si="204">K46/K41</f>
        <v>6.1487546190134568</v>
      </c>
      <c r="BL41" s="8">
        <f t="shared" ref="BL41:BL42" si="205">L46/L41</f>
        <v>7.7138921583987008</v>
      </c>
      <c r="BM41" s="8">
        <f t="shared" ref="BM41:BM42" si="206">M46/M41</f>
        <v>9.2979950123555763</v>
      </c>
      <c r="BN41" s="8">
        <f t="shared" ref="BN41:BN42" si="207">N46/N41</f>
        <v>10.905196380600366</v>
      </c>
      <c r="BO41" s="8">
        <f t="shared" ref="BO41:BO42" si="208">O46/O41</f>
        <v>12.53982469099296</v>
      </c>
      <c r="BP41" s="8">
        <f t="shared" ref="BP41:BP42" si="209">P46/P41</f>
        <v>14.206444632354778</v>
      </c>
      <c r="BQ41" s="8">
        <f t="shared" ref="BQ41:BQ42" si="210">Q46/Q41</f>
        <v>15.90990257669732</v>
      </c>
      <c r="BR41" s="8">
        <f t="shared" ref="BR41:BR42" si="211">R46/R41</f>
        <v>17.655377386498916</v>
      </c>
      <c r="BS41" s="8">
        <f t="shared" ref="BS41:BS42" si="212">S46/S41</f>
        <v>19.448437784757335</v>
      </c>
      <c r="BT41" s="8">
        <f t="shared" ref="BT41:BT42" si="213">T46/T41</f>
        <v>21.295107695965527</v>
      </c>
      <c r="BU41" s="8">
        <f t="shared" ref="BU41:BU42" si="214">U46/U41</f>
        <v>23.201941257683593</v>
      </c>
      <c r="BV41" s="8">
        <f t="shared" ref="BV41:BV42" si="215">V46/V41</f>
        <v>25.176109571916641</v>
      </c>
      <c r="BW41" s="8">
        <f t="shared" ref="BW41:BW42" si="216">W46/W41</f>
        <v>27.225501735524826</v>
      </c>
      <c r="BX41" s="8">
        <f t="shared" ref="BX41:BX42" si="217">X46/X41</f>
        <v>29.358843289427892</v>
      </c>
      <c r="BY41" s="8">
        <f t="shared" ref="BY41:BY42" si="218">Y46/Y41</f>
        <v>31.585835997854975</v>
      </c>
      <c r="BZ41" s="8">
        <f t="shared" ref="BZ41:BZ42" si="219">Z46/Z41</f>
        <v>33.917323866171017</v>
      </c>
      <c r="CA41" s="8">
        <f t="shared" ref="CA41:CA42" si="220">AA46/AA41</f>
        <v>36.36549160387959</v>
      </c>
      <c r="CB41" s="8">
        <f t="shared" ref="CB41:CB42" si="221">AB46/AB41</f>
        <v>38.944103441745746</v>
      </c>
      <c r="CC41" s="8">
        <f t="shared" ref="CC41:CC42" si="222">AC46/AC41</f>
        <v>41.66879246277869</v>
      </c>
      <c r="CD41" s="8">
        <f t="shared" ref="CD41:CD42" si="223">AD46/AD41</f>
        <v>44.55741360901532</v>
      </c>
      <c r="CE41" s="8">
        <f t="shared" ref="CE41:CE42" si="224">AE46/AE41</f>
        <v>47.630477568490939</v>
      </c>
      <c r="CF41" s="8">
        <f t="shared" ref="CF41:CF42" si="225">AF46/AF41</f>
        <v>50.911688245431421</v>
      </c>
      <c r="CG41" s="8">
        <f t="shared" ref="CG41:CG42" si="226">AG46/AG41</f>
        <v>54.428614078175045</v>
      </c>
      <c r="CH41" s="8">
        <f t="shared" ref="CH41:CH42" si="227">AH46/AH41</f>
        <v>58.213533990400144</v>
      </c>
      <c r="CI41" s="8">
        <f t="shared" ref="CI41:CI42" si="228">AI46/AI41</f>
        <v>62.304513587066459</v>
      </c>
      <c r="CJ41" s="8">
        <f t="shared" ref="CJ41:CJ42" si="229">AJ46/AJ41</f>
        <v>66.746788386867635</v>
      </c>
      <c r="CK41" s="8">
        <f t="shared" ref="CK41:CK42" si="230">AK46/AK41</f>
        <v>71.594561595138003</v>
      </c>
      <c r="CL41" s="8">
        <f t="shared" ref="CL41:CL42" si="231">AL46/AL41</f>
        <v>76.913369181694733</v>
      </c>
      <c r="CM41" s="8">
        <f t="shared" ref="CM41:CM42" si="232">AM46/AM41</f>
        <v>82.783232919400817</v>
      </c>
      <c r="CN41" s="8">
        <f t="shared" ref="CN41:CN42" si="233">AN46/AN41</f>
        <v>89.30292587345356</v>
      </c>
      <c r="CO41" s="8">
        <f t="shared" ref="CO41:CO42" si="234">AO46/AO41</f>
        <v>96.595837072805324</v>
      </c>
      <c r="CP41" s="8">
        <f t="shared" ref="CP41:CP42" si="235">AP46/AP41</f>
        <v>104.8181816817708</v>
      </c>
      <c r="CQ41" s="8">
        <f t="shared" ref="CQ41:CQ42" si="236">AQ46/AQ41</f>
        <v>114.17072945404087</v>
      </c>
      <c r="CR41" s="8">
        <f t="shared" ref="CR41:CR42" si="237">AR46/AR41</f>
        <v>124.91594596027643</v>
      </c>
      <c r="CS41" s="8">
        <f t="shared" ref="CS41:CS42" si="238">AS46/AS41</f>
        <v>137.40370407147731</v>
      </c>
      <c r="CT41" s="8">
        <f t="shared" ref="CT41:CT42" si="239">AT46/AT41</f>
        <v>152.11101952797497</v>
      </c>
      <c r="CU41" s="8">
        <f t="shared" ref="CU41:CU42" si="240">AU46/AU41</f>
        <v>169.70562748477221</v>
      </c>
      <c r="CV41" s="8">
        <f t="shared" ref="CV41:CV42" si="241">AV46/AV41</f>
        <v>191.15194304603477</v>
      </c>
      <c r="CW41" s="8">
        <f t="shared" ref="CW41:CW42" si="242">AW46/AW41</f>
        <v>217.89649181129073</v>
      </c>
      <c r="CX41" s="8">
        <f t="shared" ref="CX41:CX42" si="243">AX46/AX41</f>
        <v>252.21228047852162</v>
      </c>
      <c r="CY41" s="8">
        <f t="shared" ref="CY41:CY42" si="244">AY46/AY41</f>
        <v>297.88753760625031</v>
      </c>
      <c r="CZ41" s="8">
        <f t="shared" ref="CZ41:CZ42" si="245">AZ46/AZ41</f>
        <v>361.74094279649051</v>
      </c>
      <c r="DA41" s="8">
        <f t="shared" ref="DA41:DA42" si="246">BA46/BA41</f>
        <v>457.40969908005491</v>
      </c>
      <c r="DB41" s="8">
        <f t="shared" ref="DB41:DB42" si="247">BB46/BB41</f>
        <v>616.71374936477491</v>
      </c>
      <c r="DC41" s="8">
        <f t="shared" ref="DC41:DC42" si="248">BC46/BC41</f>
        <v>935.1126412426479</v>
      </c>
      <c r="DD41" s="8">
        <f t="shared" ref="DD41:DD42" si="249">BD46/BD41</f>
        <v>1889.9035788078022</v>
      </c>
      <c r="DE41" s="8">
        <f t="shared" ref="DE41:DE42" si="250">BE46/BE41</f>
        <v>2.8660732526366012E+16</v>
      </c>
      <c r="DG41">
        <v>1.7000000000000001E-4</v>
      </c>
      <c r="DH41" s="8">
        <f t="shared" ref="DH41:DH42" si="251">DG41*2</f>
        <v>3.4000000000000002E-4</v>
      </c>
      <c r="DI41" s="8">
        <f t="shared" ref="DI41:DI42" si="252">DH41/(1*10^-3)</f>
        <v>0.34</v>
      </c>
      <c r="DJ41" s="8">
        <f>'estimates new'!AU62</f>
        <v>0.41111111111111109</v>
      </c>
      <c r="DK41" s="8">
        <f t="shared" ref="DK41:DK42" si="253">DJ41-DI41</f>
        <v>7.1111111111111069E-2</v>
      </c>
    </row>
    <row r="42" spans="7:127" x14ac:dyDescent="0.25">
      <c r="G42" s="8">
        <f t="shared" si="149"/>
        <v>6.7644143608406967E-2</v>
      </c>
      <c r="H42" s="8">
        <f t="shared" si="150"/>
        <v>6.7617085950963607E-2</v>
      </c>
      <c r="I42" s="8">
        <f t="shared" si="151"/>
        <v>6.7535912978633511E-2</v>
      </c>
      <c r="J42" s="8">
        <f t="shared" si="152"/>
        <v>6.7400624691416694E-2</v>
      </c>
      <c r="K42" s="8">
        <f t="shared" si="153"/>
        <v>6.721122108931317E-2</v>
      </c>
      <c r="L42" s="8">
        <f t="shared" si="154"/>
        <v>6.6967702172322896E-2</v>
      </c>
      <c r="M42" s="8">
        <f t="shared" si="155"/>
        <v>6.6670067940445915E-2</v>
      </c>
      <c r="N42" s="8">
        <f t="shared" si="156"/>
        <v>6.6318318393682199E-2</v>
      </c>
      <c r="O42" s="8">
        <f t="shared" si="157"/>
        <v>6.5912453532031748E-2</v>
      </c>
      <c r="P42" s="8">
        <f t="shared" si="158"/>
        <v>6.5452473355494589E-2</v>
      </c>
      <c r="Q42" s="8">
        <f t="shared" si="159"/>
        <v>6.4938377864070682E-2</v>
      </c>
      <c r="R42" s="8">
        <f t="shared" si="160"/>
        <v>6.4370167057760067E-2</v>
      </c>
      <c r="S42" s="8">
        <f t="shared" si="161"/>
        <v>6.374784093656273E-2</v>
      </c>
      <c r="T42" s="8">
        <f t="shared" si="162"/>
        <v>6.3071399500478659E-2</v>
      </c>
      <c r="U42" s="8">
        <f t="shared" si="163"/>
        <v>6.2340842749507859E-2</v>
      </c>
      <c r="V42" s="8">
        <f t="shared" si="164"/>
        <v>6.1556170683650345E-2</v>
      </c>
      <c r="W42" s="8">
        <f t="shared" si="165"/>
        <v>6.0717383302906089E-2</v>
      </c>
      <c r="X42" s="8">
        <f t="shared" si="166"/>
        <v>5.9824480607275118E-2</v>
      </c>
      <c r="Y42" s="8">
        <f t="shared" si="167"/>
        <v>5.887746259675742E-2</v>
      </c>
      <c r="Z42" s="8">
        <f t="shared" si="168"/>
        <v>5.7876329271352993E-2</v>
      </c>
      <c r="AA42" s="8">
        <f t="shared" si="169"/>
        <v>5.6821080631061852E-2</v>
      </c>
      <c r="AB42" s="8">
        <f t="shared" si="170"/>
        <v>5.5711716675883975E-2</v>
      </c>
      <c r="AC42" s="8">
        <f t="shared" si="171"/>
        <v>5.4548237405819378E-2</v>
      </c>
      <c r="AD42" s="8">
        <f t="shared" si="172"/>
        <v>5.3330642820868052E-2</v>
      </c>
      <c r="AE42" s="8">
        <f t="shared" si="173"/>
        <v>5.2058932921029998E-2</v>
      </c>
      <c r="AF42" s="8">
        <f t="shared" si="174"/>
        <v>5.0733107706305222E-2</v>
      </c>
      <c r="AG42" s="8">
        <f t="shared" si="175"/>
        <v>4.9353167176693725E-2</v>
      </c>
      <c r="AH42" s="8">
        <f t="shared" si="176"/>
        <v>4.7919111332195494E-2</v>
      </c>
      <c r="AI42" s="8">
        <f t="shared" si="177"/>
        <v>4.6430940172810527E-2</v>
      </c>
      <c r="AJ42" s="8">
        <f t="shared" si="178"/>
        <v>4.4888653698538845E-2</v>
      </c>
      <c r="AK42" s="8">
        <f t="shared" si="179"/>
        <v>4.3292251909380436E-2</v>
      </c>
      <c r="AL42" s="8">
        <f t="shared" si="180"/>
        <v>4.1641734805335298E-2</v>
      </c>
      <c r="AM42" s="8">
        <f t="shared" si="181"/>
        <v>3.9937102386403439E-2</v>
      </c>
      <c r="AN42" s="8">
        <f t="shared" si="182"/>
        <v>3.8178354652584845E-2</v>
      </c>
      <c r="AO42" s="8">
        <f t="shared" si="183"/>
        <v>3.6365491603879543E-2</v>
      </c>
      <c r="AP42" s="8">
        <f t="shared" si="184"/>
        <v>3.4498513240287507E-2</v>
      </c>
      <c r="AQ42" s="8">
        <f t="shared" si="185"/>
        <v>3.2577419561808735E-2</v>
      </c>
      <c r="AR42" s="8">
        <f t="shared" si="186"/>
        <v>3.0602210568443245E-2</v>
      </c>
      <c r="AS42" s="8">
        <f t="shared" si="187"/>
        <v>2.8572886260191027E-2</v>
      </c>
      <c r="AT42" s="8">
        <f t="shared" si="188"/>
        <v>2.6489446637052091E-2</v>
      </c>
      <c r="AU42" s="8">
        <f t="shared" si="189"/>
        <v>2.4351891699026417E-2</v>
      </c>
      <c r="AV42" s="8">
        <f t="shared" si="190"/>
        <v>2.2160221446114025E-2</v>
      </c>
      <c r="AW42" s="8">
        <f t="shared" si="191"/>
        <v>1.9914435878314905E-2</v>
      </c>
      <c r="AX42" s="8">
        <f t="shared" si="192"/>
        <v>1.7614534995629059E-2</v>
      </c>
      <c r="AY42" s="8">
        <f t="shared" si="193"/>
        <v>1.5260518798056493E-2</v>
      </c>
      <c r="AZ42" s="8">
        <f t="shared" si="194"/>
        <v>1.2852387285597193E-2</v>
      </c>
      <c r="BA42" s="8">
        <f t="shared" si="195"/>
        <v>1.0390140458251165E-2</v>
      </c>
      <c r="BB42" s="8">
        <f t="shared" si="196"/>
        <v>7.8737783160184177E-3</v>
      </c>
      <c r="BC42" s="8">
        <f t="shared" si="197"/>
        <v>5.3033008588989428E-3</v>
      </c>
      <c r="BD42" s="8">
        <f t="shared" si="198"/>
        <v>2.6787080868927488E-3</v>
      </c>
      <c r="BE42" s="8">
        <f t="shared" si="199"/>
        <v>1.8024020571624967E-16</v>
      </c>
      <c r="BG42" s="8">
        <f t="shared" si="200"/>
        <v>0</v>
      </c>
      <c r="BH42" s="8">
        <f t="shared" si="201"/>
        <v>2.3768295165934368</v>
      </c>
      <c r="BI42" s="8">
        <f t="shared" si="202"/>
        <v>4.7593725656786852</v>
      </c>
      <c r="BJ42" s="8">
        <f t="shared" si="203"/>
        <v>7.1533885531517463</v>
      </c>
      <c r="BK42" s="8">
        <f t="shared" si="204"/>
        <v>9.5647294073542639</v>
      </c>
      <c r="BL42" s="8">
        <f t="shared" si="205"/>
        <v>11.999387801953535</v>
      </c>
      <c r="BM42" s="8">
        <f t="shared" si="206"/>
        <v>14.463547796997561</v>
      </c>
      <c r="BN42" s="8">
        <f t="shared" si="207"/>
        <v>16.963638814267235</v>
      </c>
      <c r="BO42" s="8">
        <f t="shared" si="208"/>
        <v>19.506393963766829</v>
      </c>
      <c r="BP42" s="8">
        <f t="shared" si="209"/>
        <v>22.098913872551876</v>
      </c>
      <c r="BQ42" s="8">
        <f t="shared" si="210"/>
        <v>24.748737341529168</v>
      </c>
      <c r="BR42" s="8">
        <f t="shared" si="211"/>
        <v>27.463920378998317</v>
      </c>
      <c r="BS42" s="8">
        <f t="shared" si="212"/>
        <v>30.253125442955852</v>
      </c>
      <c r="BT42" s="8">
        <f t="shared" si="213"/>
        <v>33.125723082613042</v>
      </c>
      <c r="BU42" s="8">
        <f t="shared" si="214"/>
        <v>36.091908623063368</v>
      </c>
      <c r="BV42" s="8">
        <f t="shared" si="215"/>
        <v>39.162837111870324</v>
      </c>
      <c r="BW42" s="8">
        <f t="shared" si="216"/>
        <v>42.350780477483063</v>
      </c>
      <c r="BX42" s="8">
        <f t="shared" si="217"/>
        <v>45.669311783554498</v>
      </c>
      <c r="BY42" s="8">
        <f t="shared" si="218"/>
        <v>49.133522663329963</v>
      </c>
      <c r="BZ42" s="8">
        <f t="shared" si="219"/>
        <v>52.760281569599343</v>
      </c>
      <c r="CA42" s="8">
        <f t="shared" si="220"/>
        <v>56.568542494923804</v>
      </c>
      <c r="CB42" s="8">
        <f t="shared" si="221"/>
        <v>60.579716464937832</v>
      </c>
      <c r="CC42" s="8">
        <f t="shared" si="222"/>
        <v>64.818121608766859</v>
      </c>
      <c r="CD42" s="8">
        <f t="shared" si="223"/>
        <v>69.3115322806905</v>
      </c>
      <c r="CE42" s="8">
        <f t="shared" si="224"/>
        <v>74.091853995430355</v>
      </c>
      <c r="CF42" s="8">
        <f t="shared" si="225"/>
        <v>79.195959492893323</v>
      </c>
      <c r="CG42" s="8">
        <f t="shared" si="226"/>
        <v>84.666733010494511</v>
      </c>
      <c r="CH42" s="8">
        <f t="shared" si="227"/>
        <v>90.554386207289113</v>
      </c>
      <c r="CI42" s="8">
        <f t="shared" si="228"/>
        <v>96.918132246547827</v>
      </c>
      <c r="CJ42" s="8">
        <f t="shared" si="229"/>
        <v>103.82833749068301</v>
      </c>
      <c r="CK42" s="8">
        <f t="shared" si="230"/>
        <v>111.36931803688134</v>
      </c>
      <c r="CL42" s="8">
        <f t="shared" si="231"/>
        <v>119.6430187270807</v>
      </c>
      <c r="CM42" s="8">
        <f t="shared" si="232"/>
        <v>128.77391787462349</v>
      </c>
      <c r="CN42" s="8">
        <f t="shared" si="233"/>
        <v>138.91566246981671</v>
      </c>
      <c r="CO42" s="8">
        <f t="shared" si="234"/>
        <v>150.26019100214162</v>
      </c>
      <c r="CP42" s="8">
        <f t="shared" si="235"/>
        <v>163.05050483831013</v>
      </c>
      <c r="CQ42" s="8">
        <f t="shared" si="236"/>
        <v>177.59891248406356</v>
      </c>
      <c r="CR42" s="8">
        <f t="shared" si="237"/>
        <v>194.31369371598552</v>
      </c>
      <c r="CS42" s="8">
        <f t="shared" si="238"/>
        <v>213.73909522229806</v>
      </c>
      <c r="CT42" s="8">
        <f t="shared" si="239"/>
        <v>236.61714148796105</v>
      </c>
      <c r="CU42" s="8">
        <f t="shared" si="240"/>
        <v>263.986531642979</v>
      </c>
      <c r="CV42" s="8">
        <f t="shared" si="241"/>
        <v>297.34746696049854</v>
      </c>
      <c r="CW42" s="8">
        <f t="shared" si="242"/>
        <v>338.95009837311898</v>
      </c>
      <c r="CX42" s="8">
        <f t="shared" si="243"/>
        <v>392.3302140777003</v>
      </c>
      <c r="CY42" s="8">
        <f t="shared" si="244"/>
        <v>463.38061405416721</v>
      </c>
      <c r="CZ42" s="8">
        <f t="shared" si="245"/>
        <v>562.70813323898528</v>
      </c>
      <c r="DA42" s="8">
        <f t="shared" si="246"/>
        <v>711.52619856897422</v>
      </c>
      <c r="DB42" s="8">
        <f t="shared" si="247"/>
        <v>959.33249901187196</v>
      </c>
      <c r="DC42" s="8">
        <f t="shared" si="248"/>
        <v>1454.6196641552299</v>
      </c>
      <c r="DD42" s="8">
        <f t="shared" si="249"/>
        <v>2939.8500114788035</v>
      </c>
      <c r="DE42" s="8">
        <f t="shared" si="250"/>
        <v>4.4583361707680472E+16</v>
      </c>
      <c r="DG42">
        <f>0.00012</f>
        <v>1.2E-4</v>
      </c>
      <c r="DH42" s="8">
        <f t="shared" si="251"/>
        <v>2.4000000000000001E-4</v>
      </c>
      <c r="DI42" s="8">
        <f t="shared" si="252"/>
        <v>0.24</v>
      </c>
      <c r="DJ42" s="8">
        <f>'estimates new'!AU63</f>
        <v>0.39080459770114945</v>
      </c>
      <c r="DK42" s="8">
        <f t="shared" si="253"/>
        <v>0.15080459770114946</v>
      </c>
    </row>
    <row r="43" spans="7:127" x14ac:dyDescent="0.25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7:127" x14ac:dyDescent="0.25">
      <c r="G44" s="10" t="s">
        <v>139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7:127" x14ac:dyDescent="0.25">
      <c r="G45" s="8">
        <f>ABS((3*$D$2*2/(4*PI()*$G2*$F$4))*4*B$8/$F$4^2)</f>
        <v>0</v>
      </c>
      <c r="H45" s="8">
        <f t="shared" ref="H45:BE45" si="254">ABS((3*$D$2*2/(4*PI()*$G2*$F$4))*4*C$8/$F$4^2)</f>
        <v>0.5625</v>
      </c>
      <c r="I45" s="8">
        <f t="shared" si="254"/>
        <v>1.125</v>
      </c>
      <c r="J45" s="8">
        <f t="shared" si="254"/>
        <v>1.6875000000000004</v>
      </c>
      <c r="K45" s="8">
        <f t="shared" si="254"/>
        <v>2.25</v>
      </c>
      <c r="L45" s="8">
        <f t="shared" si="254"/>
        <v>2.8125000000000004</v>
      </c>
      <c r="M45" s="8">
        <f t="shared" si="254"/>
        <v>3.3750000000000004</v>
      </c>
      <c r="N45" s="8">
        <f t="shared" si="254"/>
        <v>3.9375000000000009</v>
      </c>
      <c r="O45" s="8">
        <f t="shared" si="254"/>
        <v>4.5</v>
      </c>
      <c r="P45" s="8">
        <f t="shared" si="254"/>
        <v>5.0625000000000009</v>
      </c>
      <c r="Q45" s="8">
        <f t="shared" si="254"/>
        <v>5.6250000000000009</v>
      </c>
      <c r="R45" s="8">
        <f t="shared" si="254"/>
        <v>6.1875000000000009</v>
      </c>
      <c r="S45" s="8">
        <f t="shared" si="254"/>
        <v>6.7500000000000009</v>
      </c>
      <c r="T45" s="8">
        <f t="shared" si="254"/>
        <v>7.3125000000000009</v>
      </c>
      <c r="U45" s="8">
        <f t="shared" si="254"/>
        <v>7.8750000000000018</v>
      </c>
      <c r="V45" s="8">
        <f t="shared" si="254"/>
        <v>8.4375000000000018</v>
      </c>
      <c r="W45" s="8">
        <f t="shared" si="254"/>
        <v>9</v>
      </c>
      <c r="X45" s="8">
        <f t="shared" si="254"/>
        <v>9.5625</v>
      </c>
      <c r="Y45" s="8">
        <f t="shared" si="254"/>
        <v>10.125000000000002</v>
      </c>
      <c r="Z45" s="8">
        <f t="shared" si="254"/>
        <v>10.687500000000002</v>
      </c>
      <c r="AA45" s="8">
        <f t="shared" si="254"/>
        <v>11.250000000000002</v>
      </c>
      <c r="AB45" s="8">
        <f t="shared" si="254"/>
        <v>11.812500000000002</v>
      </c>
      <c r="AC45" s="8">
        <f t="shared" si="254"/>
        <v>12.375000000000002</v>
      </c>
      <c r="AD45" s="8">
        <f t="shared" si="254"/>
        <v>12.937500000000002</v>
      </c>
      <c r="AE45" s="8">
        <f t="shared" si="254"/>
        <v>13.500000000000002</v>
      </c>
      <c r="AF45" s="8">
        <f t="shared" si="254"/>
        <v>14.062500000000002</v>
      </c>
      <c r="AG45" s="8">
        <f t="shared" si="254"/>
        <v>14.625000000000002</v>
      </c>
      <c r="AH45" s="8">
        <f t="shared" si="254"/>
        <v>15.187500000000004</v>
      </c>
      <c r="AI45" s="8">
        <f t="shared" si="254"/>
        <v>15.750000000000007</v>
      </c>
      <c r="AJ45" s="8">
        <f t="shared" si="254"/>
        <v>16.312500000000007</v>
      </c>
      <c r="AK45" s="8">
        <f t="shared" si="254"/>
        <v>16.875000000000007</v>
      </c>
      <c r="AL45" s="8">
        <f t="shared" si="254"/>
        <v>17.437500000000011</v>
      </c>
      <c r="AM45" s="8">
        <f t="shared" si="254"/>
        <v>18.000000000000011</v>
      </c>
      <c r="AN45" s="8">
        <f t="shared" si="254"/>
        <v>18.562500000000014</v>
      </c>
      <c r="AO45" s="8">
        <f t="shared" si="254"/>
        <v>19.125000000000014</v>
      </c>
      <c r="AP45" s="8">
        <f t="shared" si="254"/>
        <v>19.687500000000014</v>
      </c>
      <c r="AQ45" s="8">
        <f t="shared" si="254"/>
        <v>20.250000000000018</v>
      </c>
      <c r="AR45" s="8">
        <f t="shared" si="254"/>
        <v>20.812500000000018</v>
      </c>
      <c r="AS45" s="8">
        <f t="shared" si="254"/>
        <v>21.375000000000021</v>
      </c>
      <c r="AT45" s="8">
        <f t="shared" si="254"/>
        <v>21.937500000000021</v>
      </c>
      <c r="AU45" s="8">
        <f t="shared" si="254"/>
        <v>22.500000000000021</v>
      </c>
      <c r="AV45" s="8">
        <f t="shared" si="254"/>
        <v>23.062500000000025</v>
      </c>
      <c r="AW45" s="8">
        <f t="shared" si="254"/>
        <v>23.625000000000025</v>
      </c>
      <c r="AX45" s="8">
        <f t="shared" si="254"/>
        <v>24.187500000000028</v>
      </c>
      <c r="AY45" s="8">
        <f t="shared" si="254"/>
        <v>24.750000000000028</v>
      </c>
      <c r="AZ45" s="8">
        <f t="shared" si="254"/>
        <v>25.312500000000032</v>
      </c>
      <c r="BA45" s="8">
        <f t="shared" si="254"/>
        <v>25.875000000000036</v>
      </c>
      <c r="BB45" s="8">
        <f t="shared" si="254"/>
        <v>26.437500000000036</v>
      </c>
      <c r="BC45" s="8">
        <f t="shared" si="254"/>
        <v>27.000000000000039</v>
      </c>
      <c r="BD45" s="8">
        <f t="shared" si="254"/>
        <v>27.562500000000039</v>
      </c>
      <c r="BE45" s="8">
        <f t="shared" si="254"/>
        <v>28.125000000000039</v>
      </c>
    </row>
    <row r="46" spans="7:127" x14ac:dyDescent="0.25">
      <c r="G46" s="8">
        <f t="shared" ref="G46:G47" si="255">ABS((3*$D$2*2/(4*PI()*$G3*$F$4))*4*B$8/$F$4^2)</f>
        <v>0</v>
      </c>
      <c r="H46" s="8">
        <f t="shared" ref="H46:H47" si="256">ABS((3*$D$2*2/(4*PI()*$G3*$F$4))*4*C$8/$F$4^2)</f>
        <v>0.25</v>
      </c>
      <c r="I46" s="8">
        <f t="shared" ref="I46:I47" si="257">ABS((3*$D$2*2/(4*PI()*$G3*$F$4))*4*D$8/$F$4^2)</f>
        <v>0.5</v>
      </c>
      <c r="J46" s="8">
        <f t="shared" ref="J46:J47" si="258">ABS((3*$D$2*2/(4*PI()*$G3*$F$4))*4*E$8/$F$4^2)</f>
        <v>0.75</v>
      </c>
      <c r="K46" s="8">
        <f t="shared" ref="K46:K47" si="259">ABS((3*$D$2*2/(4*PI()*$G3*$F$4))*4*F$8/$F$4^2)</f>
        <v>1</v>
      </c>
      <c r="L46" s="8">
        <f t="shared" ref="L46:L47" si="260">ABS((3*$D$2*2/(4*PI()*$G3*$F$4))*4*G$8/$F$4^2)</f>
        <v>1.25</v>
      </c>
      <c r="M46" s="8">
        <f t="shared" ref="M46:M47" si="261">ABS((3*$D$2*2/(4*PI()*$G3*$F$4))*4*H$8/$F$4^2)</f>
        <v>1.5</v>
      </c>
      <c r="N46" s="8">
        <f t="shared" ref="N46:N47" si="262">ABS((3*$D$2*2/(4*PI()*$G3*$F$4))*4*I$8/$F$4^2)</f>
        <v>1.75</v>
      </c>
      <c r="O46" s="8">
        <f t="shared" ref="O46:O47" si="263">ABS((3*$D$2*2/(4*PI()*$G3*$F$4))*4*J$8/$F$4^2)</f>
        <v>2</v>
      </c>
      <c r="P46" s="8">
        <f t="shared" ref="P46:P47" si="264">ABS((3*$D$2*2/(4*PI()*$G3*$F$4))*4*K$8/$F$4^2)</f>
        <v>2.25</v>
      </c>
      <c r="Q46" s="8">
        <f t="shared" ref="Q46:Q47" si="265">ABS((3*$D$2*2/(4*PI()*$G3*$F$4))*4*L$8/$F$4^2)</f>
        <v>2.5</v>
      </c>
      <c r="R46" s="8">
        <f t="shared" ref="R46:R47" si="266">ABS((3*$D$2*2/(4*PI()*$G3*$F$4))*4*M$8/$F$4^2)</f>
        <v>2.75</v>
      </c>
      <c r="S46" s="8">
        <f t="shared" ref="S46:S47" si="267">ABS((3*$D$2*2/(4*PI()*$G3*$F$4))*4*N$8/$F$4^2)</f>
        <v>3</v>
      </c>
      <c r="T46" s="8">
        <f t="shared" ref="T46:T47" si="268">ABS((3*$D$2*2/(4*PI()*$G3*$F$4))*4*O$8/$F$4^2)</f>
        <v>3.2500000000000004</v>
      </c>
      <c r="U46" s="8">
        <f t="shared" ref="U46:U47" si="269">ABS((3*$D$2*2/(4*PI()*$G3*$F$4))*4*P$8/$F$4^2)</f>
        <v>3.5</v>
      </c>
      <c r="V46" s="8">
        <f t="shared" ref="V46:V47" si="270">ABS((3*$D$2*2/(4*PI()*$G3*$F$4))*4*Q$8/$F$4^2)</f>
        <v>3.7500000000000004</v>
      </c>
      <c r="W46" s="8">
        <f t="shared" ref="W46:W47" si="271">ABS((3*$D$2*2/(4*PI()*$G3*$F$4))*4*R$8/$F$4^2)</f>
        <v>4</v>
      </c>
      <c r="X46" s="8">
        <f t="shared" ref="X46:X47" si="272">ABS((3*$D$2*2/(4*PI()*$G3*$F$4))*4*S$8/$F$4^2)</f>
        <v>4.25</v>
      </c>
      <c r="Y46" s="8">
        <f t="shared" ref="Y46:Y47" si="273">ABS((3*$D$2*2/(4*PI()*$G3*$F$4))*4*T$8/$F$4^2)</f>
        <v>4.5</v>
      </c>
      <c r="Z46" s="8">
        <f t="shared" ref="Z46:Z47" si="274">ABS((3*$D$2*2/(4*PI()*$G3*$F$4))*4*U$8/$F$4^2)</f>
        <v>4.7500000000000009</v>
      </c>
      <c r="AA46" s="8">
        <f t="shared" ref="AA46:AA47" si="275">ABS((3*$D$2*2/(4*PI()*$G3*$F$4))*4*V$8/$F$4^2)</f>
        <v>5</v>
      </c>
      <c r="AB46" s="8">
        <f t="shared" ref="AB46:AB47" si="276">ABS((3*$D$2*2/(4*PI()*$G3*$F$4))*4*W$8/$F$4^2)</f>
        <v>5.25</v>
      </c>
      <c r="AC46" s="8">
        <f t="shared" ref="AC46:AC47" si="277">ABS((3*$D$2*2/(4*PI()*$G3*$F$4))*4*X$8/$F$4^2)</f>
        <v>5.5</v>
      </c>
      <c r="AD46" s="8">
        <f t="shared" ref="AD46:AD47" si="278">ABS((3*$D$2*2/(4*PI()*$G3*$F$4))*4*Y$8/$F$4^2)</f>
        <v>5.75</v>
      </c>
      <c r="AE46" s="8">
        <f t="shared" ref="AE46:AE47" si="279">ABS((3*$D$2*2/(4*PI()*$G3*$F$4))*4*Z$8/$F$4^2)</f>
        <v>6</v>
      </c>
      <c r="AF46" s="8">
        <f t="shared" ref="AF46:AF47" si="280">ABS((3*$D$2*2/(4*PI()*$G3*$F$4))*4*AA$8/$F$4^2)</f>
        <v>6.25</v>
      </c>
      <c r="AG46" s="8">
        <f t="shared" ref="AG46:AG47" si="281">ABS((3*$D$2*2/(4*PI()*$G3*$F$4))*4*AB$8/$F$4^2)</f>
        <v>6.5000000000000009</v>
      </c>
      <c r="AH46" s="8">
        <f t="shared" ref="AH46:AH47" si="282">ABS((3*$D$2*2/(4*PI()*$G3*$F$4))*4*AC$8/$F$4^2)</f>
        <v>6.7500000000000009</v>
      </c>
      <c r="AI46" s="8">
        <f t="shared" ref="AI46:AI47" si="283">ABS((3*$D$2*2/(4*PI()*$G3*$F$4))*4*AD$8/$F$4^2)</f>
        <v>7.0000000000000018</v>
      </c>
      <c r="AJ46" s="8">
        <f t="shared" ref="AJ46:AJ47" si="284">ABS((3*$D$2*2/(4*PI()*$G3*$F$4))*4*AE$8/$F$4^2)</f>
        <v>7.2500000000000018</v>
      </c>
      <c r="AK46" s="8">
        <f t="shared" ref="AK46:AK47" si="285">ABS((3*$D$2*2/(4*PI()*$G3*$F$4))*4*AF$8/$F$4^2)</f>
        <v>7.5000000000000027</v>
      </c>
      <c r="AL46" s="8">
        <f t="shared" ref="AL46:AL47" si="286">ABS((3*$D$2*2/(4*PI()*$G3*$F$4))*4*AG$8/$F$4^2)</f>
        <v>7.7500000000000044</v>
      </c>
      <c r="AM46" s="8">
        <f t="shared" ref="AM46:AM47" si="287">ABS((3*$D$2*2/(4*PI()*$G3*$F$4))*4*AH$8/$F$4^2)</f>
        <v>8.0000000000000053</v>
      </c>
      <c r="AN46" s="8">
        <f t="shared" ref="AN46:AN47" si="288">ABS((3*$D$2*2/(4*PI()*$G3*$F$4))*4*AI$8/$F$4^2)</f>
        <v>8.2500000000000036</v>
      </c>
      <c r="AO46" s="8">
        <f t="shared" ref="AO46:AO47" si="289">ABS((3*$D$2*2/(4*PI()*$G3*$F$4))*4*AJ$8/$F$4^2)</f>
        <v>8.5000000000000053</v>
      </c>
      <c r="AP46" s="8">
        <f t="shared" ref="AP46:AP47" si="290">ABS((3*$D$2*2/(4*PI()*$G3*$F$4))*4*AK$8/$F$4^2)</f>
        <v>8.7500000000000071</v>
      </c>
      <c r="AQ46" s="8">
        <f t="shared" ref="AQ46:AQ47" si="291">ABS((3*$D$2*2/(4*PI()*$G3*$F$4))*4*AL$8/$F$4^2)</f>
        <v>9.0000000000000071</v>
      </c>
      <c r="AR46" s="8">
        <f t="shared" ref="AR46:AR47" si="292">ABS((3*$D$2*2/(4*PI()*$G3*$F$4))*4*AM$8/$F$4^2)</f>
        <v>9.2500000000000089</v>
      </c>
      <c r="AS46" s="8">
        <f t="shared" ref="AS46:AS47" si="293">ABS((3*$D$2*2/(4*PI()*$G3*$F$4))*4*AN$8/$F$4^2)</f>
        <v>9.5000000000000071</v>
      </c>
      <c r="AT46" s="8">
        <f t="shared" ref="AT46:AT47" si="294">ABS((3*$D$2*2/(4*PI()*$G3*$F$4))*4*AO$8/$F$4^2)</f>
        <v>9.7500000000000089</v>
      </c>
      <c r="AU46" s="8">
        <f t="shared" ref="AU46:AU47" si="295">ABS((3*$D$2*2/(4*PI()*$G3*$F$4))*4*AP$8/$F$4^2)</f>
        <v>10.000000000000009</v>
      </c>
      <c r="AV46" s="8">
        <f t="shared" ref="AV46:AV47" si="296">ABS((3*$D$2*2/(4*PI()*$G3*$F$4))*4*AQ$8/$F$4^2)</f>
        <v>10.250000000000011</v>
      </c>
      <c r="AW46" s="8">
        <f t="shared" ref="AW46:AW47" si="297">ABS((3*$D$2*2/(4*PI()*$G3*$F$4))*4*AR$8/$F$4^2)</f>
        <v>10.500000000000011</v>
      </c>
      <c r="AX46" s="8">
        <f t="shared" ref="AX46:AX47" si="298">ABS((3*$D$2*2/(4*PI()*$G3*$F$4))*4*AS$8/$F$4^2)</f>
        <v>10.750000000000011</v>
      </c>
      <c r="AY46" s="8">
        <f t="shared" ref="AY46:AY47" si="299">ABS((3*$D$2*2/(4*PI()*$G3*$F$4))*4*AT$8/$F$4^2)</f>
        <v>11.000000000000012</v>
      </c>
      <c r="AZ46" s="8">
        <f t="shared" ref="AZ46:AZ47" si="300">ABS((3*$D$2*2/(4*PI()*$G3*$F$4))*4*AU$8/$F$4^2)</f>
        <v>11.250000000000012</v>
      </c>
      <c r="BA46" s="8">
        <f t="shared" ref="BA46:BA47" si="301">ABS((3*$D$2*2/(4*PI()*$G3*$F$4))*4*AV$8/$F$4^2)</f>
        <v>11.500000000000014</v>
      </c>
      <c r="BB46" s="8">
        <f t="shared" ref="BB46:BB47" si="302">ABS((3*$D$2*2/(4*PI()*$G3*$F$4))*4*AW$8/$F$4^2)</f>
        <v>11.750000000000014</v>
      </c>
      <c r="BC46" s="8">
        <f t="shared" ref="BC46:BC47" si="303">ABS((3*$D$2*2/(4*PI()*$G3*$F$4))*4*AX$8/$F$4^2)</f>
        <v>12.000000000000014</v>
      </c>
      <c r="BD46" s="8">
        <f t="shared" ref="BD46:BD47" si="304">ABS((3*$D$2*2/(4*PI()*$G3*$F$4))*4*AY$8/$F$4^2)</f>
        <v>12.250000000000016</v>
      </c>
      <c r="BE46" s="8">
        <f t="shared" ref="BE46:BE47" si="305">ABS((3*$D$2*2/(4*PI()*$G3*$F$4))*4*AZ$8/$F$4^2)</f>
        <v>12.500000000000016</v>
      </c>
    </row>
    <row r="47" spans="7:127" x14ac:dyDescent="0.25">
      <c r="G47" s="8">
        <f t="shared" si="255"/>
        <v>0</v>
      </c>
      <c r="H47" s="8">
        <f t="shared" si="256"/>
        <v>0.1607142857142857</v>
      </c>
      <c r="I47" s="8">
        <f t="shared" si="257"/>
        <v>0.3214285714285714</v>
      </c>
      <c r="J47" s="8">
        <f t="shared" si="258"/>
        <v>0.48214285714285715</v>
      </c>
      <c r="K47" s="8">
        <f t="shared" si="259"/>
        <v>0.64285714285714279</v>
      </c>
      <c r="L47" s="8">
        <f t="shared" si="260"/>
        <v>0.8035714285714286</v>
      </c>
      <c r="M47" s="8">
        <f t="shared" si="261"/>
        <v>0.9642857142857143</v>
      </c>
      <c r="N47" s="8">
        <f t="shared" si="262"/>
        <v>1.125</v>
      </c>
      <c r="O47" s="8">
        <f t="shared" si="263"/>
        <v>1.2857142857142856</v>
      </c>
      <c r="P47" s="8">
        <f t="shared" si="264"/>
        <v>1.4464285714285714</v>
      </c>
      <c r="Q47" s="8">
        <f t="shared" si="265"/>
        <v>1.6071428571428572</v>
      </c>
      <c r="R47" s="8">
        <f t="shared" si="266"/>
        <v>1.7678571428571428</v>
      </c>
      <c r="S47" s="8">
        <f t="shared" si="267"/>
        <v>1.9285714285714286</v>
      </c>
      <c r="T47" s="8">
        <f t="shared" si="268"/>
        <v>2.0892857142857144</v>
      </c>
      <c r="U47" s="8">
        <f t="shared" si="269"/>
        <v>2.25</v>
      </c>
      <c r="V47" s="8">
        <f t="shared" si="270"/>
        <v>2.4107142857142856</v>
      </c>
      <c r="W47" s="8">
        <f t="shared" si="271"/>
        <v>2.5714285714285712</v>
      </c>
      <c r="X47" s="8">
        <f t="shared" si="272"/>
        <v>2.7321428571428572</v>
      </c>
      <c r="Y47" s="8">
        <f t="shared" si="273"/>
        <v>2.8928571428571428</v>
      </c>
      <c r="Z47" s="8">
        <f t="shared" si="274"/>
        <v>3.0535714285714284</v>
      </c>
      <c r="AA47" s="8">
        <f t="shared" si="275"/>
        <v>3.2142857142857144</v>
      </c>
      <c r="AB47" s="8">
        <f t="shared" si="276"/>
        <v>3.375</v>
      </c>
      <c r="AC47" s="8">
        <f t="shared" si="277"/>
        <v>3.5357142857142856</v>
      </c>
      <c r="AD47" s="8">
        <f t="shared" si="278"/>
        <v>3.6964285714285712</v>
      </c>
      <c r="AE47" s="8">
        <f t="shared" si="279"/>
        <v>3.8571428571428572</v>
      </c>
      <c r="AF47" s="8">
        <f t="shared" si="280"/>
        <v>4.0178571428571423</v>
      </c>
      <c r="AG47" s="8">
        <f t="shared" si="281"/>
        <v>4.1785714285714288</v>
      </c>
      <c r="AH47" s="8">
        <f t="shared" si="282"/>
        <v>4.3392857142857153</v>
      </c>
      <c r="AI47" s="8">
        <f t="shared" si="283"/>
        <v>4.5000000000000009</v>
      </c>
      <c r="AJ47" s="8">
        <f t="shared" si="284"/>
        <v>4.6607142857142874</v>
      </c>
      <c r="AK47" s="8">
        <f t="shared" si="285"/>
        <v>4.821428571428573</v>
      </c>
      <c r="AL47" s="8">
        <f t="shared" si="286"/>
        <v>4.9821428571428594</v>
      </c>
      <c r="AM47" s="8">
        <f t="shared" si="287"/>
        <v>5.1428571428571459</v>
      </c>
      <c r="AN47" s="8">
        <f t="shared" si="288"/>
        <v>5.3035714285714324</v>
      </c>
      <c r="AO47" s="8">
        <f t="shared" si="289"/>
        <v>5.464285714285718</v>
      </c>
      <c r="AP47" s="8">
        <f t="shared" si="290"/>
        <v>5.6250000000000044</v>
      </c>
      <c r="AQ47" s="8">
        <f t="shared" si="291"/>
        <v>5.78571428571429</v>
      </c>
      <c r="AR47" s="8">
        <f t="shared" si="292"/>
        <v>5.9464285714285756</v>
      </c>
      <c r="AS47" s="8">
        <f t="shared" si="293"/>
        <v>6.1071428571428621</v>
      </c>
      <c r="AT47" s="8">
        <f t="shared" si="294"/>
        <v>6.2678571428571486</v>
      </c>
      <c r="AU47" s="8">
        <f t="shared" si="295"/>
        <v>6.428571428571435</v>
      </c>
      <c r="AV47" s="8">
        <f t="shared" si="296"/>
        <v>6.5892857142857206</v>
      </c>
      <c r="AW47" s="8">
        <f t="shared" si="297"/>
        <v>6.7500000000000071</v>
      </c>
      <c r="AX47" s="8">
        <f t="shared" si="298"/>
        <v>6.9107142857142927</v>
      </c>
      <c r="AY47" s="8">
        <f t="shared" si="299"/>
        <v>7.0714285714285792</v>
      </c>
      <c r="AZ47" s="8">
        <f t="shared" si="300"/>
        <v>7.2321428571428656</v>
      </c>
      <c r="BA47" s="8">
        <f t="shared" si="301"/>
        <v>7.3928571428571512</v>
      </c>
      <c r="BB47" s="8">
        <f t="shared" si="302"/>
        <v>7.5535714285714377</v>
      </c>
      <c r="BC47" s="8">
        <f t="shared" si="303"/>
        <v>7.7142857142857224</v>
      </c>
      <c r="BD47" s="8">
        <f t="shared" si="304"/>
        <v>7.8750000000000107</v>
      </c>
      <c r="BE47" s="8">
        <f t="shared" si="305"/>
        <v>8.0357142857142971</v>
      </c>
    </row>
    <row r="49" spans="7:175" x14ac:dyDescent="0.25">
      <c r="G49" s="10" t="s">
        <v>135</v>
      </c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7:175" x14ac:dyDescent="0.25">
      <c r="G50" s="10" t="s">
        <v>145</v>
      </c>
      <c r="H50" s="1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7:175" x14ac:dyDescent="0.25">
      <c r="G51" s="10" t="s">
        <v>140</v>
      </c>
      <c r="H51" s="1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CK51" t="s">
        <v>146</v>
      </c>
      <c r="FO51" t="s">
        <v>164</v>
      </c>
      <c r="FP51" t="s">
        <v>160</v>
      </c>
      <c r="FQ51" t="s">
        <v>165</v>
      </c>
      <c r="FR51" t="s">
        <v>163</v>
      </c>
      <c r="FS51" t="s">
        <v>72</v>
      </c>
    </row>
    <row r="52" spans="7:175" x14ac:dyDescent="0.25">
      <c r="G52" s="8">
        <f>ABS(SQRT(2)*(3*$D$2*2/(8*PI()*$F$5*$G2^2))*(1-B$8^2/($F$5/2)^2))</f>
        <v>0.51790047450186594</v>
      </c>
      <c r="H52" s="8">
        <f t="shared" ref="H52:BS52" si="306">ABS(SQRT(2)*(3*$D$2*2/(8*PI()*$F$5*$G2^2))*(1-C$8^2/($F$5/2)^2))</f>
        <v>0.51781955255272505</v>
      </c>
      <c r="I52" s="8">
        <f t="shared" si="306"/>
        <v>0.51757678670530227</v>
      </c>
      <c r="J52" s="8">
        <f t="shared" si="306"/>
        <v>0.51717217695959761</v>
      </c>
      <c r="K52" s="8">
        <f t="shared" si="306"/>
        <v>0.51660572331561128</v>
      </c>
      <c r="L52" s="8">
        <f t="shared" si="306"/>
        <v>0.51587742577334306</v>
      </c>
      <c r="M52" s="8">
        <f t="shared" si="306"/>
        <v>0.51498728433279295</v>
      </c>
      <c r="N52" s="8">
        <f t="shared" si="306"/>
        <v>0.51393529899396106</v>
      </c>
      <c r="O52" s="8">
        <f t="shared" si="306"/>
        <v>0.51272146975684729</v>
      </c>
      <c r="P52" s="8">
        <f t="shared" si="306"/>
        <v>0.51134579662145163</v>
      </c>
      <c r="Q52" s="8">
        <f t="shared" si="306"/>
        <v>0.5098082795877743</v>
      </c>
      <c r="R52" s="8">
        <f t="shared" si="306"/>
        <v>0.50810891865581498</v>
      </c>
      <c r="S52" s="8">
        <f t="shared" si="306"/>
        <v>0.50624771382557399</v>
      </c>
      <c r="T52" s="8">
        <f t="shared" si="306"/>
        <v>0.50422466509705111</v>
      </c>
      <c r="U52" s="8">
        <f t="shared" si="306"/>
        <v>0.50203977247024634</v>
      </c>
      <c r="V52" s="8">
        <f t="shared" si="306"/>
        <v>0.49969303594515974</v>
      </c>
      <c r="W52" s="8">
        <f t="shared" si="306"/>
        <v>0.4971844555217913</v>
      </c>
      <c r="X52" s="8">
        <f t="shared" si="306"/>
        <v>0.49451403120014104</v>
      </c>
      <c r="Y52" s="8">
        <f t="shared" si="306"/>
        <v>0.49168176298020894</v>
      </c>
      <c r="Z52" s="8">
        <f t="shared" si="306"/>
        <v>0.48868765086199506</v>
      </c>
      <c r="AA52" s="8">
        <f t="shared" si="306"/>
        <v>0.4855316948454993</v>
      </c>
      <c r="AB52" s="8">
        <f t="shared" si="306"/>
        <v>0.48221389493072175</v>
      </c>
      <c r="AC52" s="8">
        <f t="shared" si="306"/>
        <v>0.47873425111766232</v>
      </c>
      <c r="AD52" s="8">
        <f t="shared" si="306"/>
        <v>0.47509276340632106</v>
      </c>
      <c r="AE52" s="8">
        <f t="shared" si="306"/>
        <v>0.47128943179669802</v>
      </c>
      <c r="AF52" s="8">
        <f t="shared" si="306"/>
        <v>0.46732425628879309</v>
      </c>
      <c r="AG52" s="8">
        <f t="shared" si="306"/>
        <v>0.46319723688260639</v>
      </c>
      <c r="AH52" s="8">
        <f t="shared" si="306"/>
        <v>0.45890837357813774</v>
      </c>
      <c r="AI52" s="8">
        <f t="shared" si="306"/>
        <v>0.45445766637538731</v>
      </c>
      <c r="AJ52" s="8">
        <f t="shared" si="306"/>
        <v>0.44984511527435511</v>
      </c>
      <c r="AK52" s="8">
        <f t="shared" si="306"/>
        <v>0.44507072027504097</v>
      </c>
      <c r="AL52" s="8">
        <f t="shared" si="306"/>
        <v>0.44013448137744504</v>
      </c>
      <c r="AM52" s="8">
        <f t="shared" si="306"/>
        <v>0.43503639858156734</v>
      </c>
      <c r="AN52" s="8">
        <f t="shared" si="306"/>
        <v>0.4297764718874077</v>
      </c>
      <c r="AO52" s="8">
        <f t="shared" si="306"/>
        <v>0.42435470129496627</v>
      </c>
      <c r="AP52" s="8">
        <f t="shared" si="306"/>
        <v>0.41877108680424302</v>
      </c>
      <c r="AQ52" s="8">
        <f t="shared" si="306"/>
        <v>0.41302562841523793</v>
      </c>
      <c r="AR52" s="8">
        <f t="shared" si="306"/>
        <v>0.40711832612795096</v>
      </c>
      <c r="AS52" s="8">
        <f t="shared" si="306"/>
        <v>0.40104917994238221</v>
      </c>
      <c r="AT52" s="8">
        <f t="shared" si="306"/>
        <v>0.39481818985853162</v>
      </c>
      <c r="AU52" s="8">
        <f t="shared" si="306"/>
        <v>0.3884253558763992</v>
      </c>
      <c r="AV52" s="8">
        <f t="shared" si="306"/>
        <v>0.38187067799598495</v>
      </c>
      <c r="AW52" s="8">
        <f t="shared" si="306"/>
        <v>0.37515415621728881</v>
      </c>
      <c r="AX52" s="8">
        <f t="shared" si="306"/>
        <v>0.36827579054031095</v>
      </c>
      <c r="AY52" s="8">
        <f t="shared" si="306"/>
        <v>0.36123558096505115</v>
      </c>
      <c r="AZ52" s="8">
        <f t="shared" si="306"/>
        <v>0.35403352749150957</v>
      </c>
      <c r="BA52" s="8">
        <f t="shared" si="306"/>
        <v>0.3466696301196861</v>
      </c>
      <c r="BB52" s="8">
        <f t="shared" si="306"/>
        <v>0.3391438888495808</v>
      </c>
      <c r="BC52" s="8">
        <f t="shared" si="306"/>
        <v>0.33145630368119372</v>
      </c>
      <c r="BD52" s="8">
        <f t="shared" si="306"/>
        <v>0.32360687461452481</v>
      </c>
      <c r="BE52" s="8">
        <f t="shared" si="306"/>
        <v>0.31559560164957395</v>
      </c>
      <c r="BF52" s="8">
        <f t="shared" si="306"/>
        <v>0.30742248478634143</v>
      </c>
      <c r="BG52" s="8">
        <f t="shared" si="306"/>
        <v>0.29908752402482697</v>
      </c>
      <c r="BH52" s="8">
        <f t="shared" si="306"/>
        <v>0.29059071936503073</v>
      </c>
      <c r="BI52" s="8">
        <f t="shared" si="306"/>
        <v>0.28193207080695259</v>
      </c>
      <c r="BJ52" s="8">
        <f t="shared" si="306"/>
        <v>0.27311157835059269</v>
      </c>
      <c r="BK52" s="8">
        <f t="shared" si="306"/>
        <v>0.26412924199595095</v>
      </c>
      <c r="BL52" s="8">
        <f t="shared" si="306"/>
        <v>0.25498506174302732</v>
      </c>
      <c r="BM52" s="8">
        <f t="shared" si="306"/>
        <v>0.24567903759182183</v>
      </c>
      <c r="BN52" s="8">
        <f t="shared" si="306"/>
        <v>0.23621116954233459</v>
      </c>
      <c r="BO52" s="8">
        <f t="shared" si="306"/>
        <v>0.22658145759456549</v>
      </c>
      <c r="BP52" s="8">
        <f t="shared" si="306"/>
        <v>0.21678990174851451</v>
      </c>
      <c r="BQ52" s="8">
        <f t="shared" si="306"/>
        <v>0.20683650200418174</v>
      </c>
      <c r="BR52" s="8">
        <f t="shared" si="306"/>
        <v>0.19672125836156712</v>
      </c>
      <c r="BS52" s="8">
        <f t="shared" si="306"/>
        <v>0.18644417082067063</v>
      </c>
      <c r="BT52" s="8">
        <f t="shared" ref="BT52:CI52" si="307">ABS(SQRT(2)*(3*$D$2*2/(8*PI()*$F$5*$G2^2))*(1-BO$8^2/($F$5/2)^2))</f>
        <v>0.1760052393814924</v>
      </c>
      <c r="BU52" s="8">
        <f t="shared" si="307"/>
        <v>0.16540446404403228</v>
      </c>
      <c r="BV52" s="8">
        <f t="shared" si="307"/>
        <v>0.15464184480829032</v>
      </c>
      <c r="BW52" s="8">
        <f t="shared" si="307"/>
        <v>0.14371738167426656</v>
      </c>
      <c r="BX52" s="8">
        <f t="shared" si="307"/>
        <v>0.13263107464196092</v>
      </c>
      <c r="BY52" s="8">
        <f t="shared" si="307"/>
        <v>0.12138292371137351</v>
      </c>
      <c r="BZ52" s="8">
        <f t="shared" si="307"/>
        <v>0.10997292888250418</v>
      </c>
      <c r="CA52" s="8">
        <f t="shared" si="307"/>
        <v>9.8401090155353116E-2</v>
      </c>
      <c r="CB52" s="8">
        <f t="shared" si="307"/>
        <v>8.6667407529920193E-2</v>
      </c>
      <c r="CC52" s="8">
        <f t="shared" si="307"/>
        <v>7.477188100620541E-2</v>
      </c>
      <c r="CD52" s="8">
        <f t="shared" si="307"/>
        <v>6.2714510584208724E-2</v>
      </c>
      <c r="CE52" s="8">
        <f t="shared" si="307"/>
        <v>5.0495296263930338E-2</v>
      </c>
      <c r="CF52" s="8">
        <f t="shared" si="307"/>
        <v>3.8114238045370036E-2</v>
      </c>
      <c r="CG52" s="8">
        <f t="shared" si="307"/>
        <v>2.5571335928527877E-2</v>
      </c>
      <c r="CH52" s="8">
        <f t="shared" si="307"/>
        <v>1.2866589913403977E-2</v>
      </c>
      <c r="CI52" s="8">
        <f t="shared" si="307"/>
        <v>1.8399521000200492E-15</v>
      </c>
      <c r="CJ52" s="8"/>
      <c r="CK52" s="8">
        <f>G57/G52</f>
        <v>0</v>
      </c>
      <c r="CL52" s="8">
        <f t="shared" ref="CL52:EW52" si="308">H57/H52</f>
        <v>0.265206481457683</v>
      </c>
      <c r="CM52" s="8">
        <f t="shared" si="308"/>
        <v>0.53066174948333755</v>
      </c>
      <c r="CN52" s="8">
        <f t="shared" si="308"/>
        <v>0.7966153691978004</v>
      </c>
      <c r="CO52" s="8">
        <f t="shared" si="308"/>
        <v>1.0633184679496952</v>
      </c>
      <c r="CP52" s="8">
        <f t="shared" si="308"/>
        <v>1.3310245292923242</v>
      </c>
      <c r="CQ52" s="8">
        <f t="shared" si="308"/>
        <v>1.5999902025591264</v>
      </c>
      <c r="CR52" s="8">
        <f t="shared" si="308"/>
        <v>1.8704761335118869</v>
      </c>
      <c r="CS52" s="8">
        <f t="shared" si="308"/>
        <v>2.1427478217774159</v>
      </c>
      <c r="CT52" s="8">
        <f t="shared" si="308"/>
        <v>2.417076511098184</v>
      </c>
      <c r="CU52" s="8">
        <f t="shared" si="308"/>
        <v>2.6937401188058945</v>
      </c>
      <c r="CV52" s="8">
        <f t="shared" si="308"/>
        <v>2.9730242113911212</v>
      </c>
      <c r="CW52" s="8">
        <f t="shared" si="308"/>
        <v>3.255223033595358</v>
      </c>
      <c r="CX52" s="8">
        <f t="shared" si="308"/>
        <v>3.5406405991045218</v>
      </c>
      <c r="CY52" s="8">
        <f t="shared" si="308"/>
        <v>3.8295918516872969</v>
      </c>
      <c r="CZ52" s="8">
        <f t="shared" si="308"/>
        <v>4.1224039065126643</v>
      </c>
      <c r="DA52" s="8">
        <f t="shared" si="308"/>
        <v>4.4194173824159204</v>
      </c>
      <c r="DB52" s="8">
        <f t="shared" si="308"/>
        <v>4.7209878370824967</v>
      </c>
      <c r="DC52" s="8">
        <f t="shared" si="308"/>
        <v>5.0274873185086975</v>
      </c>
      <c r="DD52" s="8">
        <f t="shared" si="308"/>
        <v>5.3393060477076597</v>
      </c>
      <c r="DE52" s="8">
        <f t="shared" si="308"/>
        <v>5.6568542494923788</v>
      </c>
      <c r="DF52" s="8">
        <f t="shared" si="308"/>
        <v>5.9805641503275693</v>
      </c>
      <c r="DG52" s="8">
        <f t="shared" si="308"/>
        <v>6.3108921647480889</v>
      </c>
      <c r="DH52" s="8">
        <f t="shared" si="308"/>
        <v>6.6483212947534343</v>
      </c>
      <c r="DI52" s="8">
        <f t="shared" si="308"/>
        <v>6.9933637699768401</v>
      </c>
      <c r="DJ52" s="8">
        <f t="shared" si="308"/>
        <v>7.3465639603797115</v>
      </c>
      <c r="DK52" s="8">
        <f t="shared" si="308"/>
        <v>7.7085015978407672</v>
      </c>
      <c r="DL52" s="8">
        <f t="shared" si="308"/>
        <v>8.0797953484197276</v>
      </c>
      <c r="DM52" s="8">
        <f t="shared" si="308"/>
        <v>8.4611067834287734</v>
      </c>
      <c r="DN52" s="8">
        <f t="shared" si="308"/>
        <v>8.8531448049260124</v>
      </c>
      <c r="DO52" s="8">
        <f t="shared" si="308"/>
        <v>9.2566705900784427</v>
      </c>
      <c r="DP52" s="8">
        <f t="shared" si="308"/>
        <v>9.6725031293030241</v>
      </c>
      <c r="DQ52" s="8">
        <f t="shared" si="308"/>
        <v>10.10152544552211</v>
      </c>
      <c r="DR52" s="8">
        <f t="shared" si="308"/>
        <v>10.544691596681339</v>
      </c>
      <c r="DS52" s="8">
        <f t="shared" si="308"/>
        <v>11.003034581392509</v>
      </c>
      <c r="DT52" s="8">
        <f t="shared" si="308"/>
        <v>11.477675288825127</v>
      </c>
      <c r="DU52" s="8">
        <f t="shared" si="308"/>
        <v>11.969832659584199</v>
      </c>
      <c r="DV52" s="8">
        <f t="shared" si="308"/>
        <v>12.480835255290298</v>
      </c>
      <c r="DW52" s="8">
        <f t="shared" si="308"/>
        <v>13.012134472197983</v>
      </c>
      <c r="DX52" s="8">
        <f t="shared" si="308"/>
        <v>13.565319680069878</v>
      </c>
      <c r="DY52" s="8">
        <f t="shared" si="308"/>
        <v>14.142135623730969</v>
      </c>
      <c r="DZ52" s="8">
        <f t="shared" si="308"/>
        <v>14.744502493908957</v>
      </c>
      <c r="EA52" s="8">
        <f t="shared" si="308"/>
        <v>15.374539159534967</v>
      </c>
      <c r="EB52" s="8">
        <f t="shared" si="308"/>
        <v>16.03459016006412</v>
      </c>
      <c r="EC52" s="8">
        <f t="shared" si="308"/>
        <v>16.727257189359218</v>
      </c>
      <c r="ED52" s="8">
        <f t="shared" si="308"/>
        <v>17.455435969862233</v>
      </c>
      <c r="EE52" s="8">
        <f t="shared" si="308"/>
        <v>18.222359627216388</v>
      </c>
      <c r="EF52" s="8">
        <f t="shared" si="308"/>
        <v>19.031649944605761</v>
      </c>
      <c r="EG52" s="8">
        <f t="shared" si="308"/>
        <v>19.887378220871692</v>
      </c>
      <c r="EH52" s="8">
        <f t="shared" si="308"/>
        <v>20.794137901359889</v>
      </c>
      <c r="EI52" s="8">
        <f t="shared" si="308"/>
        <v>21.757131728816908</v>
      </c>
      <c r="EJ52" s="8">
        <f t="shared" si="308"/>
        <v>22.782276919513993</v>
      </c>
      <c r="EK52" s="8">
        <f t="shared" si="308"/>
        <v>23.876332871234144</v>
      </c>
      <c r="EL52" s="8">
        <f t="shared" si="308"/>
        <v>25.047057245037351</v>
      </c>
      <c r="EM52" s="8">
        <f t="shared" si="308"/>
        <v>26.303398060211503</v>
      </c>
      <c r="EN52" s="8">
        <f t="shared" si="308"/>
        <v>27.655731886407292</v>
      </c>
      <c r="EO52" s="8">
        <f t="shared" si="308"/>
        <v>29.116161578269711</v>
      </c>
      <c r="EP52" s="8">
        <f t="shared" si="308"/>
        <v>30.698891674490671</v>
      </c>
      <c r="EQ52" s="8">
        <f t="shared" si="308"/>
        <v>32.420706172980189</v>
      </c>
      <c r="ER52" s="8">
        <f t="shared" si="308"/>
        <v>34.301582807816239</v>
      </c>
      <c r="ES52" s="8">
        <f t="shared" si="308"/>
        <v>36.365491603879768</v>
      </c>
      <c r="ET52" s="8">
        <f t="shared" si="308"/>
        <v>38.641445601235965</v>
      </c>
      <c r="EU52" s="8">
        <f t="shared" si="308"/>
        <v>41.164901815555126</v>
      </c>
      <c r="EV52" s="8">
        <f t="shared" si="308"/>
        <v>43.979656649694221</v>
      </c>
      <c r="EW52" s="8">
        <f t="shared" si="308"/>
        <v>47.140452079103504</v>
      </c>
      <c r="EX52" s="8">
        <f t="shared" ref="EX52:FL52" si="309">BT57/BT52</f>
        <v>50.716624305794134</v>
      </c>
      <c r="EY52" s="8">
        <f t="shared" si="309"/>
        <v>54.797316115435443</v>
      </c>
      <c r="EZ52" s="8">
        <f t="shared" si="309"/>
        <v>59.499094931867013</v>
      </c>
      <c r="FA52" s="8">
        <f t="shared" si="309"/>
        <v>64.977379892818533</v>
      </c>
      <c r="FB52" s="8">
        <f t="shared" si="309"/>
        <v>71.444101869733728</v>
      </c>
      <c r="FC52" s="8">
        <f t="shared" si="309"/>
        <v>79.195959492894289</v>
      </c>
      <c r="FD52" s="8">
        <f t="shared" si="309"/>
        <v>88.661512519639004</v>
      </c>
      <c r="FE52" s="8">
        <f t="shared" si="309"/>
        <v>100.48359522124781</v>
      </c>
      <c r="FF52" s="8">
        <f t="shared" si="309"/>
        <v>115.67236980754933</v>
      </c>
      <c r="FG52" s="8">
        <f t="shared" si="309"/>
        <v>135.9114332670276</v>
      </c>
      <c r="FH52" s="8">
        <f t="shared" si="309"/>
        <v>164.23125240462193</v>
      </c>
      <c r="FI52" s="8">
        <f t="shared" si="309"/>
        <v>206.69275142376685</v>
      </c>
      <c r="FJ52" s="8">
        <f t="shared" si="309"/>
        <v>277.43807465664514</v>
      </c>
      <c r="FK52" s="8">
        <f t="shared" si="309"/>
        <v>418.89363746243981</v>
      </c>
      <c r="FL52" s="8">
        <f t="shared" si="309"/>
        <v>843.19148247162195</v>
      </c>
      <c r="FM52" s="8">
        <f>CI57/CI52</f>
        <v>5970985942992921</v>
      </c>
      <c r="FN52" s="8"/>
      <c r="FO52" s="8">
        <f>0.00056</f>
        <v>5.5999999999999995E-4</v>
      </c>
      <c r="FP52" s="8">
        <f>2*FO52</f>
        <v>1.1199999999999999E-3</v>
      </c>
      <c r="FQ52">
        <f>FP52/(1.6*10^-3)</f>
        <v>0.7</v>
      </c>
      <c r="FR52">
        <f>'estimates new'!AU82</f>
        <v>0.75155279503105588</v>
      </c>
      <c r="FS52">
        <f>FR52-FQ52</f>
        <v>5.155279503105592E-2</v>
      </c>
    </row>
    <row r="53" spans="7:175" x14ac:dyDescent="0.25">
      <c r="G53" s="8">
        <f t="shared" ref="G53:G54" si="310">ABS(SQRT(2)*(3*$D$2*2/(8*PI()*$F$5*$G3^2))*(1-B$8^2/($F$5/2)^2))</f>
        <v>0.10230132829666487</v>
      </c>
      <c r="H53" s="8">
        <f t="shared" ref="H53:H54" si="311">ABS(SQRT(2)*(3*$D$2*2/(8*PI()*$F$5*$G3^2))*(1-C$8^2/($F$5/2)^2))</f>
        <v>0.10228534371411852</v>
      </c>
      <c r="I53" s="8">
        <f t="shared" ref="I53:I54" si="312">ABS(SQRT(2)*(3*$D$2*2/(8*PI()*$F$5*$G3^2))*(1-D$8^2/($F$5/2)^2))</f>
        <v>0.10223738996647945</v>
      </c>
      <c r="J53" s="8">
        <f t="shared" ref="J53:J54" si="313">ABS(SQRT(2)*(3*$D$2*2/(8*PI()*$F$5*$G3^2))*(1-E$8^2/($F$5/2)^2))</f>
        <v>0.10215746705374767</v>
      </c>
      <c r="K53" s="8">
        <f t="shared" ref="K53:K54" si="314">ABS(SQRT(2)*(3*$D$2*2/(8*PI()*$F$5*$G3^2))*(1-F$8^2/($F$5/2)^2))</f>
        <v>0.10204557497592322</v>
      </c>
      <c r="L53" s="8">
        <f t="shared" ref="L53:L54" si="315">ABS(SQRT(2)*(3*$D$2*2/(8*PI()*$F$5*$G3^2))*(1-G$8^2/($F$5/2)^2))</f>
        <v>0.10190171373300602</v>
      </c>
      <c r="M53" s="8">
        <f t="shared" ref="M53:M54" si="316">ABS(SQRT(2)*(3*$D$2*2/(8*PI()*$F$5*$G3^2))*(1-H$8^2/($F$5/2)^2))</f>
        <v>0.10172588332499613</v>
      </c>
      <c r="N53" s="8">
        <f t="shared" ref="N53:N54" si="317">ABS(SQRT(2)*(3*$D$2*2/(8*PI()*$F$5*$G3^2))*(1-I$8^2/($F$5/2)^2))</f>
        <v>0.10151808375189353</v>
      </c>
      <c r="O53" s="8">
        <f t="shared" ref="O53:O54" si="318">ABS(SQRT(2)*(3*$D$2*2/(8*PI()*$F$5*$G3^2))*(1-J$8^2/($F$5/2)^2))</f>
        <v>0.10127831501369822</v>
      </c>
      <c r="P53" s="8">
        <f t="shared" ref="P53:P54" si="319">ABS(SQRT(2)*(3*$D$2*2/(8*PI()*$F$5*$G3^2))*(1-K$8^2/($F$5/2)^2))</f>
        <v>0.1010065771104102</v>
      </c>
      <c r="Q53" s="8">
        <f t="shared" ref="Q53:Q54" si="320">ABS(SQRT(2)*(3*$D$2*2/(8*PI()*$F$5*$G3^2))*(1-L$8^2/($F$5/2)^2))</f>
        <v>0.10070287004202948</v>
      </c>
      <c r="R53" s="8">
        <f t="shared" ref="R53:R54" si="321">ABS(SQRT(2)*(3*$D$2*2/(8*PI()*$F$5*$G3^2))*(1-M$8^2/($F$5/2)^2))</f>
        <v>0.10036719380855605</v>
      </c>
      <c r="S53" s="8">
        <f t="shared" ref="S53:S54" si="322">ABS(SQRT(2)*(3*$D$2*2/(8*PI()*$F$5*$G3^2))*(1-N$8^2/($F$5/2)^2))</f>
        <v>9.9999548409989911E-2</v>
      </c>
      <c r="T53" s="8">
        <f t="shared" ref="T53:T54" si="323">ABS(SQRT(2)*(3*$D$2*2/(8*PI()*$F$5*$G3^2))*(1-O$8^2/($F$5/2)^2))</f>
        <v>9.9599933846331062E-2</v>
      </c>
      <c r="U53" s="8">
        <f t="shared" ref="U53:U54" si="324">ABS(SQRT(2)*(3*$D$2*2/(8*PI()*$F$5*$G3^2))*(1-P$8^2/($F$5/2)^2))</f>
        <v>9.9168350117579504E-2</v>
      </c>
      <c r="V53" s="8">
        <f t="shared" ref="V53:V54" si="325">ABS(SQRT(2)*(3*$D$2*2/(8*PI()*$F$5*$G3^2))*(1-Q$8^2/($F$5/2)^2))</f>
        <v>9.8704797223735249E-2</v>
      </c>
      <c r="W53" s="8">
        <f t="shared" ref="W53:W54" si="326">ABS(SQRT(2)*(3*$D$2*2/(8*PI()*$F$5*$G3^2))*(1-R$8^2/($F$5/2)^2))</f>
        <v>9.8209275164798271E-2</v>
      </c>
      <c r="X53" s="8">
        <f t="shared" ref="X53:X54" si="327">ABS(SQRT(2)*(3*$D$2*2/(8*PI()*$F$5*$G3^2))*(1-S$8^2/($F$5/2)^2))</f>
        <v>9.7681783940768596E-2</v>
      </c>
      <c r="Y53" s="8">
        <f t="shared" ref="Y53:Y54" si="328">ABS(SQRT(2)*(3*$D$2*2/(8*PI()*$F$5*$G3^2))*(1-T$8^2/($F$5/2)^2))</f>
        <v>9.7122323551646211E-2</v>
      </c>
      <c r="Z53" s="8">
        <f t="shared" ref="Z53:Z54" si="329">ABS(SQRT(2)*(3*$D$2*2/(8*PI()*$F$5*$G3^2))*(1-U$8^2/($F$5/2)^2))</f>
        <v>9.6530893997431116E-2</v>
      </c>
      <c r="AA53" s="8">
        <f t="shared" ref="AA53:AA54" si="330">ABS(SQRT(2)*(3*$D$2*2/(8*PI()*$F$5*$G3^2))*(1-V$8^2/($F$5/2)^2))</f>
        <v>9.5907495278123311E-2</v>
      </c>
      <c r="AB53" s="8">
        <f t="shared" ref="AB53:AB54" si="331">ABS(SQRT(2)*(3*$D$2*2/(8*PI()*$F$5*$G3^2))*(1-W$8^2/($F$5/2)^2))</f>
        <v>9.525212739372281E-2</v>
      </c>
      <c r="AC53" s="8">
        <f t="shared" ref="AC53:AC54" si="332">ABS(SQRT(2)*(3*$D$2*2/(8*PI()*$F$5*$G3^2))*(1-X$8^2/($F$5/2)^2))</f>
        <v>9.4564790344229585E-2</v>
      </c>
      <c r="AD53" s="8">
        <f t="shared" ref="AD53:AD54" si="333">ABS(SQRT(2)*(3*$D$2*2/(8*PI()*$F$5*$G3^2))*(1-Y$8^2/($F$5/2)^2))</f>
        <v>9.3845484129643664E-2</v>
      </c>
      <c r="AE53" s="8">
        <f t="shared" ref="AE53:AE54" si="334">ABS(SQRT(2)*(3*$D$2*2/(8*PI()*$F$5*$G3^2))*(1-Z$8^2/($F$5/2)^2))</f>
        <v>9.3094208749965032E-2</v>
      </c>
      <c r="AF53" s="8">
        <f t="shared" ref="AF53:AF54" si="335">ABS(SQRT(2)*(3*$D$2*2/(8*PI()*$F$5*$G3^2))*(1-AA$8^2/($F$5/2)^2))</f>
        <v>9.2310964205193691E-2</v>
      </c>
      <c r="AG53" s="8">
        <f t="shared" ref="AG53:AG54" si="336">ABS(SQRT(2)*(3*$D$2*2/(8*PI()*$F$5*$G3^2))*(1-AB$8^2/($F$5/2)^2))</f>
        <v>9.1495750495329653E-2</v>
      </c>
      <c r="AH53" s="8">
        <f t="shared" ref="AH53:AH54" si="337">ABS(SQRT(2)*(3*$D$2*2/(8*PI()*$F$5*$G3^2))*(1-AC$8^2/($F$5/2)^2))</f>
        <v>9.0648567620372877E-2</v>
      </c>
      <c r="AI53" s="8">
        <f t="shared" ref="AI53:AI54" si="338">ABS(SQRT(2)*(3*$D$2*2/(8*PI()*$F$5*$G3^2))*(1-AD$8^2/($F$5/2)^2))</f>
        <v>8.976941558032342E-2</v>
      </c>
      <c r="AJ53" s="8">
        <f t="shared" ref="AJ53:AJ54" si="339">ABS(SQRT(2)*(3*$D$2*2/(8*PI()*$F$5*$G3^2))*(1-AE$8^2/($F$5/2)^2))</f>
        <v>8.8858294375181252E-2</v>
      </c>
      <c r="AK53" s="8">
        <f t="shared" ref="AK53:AK54" si="340">ABS(SQRT(2)*(3*$D$2*2/(8*PI()*$F$5*$G3^2))*(1-AF$8^2/($F$5/2)^2))</f>
        <v>8.791520400494636E-2</v>
      </c>
      <c r="AL53" s="8">
        <f t="shared" ref="AL53:AL54" si="341">ABS(SQRT(2)*(3*$D$2*2/(8*PI()*$F$5*$G3^2))*(1-AG$8^2/($F$5/2)^2))</f>
        <v>8.6940144469618758E-2</v>
      </c>
      <c r="AM53" s="8">
        <f t="shared" ref="AM53:AM54" si="342">ABS(SQRT(2)*(3*$D$2*2/(8*PI()*$F$5*$G3^2))*(1-AH$8^2/($F$5/2)^2))</f>
        <v>8.5933115769198473E-2</v>
      </c>
      <c r="AN53" s="8">
        <f t="shared" ref="AN53:AN54" si="343">ABS(SQRT(2)*(3*$D$2*2/(8*PI()*$F$5*$G3^2))*(1-AI$8^2/($F$5/2)^2))</f>
        <v>8.4894117903685465E-2</v>
      </c>
      <c r="AO53" s="8">
        <f t="shared" ref="AO53:AO54" si="344">ABS(SQRT(2)*(3*$D$2*2/(8*PI()*$F$5*$G3^2))*(1-AJ$8^2/($F$5/2)^2))</f>
        <v>8.3823150873079746E-2</v>
      </c>
      <c r="AP53" s="8">
        <f t="shared" ref="AP53:AP54" si="345">ABS(SQRT(2)*(3*$D$2*2/(8*PI()*$F$5*$G3^2))*(1-AK$8^2/($F$5/2)^2))</f>
        <v>8.2720214677381332E-2</v>
      </c>
      <c r="AQ53" s="8">
        <f t="shared" ref="AQ53:AQ54" si="346">ABS(SQRT(2)*(3*$D$2*2/(8*PI()*$F$5*$G3^2))*(1-AL$8^2/($F$5/2)^2))</f>
        <v>8.1585309316590193E-2</v>
      </c>
      <c r="AR53" s="8">
        <f t="shared" ref="AR53:AR54" si="347">ABS(SQRT(2)*(3*$D$2*2/(8*PI()*$F$5*$G3^2))*(1-AM$8^2/($F$5/2)^2))</f>
        <v>8.0418434790706358E-2</v>
      </c>
      <c r="AS53" s="8">
        <f t="shared" ref="AS53:AS54" si="348">ABS(SQRT(2)*(3*$D$2*2/(8*PI()*$F$5*$G3^2))*(1-AN$8^2/($F$5/2)^2))</f>
        <v>7.9219591099729814E-2</v>
      </c>
      <c r="AT53" s="8">
        <f t="shared" ref="AT53:AT54" si="349">ABS(SQRT(2)*(3*$D$2*2/(8*PI()*$F$5*$G3^2))*(1-AO$8^2/($F$5/2)^2))</f>
        <v>7.7988778243660559E-2</v>
      </c>
      <c r="AU53" s="8">
        <f t="shared" ref="AU53:AU54" si="350">ABS(SQRT(2)*(3*$D$2*2/(8*PI()*$F$5*$G3^2))*(1-AP$8^2/($F$5/2)^2))</f>
        <v>7.6725996222498608E-2</v>
      </c>
      <c r="AV53" s="8">
        <f t="shared" ref="AV53:AV54" si="351">ABS(SQRT(2)*(3*$D$2*2/(8*PI()*$F$5*$G3^2))*(1-AQ$8^2/($F$5/2)^2))</f>
        <v>7.5431245036243932E-2</v>
      </c>
      <c r="AW53" s="8">
        <f t="shared" ref="AW53:AW54" si="352">ABS(SQRT(2)*(3*$D$2*2/(8*PI()*$F$5*$G3^2))*(1-AR$8^2/($F$5/2)^2))</f>
        <v>7.4104524684896547E-2</v>
      </c>
      <c r="AX53" s="8">
        <f t="shared" ref="AX53:AX54" si="353">ABS(SQRT(2)*(3*$D$2*2/(8*PI()*$F$5*$G3^2))*(1-AS$8^2/($F$5/2)^2))</f>
        <v>7.274583516845648E-2</v>
      </c>
      <c r="AY53" s="8">
        <f t="shared" ref="AY53:AY54" si="354">ABS(SQRT(2)*(3*$D$2*2/(8*PI()*$F$5*$G3^2))*(1-AT$8^2/($F$5/2)^2))</f>
        <v>7.1355176486923674E-2</v>
      </c>
      <c r="AZ53" s="8">
        <f t="shared" ref="AZ53:AZ54" si="355">ABS(SQRT(2)*(3*$D$2*2/(8*PI()*$F$5*$G3^2))*(1-AU$8^2/($F$5/2)^2))</f>
        <v>6.9932548640298187E-2</v>
      </c>
      <c r="BA53" s="8">
        <f t="shared" ref="BA53:BA54" si="356">ABS(SQRT(2)*(3*$D$2*2/(8*PI()*$F$5*$G3^2))*(1-AV$8^2/($F$5/2)^2))</f>
        <v>6.8477951628579961E-2</v>
      </c>
      <c r="BB53" s="8">
        <f t="shared" ref="BB53:BB54" si="357">ABS(SQRT(2)*(3*$D$2*2/(8*PI()*$F$5*$G3^2))*(1-AW$8^2/($F$5/2)^2))</f>
        <v>6.6991385451769039E-2</v>
      </c>
      <c r="BC53" s="8">
        <f t="shared" ref="BC53:BC54" si="358">ABS(SQRT(2)*(3*$D$2*2/(8*PI()*$F$5*$G3^2))*(1-AX$8^2/($F$5/2)^2))</f>
        <v>6.5472850109865421E-2</v>
      </c>
      <c r="BD53" s="8">
        <f t="shared" ref="BD53:BD54" si="359">ABS(SQRT(2)*(3*$D$2*2/(8*PI()*$F$5*$G3^2))*(1-AY$8^2/($F$5/2)^2))</f>
        <v>6.3922345602869093E-2</v>
      </c>
      <c r="BE53" s="8">
        <f t="shared" ref="BE53:BE54" si="360">ABS(SQRT(2)*(3*$D$2*2/(8*PI()*$F$5*$G3^2))*(1-AZ$8^2/($F$5/2)^2))</f>
        <v>6.2339871930780041E-2</v>
      </c>
      <c r="BF53" s="8">
        <f t="shared" ref="BF53:BF54" si="361">ABS(SQRT(2)*(3*$D$2*2/(8*PI()*$F$5*$G3^2))*(1-BA$8^2/($F$5/2)^2))</f>
        <v>6.07254290935983E-2</v>
      </c>
      <c r="BG53" s="8">
        <f t="shared" ref="BG53:BG54" si="362">ABS(SQRT(2)*(3*$D$2*2/(8*PI()*$F$5*$G3^2))*(1-BB$8^2/($F$5/2)^2))</f>
        <v>5.9079017091323842E-2</v>
      </c>
      <c r="BH53" s="8">
        <f t="shared" ref="BH53:BH54" si="363">ABS(SQRT(2)*(3*$D$2*2/(8*PI()*$F$5*$G3^2))*(1-BC$8^2/($F$5/2)^2))</f>
        <v>5.7400635923956687E-2</v>
      </c>
      <c r="BI53" s="8">
        <f t="shared" ref="BI53:BI54" si="364">ABS(SQRT(2)*(3*$D$2*2/(8*PI()*$F$5*$G3^2))*(1-BD$8^2/($F$5/2)^2))</f>
        <v>5.5690285591496809E-2</v>
      </c>
      <c r="BJ53" s="8">
        <f t="shared" ref="BJ53:BJ54" si="365">ABS(SQRT(2)*(3*$D$2*2/(8*PI()*$F$5*$G3^2))*(1-BE$8^2/($F$5/2)^2))</f>
        <v>5.3947966093944227E-2</v>
      </c>
      <c r="BK53" s="8">
        <f t="shared" ref="BK53:BK54" si="366">ABS(SQRT(2)*(3*$D$2*2/(8*PI()*$F$5*$G3^2))*(1-BF$8^2/($F$5/2)^2))</f>
        <v>5.217367743129895E-2</v>
      </c>
      <c r="BL53" s="8">
        <f t="shared" ref="BL53:BL54" si="367">ABS(SQRT(2)*(3*$D$2*2/(8*PI()*$F$5*$G3^2))*(1-BG$8^2/($F$5/2)^2))</f>
        <v>5.0367419603560941E-2</v>
      </c>
      <c r="BM53" s="8">
        <f t="shared" ref="BM53:BM54" si="368">ABS(SQRT(2)*(3*$D$2*2/(8*PI()*$F$5*$G3^2))*(1-BH$8^2/($F$5/2)^2))</f>
        <v>4.8529192610730236E-2</v>
      </c>
      <c r="BN53" s="8">
        <f t="shared" ref="BN53:BN54" si="369">ABS(SQRT(2)*(3*$D$2*2/(8*PI()*$F$5*$G3^2))*(1-BI$8^2/($F$5/2)^2))</f>
        <v>4.6658996452806828E-2</v>
      </c>
      <c r="BO53" s="8">
        <f t="shared" ref="BO53:BO54" si="370">ABS(SQRT(2)*(3*$D$2*2/(8*PI()*$F$5*$G3^2))*(1-BJ$8^2/($F$5/2)^2))</f>
        <v>4.475683112979071E-2</v>
      </c>
      <c r="BP53" s="8">
        <f t="shared" ref="BP53:BP54" si="371">ABS(SQRT(2)*(3*$D$2*2/(8*PI()*$F$5*$G3^2))*(1-BK$8^2/($F$5/2)^2))</f>
        <v>4.2822696641681875E-2</v>
      </c>
      <c r="BQ53" s="8">
        <f t="shared" ref="BQ53:BQ54" si="372">ABS(SQRT(2)*(3*$D$2*2/(8*PI()*$F$5*$G3^2))*(1-BL$8^2/($F$5/2)^2))</f>
        <v>4.0856592988480343E-2</v>
      </c>
      <c r="BR53" s="8">
        <f t="shared" ref="BR53:BR54" si="373">ABS(SQRT(2)*(3*$D$2*2/(8*PI()*$F$5*$G3^2))*(1-BM$8^2/($F$5/2)^2))</f>
        <v>3.8858520170186095E-2</v>
      </c>
      <c r="BS53" s="8">
        <f t="shared" ref="BS53:BS54" si="374">ABS(SQRT(2)*(3*$D$2*2/(8*PI()*$F$5*$G3^2))*(1-BN$8^2/($F$5/2)^2))</f>
        <v>3.6828478186799136E-2</v>
      </c>
      <c r="BT53" s="8">
        <f t="shared" ref="BT53:BT54" si="375">ABS(SQRT(2)*(3*$D$2*2/(8*PI()*$F$5*$G3^2))*(1-BO$8^2/($F$5/2)^2))</f>
        <v>3.4766467038319489E-2</v>
      </c>
      <c r="BU53" s="8">
        <f t="shared" ref="BU53:BU54" si="376">ABS(SQRT(2)*(3*$D$2*2/(8*PI()*$F$5*$G3^2))*(1-BP$8^2/($F$5/2)^2))</f>
        <v>3.267248672474711E-2</v>
      </c>
      <c r="BV53" s="8">
        <f t="shared" ref="BV53:BV54" si="377">ABS(SQRT(2)*(3*$D$2*2/(8*PI()*$F$5*$G3^2))*(1-BQ$8^2/($F$5/2)^2))</f>
        <v>3.0546537246082035E-2</v>
      </c>
      <c r="BW53" s="8">
        <f t="shared" ref="BW53:BW54" si="378">ABS(SQRT(2)*(3*$D$2*2/(8*PI()*$F$5*$G3^2))*(1-BR$8^2/($F$5/2)^2))</f>
        <v>2.8388618602324261E-2</v>
      </c>
      <c r="BX53" s="8">
        <f t="shared" ref="BX53:BX54" si="379">ABS(SQRT(2)*(3*$D$2*2/(8*PI()*$F$5*$G3^2))*(1-BS$8^2/($F$5/2)^2))</f>
        <v>2.6198730793473759E-2</v>
      </c>
      <c r="BY53" s="8">
        <f t="shared" ref="BY53:BY54" si="380">ABS(SQRT(2)*(3*$D$2*2/(8*PI()*$F$5*$G3^2))*(1-BT$8^2/($F$5/2)^2))</f>
        <v>2.3976873819530568E-2</v>
      </c>
      <c r="BZ53" s="8">
        <f t="shared" ref="BZ53:BZ54" si="381">ABS(SQRT(2)*(3*$D$2*2/(8*PI()*$F$5*$G3^2))*(1-BU$8^2/($F$5/2)^2))</f>
        <v>2.1723047680494652E-2</v>
      </c>
      <c r="CA53" s="8">
        <f t="shared" ref="CA53:CA54" si="382">ABS(SQRT(2)*(3*$D$2*2/(8*PI()*$F$5*$G3^2))*(1-BV$8^2/($F$5/2)^2))</f>
        <v>1.9437252376366048E-2</v>
      </c>
      <c r="CB53" s="8">
        <f t="shared" ref="CB53:CB54" si="383">ABS(SQRT(2)*(3*$D$2*2/(8*PI()*$F$5*$G3^2))*(1-BW$8^2/($F$5/2)^2))</f>
        <v>1.711948790714473E-2</v>
      </c>
      <c r="CC53" s="8">
        <f t="shared" ref="CC53:CC54" si="384">ABS(SQRT(2)*(3*$D$2*2/(8*PI()*$F$5*$G3^2))*(1-BX$8^2/($F$5/2)^2))</f>
        <v>1.4769754272830699E-2</v>
      </c>
      <c r="CD53" s="8">
        <f t="shared" ref="CD53:CD54" si="385">ABS(SQRT(2)*(3*$D$2*2/(8*PI()*$F$5*$G3^2))*(1-BY$8^2/($F$5/2)^2))</f>
        <v>1.2388051473423943E-2</v>
      </c>
      <c r="CE53" s="8">
        <f t="shared" ref="CE53:CE54" si="386">ABS(SQRT(2)*(3*$D$2*2/(8*PI()*$F$5*$G3^2))*(1-BZ$8^2/($F$5/2)^2))</f>
        <v>9.9743795089245104E-3</v>
      </c>
      <c r="CF53" s="8">
        <f t="shared" ref="CF53:CF54" si="387">ABS(SQRT(2)*(3*$D$2*2/(8*PI()*$F$5*$G3^2))*(1-CA$8^2/($F$5/2)^2))</f>
        <v>7.5287383793323521E-3</v>
      </c>
      <c r="CG53" s="8">
        <f t="shared" ref="CG53:CG54" si="388">ABS(SQRT(2)*(3*$D$2*2/(8*PI()*$F$5*$G3^2))*(1-CB$8^2/($F$5/2)^2))</f>
        <v>5.0511280846474819E-3</v>
      </c>
      <c r="CH53" s="8">
        <f t="shared" ref="CH53:CH54" si="389">ABS(SQRT(2)*(3*$D$2*2/(8*PI()*$F$5*$G3^2))*(1-CC$8^2/($F$5/2)^2))</f>
        <v>2.5415486248699212E-3</v>
      </c>
      <c r="CI53" s="8">
        <f t="shared" ref="CI53:CI54" si="390">ABS(SQRT(2)*(3*$D$2*2/(8*PI()*$F$5*$G3^2))*(1-CD$8^2/($F$5/2)^2))</f>
        <v>3.6344732839902203E-16</v>
      </c>
      <c r="CK53" s="8">
        <f t="shared" ref="CK53:CK54" si="391">G58/G53</f>
        <v>0</v>
      </c>
      <c r="CL53" s="8">
        <f t="shared" ref="CL53:CL54" si="392">H58/H53</f>
        <v>0.59671458327978699</v>
      </c>
      <c r="CM53" s="8">
        <f t="shared" ref="CM53:CM54" si="393">I58/I53</f>
        <v>1.19398893633751</v>
      </c>
      <c r="CN53" s="8">
        <f t="shared" ref="CN53:CN54" si="394">J58/J53</f>
        <v>1.7923845806950511</v>
      </c>
      <c r="CO53" s="8">
        <f t="shared" ref="CO53:CO54" si="395">K58/K53</f>
        <v>2.3924665528868148</v>
      </c>
      <c r="CP53" s="8">
        <f t="shared" ref="CP53:CP54" si="396">L58/L53</f>
        <v>2.9948051909077305</v>
      </c>
      <c r="CQ53" s="8">
        <f t="shared" ref="CQ53:CQ54" si="397">M58/M53</f>
        <v>3.5999779557580354</v>
      </c>
      <c r="CR53" s="8">
        <f t="shared" ref="CR53:CR54" si="398">N58/N53</f>
        <v>4.2085713004017471</v>
      </c>
      <c r="CS53" s="8">
        <f t="shared" ref="CS53:CS54" si="399">O58/O53</f>
        <v>4.8211825989991883</v>
      </c>
      <c r="CT53" s="8">
        <f t="shared" ref="CT53:CT54" si="400">P58/P53</f>
        <v>5.4384221499709149</v>
      </c>
      <c r="CU53" s="8">
        <f t="shared" ref="CU53:CU54" si="401">Q58/Q53</f>
        <v>6.0609152673132645</v>
      </c>
      <c r="CV53" s="8">
        <f t="shared" ref="CV53:CV54" si="402">R58/R53</f>
        <v>6.6893044756300242</v>
      </c>
      <c r="CW53" s="8">
        <f t="shared" ref="CW53:CW54" si="403">S58/S53</f>
        <v>7.3242518255895579</v>
      </c>
      <c r="CX53" s="8">
        <f t="shared" ref="CX53:CX54" si="404">T58/T53</f>
        <v>7.9664413479851772</v>
      </c>
      <c r="CY53" s="8">
        <f t="shared" ref="CY53:CY54" si="405">U58/U53</f>
        <v>8.6165816662964207</v>
      </c>
      <c r="CZ53" s="8">
        <f t="shared" ref="CZ53:CZ54" si="406">V58/V53</f>
        <v>9.2754087896534987</v>
      </c>
      <c r="DA53" s="8">
        <f t="shared" ref="DA53:DA54" si="407">W58/W53</f>
        <v>9.9436891104358249</v>
      </c>
      <c r="DB53" s="8">
        <f t="shared" ref="DB53:DB54" si="408">X58/X53</f>
        <v>10.622222633435618</v>
      </c>
      <c r="DC53" s="8">
        <f t="shared" ref="DC53:DC54" si="409">Y58/Y53</f>
        <v>11.311846466644571</v>
      </c>
      <c r="DD53" s="8">
        <f t="shared" ref="DD53:DD54" si="410">Z58/Z53</f>
        <v>12.013438607342238</v>
      </c>
      <c r="DE53" s="8">
        <f t="shared" ref="DE53:DE54" si="411">AA58/AA53</f>
        <v>12.727922061357855</v>
      </c>
      <c r="DF53" s="8">
        <f t="shared" ref="DF53:DF54" si="412">AB58/AB53</f>
        <v>13.456269338237034</v>
      </c>
      <c r="DG53" s="8">
        <f t="shared" ref="DG53:DG54" si="413">AC58/AC53</f>
        <v>14.199507370683206</v>
      </c>
      <c r="DH53" s="8">
        <f t="shared" ref="DH53:DH54" si="414">AD58/AD53</f>
        <v>14.95872291319523</v>
      </c>
      <c r="DI53" s="8">
        <f t="shared" ref="DI53:DI54" si="415">AE58/AE53</f>
        <v>15.735068482447897</v>
      </c>
      <c r="DJ53" s="8">
        <f t="shared" ref="DJ53:DJ54" si="416">AF58/AF53</f>
        <v>16.529768910854358</v>
      </c>
      <c r="DK53" s="8">
        <f t="shared" ref="DK53:DK54" si="417">AG58/AG53</f>
        <v>17.344128595141729</v>
      </c>
      <c r="DL53" s="8">
        <f t="shared" ref="DL53:DL54" si="418">AH58/AH53</f>
        <v>18.179539533944393</v>
      </c>
      <c r="DM53" s="8">
        <f t="shared" ref="DM53:DM54" si="419">AI58/AI53</f>
        <v>19.037490262714744</v>
      </c>
      <c r="DN53" s="8">
        <f t="shared" ref="DN53:DN54" si="420">AJ58/AJ53</f>
        <v>19.919575811083536</v>
      </c>
      <c r="DO53" s="8">
        <f t="shared" ref="DO53:DO54" si="421">AK58/AK53</f>
        <v>20.827508827676503</v>
      </c>
      <c r="DP53" s="8">
        <f t="shared" ref="DP53:DP54" si="422">AL58/AL53</f>
        <v>21.763132040931815</v>
      </c>
      <c r="DQ53" s="8">
        <f t="shared" ref="DQ53:DQ54" si="423">AM58/AM53</f>
        <v>22.728432252424756</v>
      </c>
      <c r="DR53" s="8">
        <f t="shared" ref="DR53:DR54" si="424">AN58/AN53</f>
        <v>23.725556092533022</v>
      </c>
      <c r="DS53" s="8">
        <f t="shared" ref="DS53:DS54" si="425">AO58/AO53</f>
        <v>24.756827808133153</v>
      </c>
      <c r="DT53" s="8">
        <f t="shared" ref="DT53:DT54" si="426">AP58/AP53</f>
        <v>25.824769399856546</v>
      </c>
      <c r="DU53" s="8">
        <f t="shared" ref="DU53:DU54" si="427">AQ58/AQ53</f>
        <v>26.932123484064462</v>
      </c>
      <c r="DV53" s="8">
        <f t="shared" ref="DV53:DV54" si="428">AR58/AR53</f>
        <v>28.081879324403175</v>
      </c>
      <c r="DW53" s="8">
        <f t="shared" ref="DW53:DW54" si="429">AS58/AS53</f>
        <v>29.277302562445474</v>
      </c>
      <c r="DX53" s="8">
        <f t="shared" ref="DX53:DX54" si="430">AT58/AT53</f>
        <v>30.521969280157233</v>
      </c>
      <c r="DY53" s="8">
        <f t="shared" ref="DY53:DY54" si="431">AU58/AU53</f>
        <v>31.819805153394682</v>
      </c>
      <c r="DZ53" s="8">
        <f t="shared" ref="DZ53:DZ54" si="432">AV58/AV53</f>
        <v>33.175130611295167</v>
      </c>
      <c r="EA53" s="8">
        <f t="shared" ref="EA53:EA54" si="433">AW58/AW53</f>
        <v>34.592713108953681</v>
      </c>
      <c r="EB53" s="8">
        <f t="shared" ref="EB53:EB54" si="434">AX58/AX53</f>
        <v>36.077827860144282</v>
      </c>
      <c r="EC53" s="8">
        <f t="shared" ref="EC53:EC54" si="435">AY58/AY53</f>
        <v>37.636328676058255</v>
      </c>
      <c r="ED53" s="8">
        <f t="shared" ref="ED53:ED54" si="436">AZ58/AZ53</f>
        <v>39.274730932190032</v>
      </c>
      <c r="EE53" s="8">
        <f t="shared" ref="EE53:EE54" si="437">BA58/BA53</f>
        <v>41.000309161236892</v>
      </c>
      <c r="EF53" s="8">
        <f t="shared" ref="EF53:EF54" si="438">BB58/BB53</f>
        <v>42.821212375362975</v>
      </c>
      <c r="EG53" s="8">
        <f t="shared" ref="EG53:EG54" si="439">BC58/BC53</f>
        <v>44.746600996961327</v>
      </c>
      <c r="EH53" s="8">
        <f t="shared" ref="EH53:EH54" si="440">BD58/BD53</f>
        <v>46.786810278059761</v>
      </c>
      <c r="EI53" s="8">
        <f t="shared" ref="EI53:EI54" si="441">BE58/BE53</f>
        <v>48.953546389838053</v>
      </c>
      <c r="EJ53" s="8">
        <f t="shared" ref="EJ53:EJ54" si="442">BF58/BF53</f>
        <v>51.260123068906495</v>
      </c>
      <c r="EK53" s="8">
        <f t="shared" ref="EK53:EK54" si="443">BG58/BG53</f>
        <v>53.721748960276841</v>
      </c>
      <c r="EL53" s="8">
        <f t="shared" ref="EL53:EL54" si="444">BH58/BH53</f>
        <v>56.35587880133405</v>
      </c>
      <c r="EM53" s="8">
        <f t="shared" ref="EM53:EM54" si="445">BI58/BI53</f>
        <v>59.182645635475886</v>
      </c>
      <c r="EN53" s="8">
        <f t="shared" ref="EN53:EN54" si="446">BJ58/BJ53</f>
        <v>62.225396744416429</v>
      </c>
      <c r="EO53" s="8">
        <f t="shared" ref="EO53:EO54" si="447">BK58/BK53</f>
        <v>65.511363551106868</v>
      </c>
      <c r="EP53" s="8">
        <f t="shared" ref="EP53:EP54" si="448">BL58/BL53</f>
        <v>69.072506267604027</v>
      </c>
      <c r="EQ53" s="8">
        <f t="shared" ref="EQ53:EQ54" si="449">BM58/BM53</f>
        <v>72.946588889205444</v>
      </c>
      <c r="ER53" s="8">
        <f t="shared" ref="ER53:ER54" si="450">BN58/BN53</f>
        <v>77.178561317586556</v>
      </c>
      <c r="ES53" s="8">
        <f t="shared" ref="ES53:ES54" si="451">BO58/BO53</f>
        <v>81.822356108729508</v>
      </c>
      <c r="ET53" s="8">
        <f t="shared" ref="ET53:ET54" si="452">BP58/BP53</f>
        <v>86.94325260278093</v>
      </c>
      <c r="EU53" s="8">
        <f t="shared" ref="EU53:EU54" si="453">BQ58/BQ53</f>
        <v>92.621029084999037</v>
      </c>
      <c r="EV53" s="8">
        <f t="shared" ref="EV53:EV54" si="454">BR58/BR53</f>
        <v>98.954227461812053</v>
      </c>
      <c r="EW53" s="8">
        <f t="shared" ref="EW53:EW54" si="455">BS58/BS53</f>
        <v>106.06601717798291</v>
      </c>
      <c r="EX53" s="8">
        <f t="shared" ref="EX53:EX54" si="456">BT58/BT53</f>
        <v>114.11240468803682</v>
      </c>
      <c r="EY53" s="8">
        <f t="shared" ref="EY53:EY54" si="457">BU58/BU53</f>
        <v>123.2939612597298</v>
      </c>
      <c r="EZ53" s="8">
        <f t="shared" ref="EZ53:EZ54" si="458">BV58/BV53</f>
        <v>133.87296359670086</v>
      </c>
      <c r="FA53" s="8">
        <f t="shared" ref="FA53:FA54" si="459">BW58/BW53</f>
        <v>146.19910475884171</v>
      </c>
      <c r="FB53" s="8">
        <f t="shared" ref="FB53:FB54" si="460">BX58/BX53</f>
        <v>160.74922920690094</v>
      </c>
      <c r="FC53" s="8">
        <f t="shared" ref="FC53:FC54" si="461">BY58/BY53</f>
        <v>178.19090885901221</v>
      </c>
      <c r="FD53" s="8">
        <f t="shared" ref="FD53:FD54" si="462">BZ58/BZ53</f>
        <v>199.48840316918779</v>
      </c>
      <c r="FE53" s="8">
        <f t="shared" ref="FE53:FE54" si="463">CA58/CA53</f>
        <v>226.08808924780757</v>
      </c>
      <c r="FF53" s="8">
        <f t="shared" ref="FF53:FF54" si="464">CB58/CB53</f>
        <v>260.26283206698611</v>
      </c>
      <c r="FG53" s="8">
        <f t="shared" ref="FG53:FG54" si="465">CC58/CC53</f>
        <v>305.80072485081217</v>
      </c>
      <c r="FH53" s="8">
        <f t="shared" ref="FH53:FH54" si="466">CD58/CD53</f>
        <v>369.52031791039946</v>
      </c>
      <c r="FI53" s="8">
        <f t="shared" ref="FI53:FI54" si="467">CE58/CE53</f>
        <v>465.05869070347552</v>
      </c>
      <c r="FJ53" s="8">
        <f t="shared" ref="FJ53:FJ54" si="468">CF58/CF53</f>
        <v>624.23566797745173</v>
      </c>
      <c r="FK53" s="8">
        <f t="shared" ref="FK53:FK54" si="469">CG58/CG53</f>
        <v>942.51068429048951</v>
      </c>
      <c r="FL53" s="8">
        <f t="shared" ref="FL53:FL54" si="470">CH58/CH53</f>
        <v>1897.1808355611499</v>
      </c>
      <c r="FM53" s="8">
        <f t="shared" ref="FM53:FM54" si="471">CI58/CI53</f>
        <v>1.3434718371734074E+16</v>
      </c>
      <c r="FO53">
        <v>3.8999999999999999E-4</v>
      </c>
      <c r="FP53" s="8">
        <f t="shared" ref="FP53:FP54" si="472">2*FO53</f>
        <v>7.7999999999999999E-4</v>
      </c>
      <c r="FQ53" s="8">
        <f t="shared" ref="FQ53:FQ54" si="473">FP53/(1.6*10^-3)</f>
        <v>0.48749999999999999</v>
      </c>
      <c r="FR53" s="8">
        <f>'estimates new'!AU83</f>
        <v>0.57309941520467833</v>
      </c>
      <c r="FS53" s="8">
        <f t="shared" ref="FS53:FS54" si="474">FR53-FQ53</f>
        <v>8.5599415204678342E-2</v>
      </c>
    </row>
    <row r="54" spans="7:175" x14ac:dyDescent="0.25">
      <c r="G54" s="8">
        <f t="shared" si="310"/>
        <v>4.2277589755254356E-2</v>
      </c>
      <c r="H54" s="8">
        <f t="shared" si="311"/>
        <v>4.2270983881855101E-2</v>
      </c>
      <c r="I54" s="8">
        <f t="shared" si="312"/>
        <v>4.2251166261657321E-2</v>
      </c>
      <c r="J54" s="8">
        <f t="shared" si="313"/>
        <v>4.2218136894661029E-2</v>
      </c>
      <c r="K54" s="8">
        <f t="shared" si="314"/>
        <v>4.217189578086622E-2</v>
      </c>
      <c r="L54" s="8">
        <f t="shared" si="315"/>
        <v>4.2112442920272893E-2</v>
      </c>
      <c r="M54" s="8">
        <f t="shared" si="316"/>
        <v>4.2039778312881054E-2</v>
      </c>
      <c r="N54" s="8">
        <f t="shared" si="317"/>
        <v>4.1953901958690691E-2</v>
      </c>
      <c r="O54" s="8">
        <f t="shared" si="318"/>
        <v>4.185481385770181E-2</v>
      </c>
      <c r="P54" s="8">
        <f t="shared" si="319"/>
        <v>4.1742514009914418E-2</v>
      </c>
      <c r="Q54" s="8">
        <f t="shared" si="320"/>
        <v>4.1617002415328508E-2</v>
      </c>
      <c r="R54" s="8">
        <f t="shared" si="321"/>
        <v>4.147827907394408E-2</v>
      </c>
      <c r="S54" s="8">
        <f t="shared" si="322"/>
        <v>4.1326343985761134E-2</v>
      </c>
      <c r="T54" s="8">
        <f t="shared" si="323"/>
        <v>4.116119715077967E-2</v>
      </c>
      <c r="U54" s="8">
        <f t="shared" si="324"/>
        <v>4.0982838568999688E-2</v>
      </c>
      <c r="V54" s="8">
        <f t="shared" si="325"/>
        <v>4.0791268240421195E-2</v>
      </c>
      <c r="W54" s="8">
        <f t="shared" si="326"/>
        <v>4.0586486165044178E-2</v>
      </c>
      <c r="X54" s="8">
        <f t="shared" si="327"/>
        <v>4.0368492342868649E-2</v>
      </c>
      <c r="Y54" s="8">
        <f t="shared" si="328"/>
        <v>4.0137286773894602E-2</v>
      </c>
      <c r="Z54" s="8">
        <f t="shared" si="329"/>
        <v>3.9892869458122038E-2</v>
      </c>
      <c r="AA54" s="8">
        <f t="shared" si="330"/>
        <v>3.9635240395550962E-2</v>
      </c>
      <c r="AB54" s="8">
        <f t="shared" si="331"/>
        <v>3.9364399586181362E-2</v>
      </c>
      <c r="AC54" s="8">
        <f t="shared" si="332"/>
        <v>3.9080347030013243E-2</v>
      </c>
      <c r="AD54" s="8">
        <f t="shared" si="333"/>
        <v>3.8783082727046614E-2</v>
      </c>
      <c r="AE54" s="8">
        <f t="shared" si="334"/>
        <v>3.8472606677281466E-2</v>
      </c>
      <c r="AF54" s="8">
        <f t="shared" si="335"/>
        <v>3.8148918880717801E-2</v>
      </c>
      <c r="AG54" s="8">
        <f t="shared" si="336"/>
        <v>3.7812019337355618E-2</v>
      </c>
      <c r="AH54" s="8">
        <f t="shared" si="337"/>
        <v>3.746190804719491E-2</v>
      </c>
      <c r="AI54" s="8">
        <f t="shared" si="338"/>
        <v>3.7098585010235698E-2</v>
      </c>
      <c r="AJ54" s="8">
        <f t="shared" si="339"/>
        <v>3.6722050226477961E-2</v>
      </c>
      <c r="AK54" s="8">
        <f t="shared" si="340"/>
        <v>3.6332303695921705E-2</v>
      </c>
      <c r="AL54" s="8">
        <f t="shared" si="341"/>
        <v>3.5929345418566933E-2</v>
      </c>
      <c r="AM54" s="8">
        <f t="shared" si="342"/>
        <v>3.5513175394413656E-2</v>
      </c>
      <c r="AN54" s="8">
        <f t="shared" si="343"/>
        <v>3.5083793623461847E-2</v>
      </c>
      <c r="AO54" s="8">
        <f t="shared" si="344"/>
        <v>3.4641200105711527E-2</v>
      </c>
      <c r="AP54" s="8">
        <f t="shared" si="345"/>
        <v>3.4185394841162696E-2</v>
      </c>
      <c r="AQ54" s="8">
        <f t="shared" si="346"/>
        <v>3.3716377829815333E-2</v>
      </c>
      <c r="AR54" s="8">
        <f t="shared" si="347"/>
        <v>3.323414907166946E-2</v>
      </c>
      <c r="AS54" s="8">
        <f t="shared" si="348"/>
        <v>3.2738708566725075E-2</v>
      </c>
      <c r="AT54" s="8">
        <f t="shared" si="349"/>
        <v>3.2230056314982172E-2</v>
      </c>
      <c r="AU54" s="8">
        <f t="shared" si="350"/>
        <v>3.1708192316440752E-2</v>
      </c>
      <c r="AV54" s="8">
        <f t="shared" si="351"/>
        <v>3.117311657110081E-2</v>
      </c>
      <c r="AW54" s="8">
        <f t="shared" si="352"/>
        <v>3.0624829078962346E-2</v>
      </c>
      <c r="AX54" s="8">
        <f t="shared" si="353"/>
        <v>3.0063329840025379E-2</v>
      </c>
      <c r="AY54" s="8">
        <f t="shared" si="354"/>
        <v>2.9488618854289887E-2</v>
      </c>
      <c r="AZ54" s="8">
        <f t="shared" si="355"/>
        <v>2.890069612175588E-2</v>
      </c>
      <c r="BA54" s="8">
        <f t="shared" si="356"/>
        <v>2.8299561642423348E-2</v>
      </c>
      <c r="BB54" s="8">
        <f t="shared" si="357"/>
        <v>2.7685215416292305E-2</v>
      </c>
      <c r="BC54" s="8">
        <f t="shared" si="358"/>
        <v>2.7057657443362752E-2</v>
      </c>
      <c r="BD54" s="8">
        <f t="shared" si="359"/>
        <v>2.6416887723634673E-2</v>
      </c>
      <c r="BE54" s="8">
        <f t="shared" si="360"/>
        <v>2.5762906257108076E-2</v>
      </c>
      <c r="BF54" s="8">
        <f t="shared" si="361"/>
        <v>2.5095713043782969E-2</v>
      </c>
      <c r="BG54" s="8">
        <f t="shared" si="362"/>
        <v>2.441530808365934E-2</v>
      </c>
      <c r="BH54" s="8">
        <f t="shared" si="363"/>
        <v>2.37216913767372E-2</v>
      </c>
      <c r="BI54" s="8">
        <f t="shared" si="364"/>
        <v>2.3014862923016535E-2</v>
      </c>
      <c r="BJ54" s="8">
        <f t="shared" si="365"/>
        <v>2.2294822722497359E-2</v>
      </c>
      <c r="BK54" s="8">
        <f t="shared" si="366"/>
        <v>2.1561570775179666E-2</v>
      </c>
      <c r="BL54" s="8">
        <f t="shared" si="367"/>
        <v>2.081510708106345E-2</v>
      </c>
      <c r="BM54" s="8">
        <f t="shared" si="368"/>
        <v>2.0055431640148721E-2</v>
      </c>
      <c r="BN54" s="8">
        <f t="shared" si="369"/>
        <v>1.9282544452435473E-2</v>
      </c>
      <c r="BO54" s="8">
        <f t="shared" si="370"/>
        <v>1.8496445517923711E-2</v>
      </c>
      <c r="BP54" s="8">
        <f t="shared" si="371"/>
        <v>1.7697134836613428E-2</v>
      </c>
      <c r="BQ54" s="8">
        <f t="shared" si="372"/>
        <v>1.688461240850463E-2</v>
      </c>
      <c r="BR54" s="8">
        <f t="shared" si="373"/>
        <v>1.6058878233597314E-2</v>
      </c>
      <c r="BS54" s="8">
        <f t="shared" si="374"/>
        <v>1.5219932311891478E-2</v>
      </c>
      <c r="BT54" s="8">
        <f t="shared" si="375"/>
        <v>1.4367774643387133E-2</v>
      </c>
      <c r="BU54" s="8">
        <f t="shared" si="376"/>
        <v>1.3502405228084265E-2</v>
      </c>
      <c r="BV54" s="8">
        <f t="shared" si="377"/>
        <v>1.2623824065982881E-2</v>
      </c>
      <c r="BW54" s="8">
        <f t="shared" si="378"/>
        <v>1.1732031157082984E-2</v>
      </c>
      <c r="BX54" s="8">
        <f t="shared" si="379"/>
        <v>1.0827026501384562E-2</v>
      </c>
      <c r="BY54" s="8">
        <f t="shared" si="380"/>
        <v>9.9088100988876313E-3</v>
      </c>
      <c r="BZ54" s="8">
        <f t="shared" si="381"/>
        <v>8.977381949592177E-3</v>
      </c>
      <c r="CA54" s="8">
        <f t="shared" si="382"/>
        <v>8.0327420534982135E-3</v>
      </c>
      <c r="CB54" s="8">
        <f t="shared" si="383"/>
        <v>7.0748904106057295E-3</v>
      </c>
      <c r="CC54" s="8">
        <f t="shared" si="384"/>
        <v>6.1038270209147266E-3</v>
      </c>
      <c r="CD54" s="8">
        <f t="shared" si="385"/>
        <v>5.1195518844252006E-3</v>
      </c>
      <c r="CE54" s="8">
        <f t="shared" si="386"/>
        <v>4.1220650011371696E-3</v>
      </c>
      <c r="CF54" s="8">
        <f t="shared" si="387"/>
        <v>3.1113663710506147E-3</v>
      </c>
      <c r="CG54" s="8">
        <f t="shared" si="388"/>
        <v>2.0874559941655409E-3</v>
      </c>
      <c r="CH54" s="8">
        <f t="shared" si="389"/>
        <v>1.0503338704819572E-3</v>
      </c>
      <c r="CI54" s="8">
        <f t="shared" si="390"/>
        <v>1.5020017143020807E-16</v>
      </c>
      <c r="CK54" s="8">
        <f t="shared" si="391"/>
        <v>0</v>
      </c>
      <c r="CL54" s="8">
        <f t="shared" si="392"/>
        <v>0.92822268510189077</v>
      </c>
      <c r="CM54" s="8">
        <f t="shared" si="393"/>
        <v>1.8573161231916822</v>
      </c>
      <c r="CN54" s="8">
        <f t="shared" si="394"/>
        <v>2.788153792192301</v>
      </c>
      <c r="CO54" s="8">
        <f t="shared" si="395"/>
        <v>3.7216146378239348</v>
      </c>
      <c r="CP54" s="8">
        <f t="shared" si="396"/>
        <v>4.6585858525231369</v>
      </c>
      <c r="CQ54" s="8">
        <f t="shared" si="397"/>
        <v>5.5999657089569439</v>
      </c>
      <c r="CR54" s="8">
        <f t="shared" si="398"/>
        <v>6.5466664672916064</v>
      </c>
      <c r="CS54" s="8">
        <f t="shared" si="399"/>
        <v>7.499617376220959</v>
      </c>
      <c r="CT54" s="8">
        <f t="shared" si="400"/>
        <v>8.459767788843644</v>
      </c>
      <c r="CU54" s="8">
        <f t="shared" si="401"/>
        <v>9.428090415820634</v>
      </c>
      <c r="CV54" s="8">
        <f t="shared" si="402"/>
        <v>10.405584739868926</v>
      </c>
      <c r="CW54" s="8">
        <f t="shared" si="403"/>
        <v>11.393280617583757</v>
      </c>
      <c r="CX54" s="8">
        <f t="shared" si="404"/>
        <v>12.39224209686583</v>
      </c>
      <c r="CY54" s="8">
        <f t="shared" si="405"/>
        <v>13.403571480905544</v>
      </c>
      <c r="CZ54" s="8">
        <f t="shared" si="406"/>
        <v>14.42841367279433</v>
      </c>
      <c r="DA54" s="8">
        <f t="shared" si="407"/>
        <v>15.467960838455729</v>
      </c>
      <c r="DB54" s="8">
        <f t="shared" si="408"/>
        <v>16.523457429788738</v>
      </c>
      <c r="DC54" s="8">
        <f t="shared" si="409"/>
        <v>17.596205614780445</v>
      </c>
      <c r="DD54" s="8">
        <f t="shared" si="410"/>
        <v>18.687571166976817</v>
      </c>
      <c r="DE54" s="8">
        <f t="shared" si="411"/>
        <v>19.798989873223327</v>
      </c>
      <c r="DF54" s="8">
        <f t="shared" si="412"/>
        <v>20.931974526146497</v>
      </c>
      <c r="DG54" s="8">
        <f t="shared" si="413"/>
        <v>22.088122576618321</v>
      </c>
      <c r="DH54" s="8">
        <f t="shared" si="414"/>
        <v>23.269124531637026</v>
      </c>
      <c r="DI54" s="8">
        <f t="shared" si="415"/>
        <v>24.476773194918948</v>
      </c>
      <c r="DJ54" s="8">
        <f t="shared" si="416"/>
        <v>25.712973861328997</v>
      </c>
      <c r="DK54" s="8">
        <f t="shared" si="417"/>
        <v>26.97975559244269</v>
      </c>
      <c r="DL54" s="8">
        <f t="shared" si="418"/>
        <v>28.279283719469056</v>
      </c>
      <c r="DM54" s="8">
        <f t="shared" si="419"/>
        <v>29.613873742000713</v>
      </c>
      <c r="DN54" s="8">
        <f t="shared" si="420"/>
        <v>30.986006817241059</v>
      </c>
      <c r="DO54" s="8">
        <f t="shared" si="421"/>
        <v>32.398347065274557</v>
      </c>
      <c r="DP54" s="8">
        <f t="shared" si="422"/>
        <v>33.853760952560606</v>
      </c>
      <c r="DQ54" s="8">
        <f t="shared" si="423"/>
        <v>35.355339059327399</v>
      </c>
      <c r="DR54" s="8">
        <f t="shared" si="424"/>
        <v>36.906420588384698</v>
      </c>
      <c r="DS54" s="8">
        <f t="shared" si="425"/>
        <v>38.510621034873793</v>
      </c>
      <c r="DT54" s="8">
        <f t="shared" si="426"/>
        <v>40.171863510887952</v>
      </c>
      <c r="DU54" s="8">
        <f t="shared" si="427"/>
        <v>41.894414308544718</v>
      </c>
      <c r="DV54" s="8">
        <f t="shared" si="428"/>
        <v>43.682923393516056</v>
      </c>
      <c r="DW54" s="8">
        <f t="shared" si="429"/>
        <v>45.542470652692948</v>
      </c>
      <c r="DX54" s="8">
        <f t="shared" si="430"/>
        <v>47.478618880244568</v>
      </c>
      <c r="DY54" s="8">
        <f t="shared" si="431"/>
        <v>49.497474683058392</v>
      </c>
      <c r="DZ54" s="8">
        <f t="shared" si="432"/>
        <v>51.605758728681359</v>
      </c>
      <c r="EA54" s="8">
        <f t="shared" si="433"/>
        <v>53.810887058372394</v>
      </c>
      <c r="EB54" s="8">
        <f t="shared" si="434"/>
        <v>56.121065560224437</v>
      </c>
      <c r="EC54" s="8">
        <f t="shared" si="435"/>
        <v>58.545400162757268</v>
      </c>
      <c r="ED54" s="8">
        <f t="shared" si="436"/>
        <v>61.094025894517827</v>
      </c>
      <c r="EE54" s="8">
        <f t="shared" si="437"/>
        <v>63.778258695257378</v>
      </c>
      <c r="EF54" s="8">
        <f t="shared" si="438"/>
        <v>66.610774806120176</v>
      </c>
      <c r="EG54" s="8">
        <f t="shared" si="439"/>
        <v>69.605823773050957</v>
      </c>
      <c r="EH54" s="8">
        <f t="shared" si="440"/>
        <v>72.779482654759633</v>
      </c>
      <c r="EI54" s="8">
        <f t="shared" si="441"/>
        <v>76.149961050859204</v>
      </c>
      <c r="EJ54" s="8">
        <f t="shared" si="442"/>
        <v>79.737969218299</v>
      </c>
      <c r="EK54" s="8">
        <f t="shared" si="443"/>
        <v>83.567165049319527</v>
      </c>
      <c r="EL54" s="8">
        <f t="shared" si="444"/>
        <v>87.66470035763075</v>
      </c>
      <c r="EM54" s="8">
        <f t="shared" si="445"/>
        <v>92.06189321074028</v>
      </c>
      <c r="EN54" s="8">
        <f t="shared" si="446"/>
        <v>96.795061602425548</v>
      </c>
      <c r="EO54" s="8">
        <f t="shared" si="447"/>
        <v>101.90656552394402</v>
      </c>
      <c r="EP54" s="8">
        <f t="shared" si="448"/>
        <v>107.44612086071736</v>
      </c>
      <c r="EQ54" s="8">
        <f t="shared" si="449"/>
        <v>113.47247160543067</v>
      </c>
      <c r="ER54" s="8">
        <f t="shared" si="450"/>
        <v>120.05553982735685</v>
      </c>
      <c r="ES54" s="8">
        <f t="shared" si="451"/>
        <v>127.2792206135792</v>
      </c>
      <c r="ET54" s="8">
        <f t="shared" si="452"/>
        <v>135.24505960432586</v>
      </c>
      <c r="EU54" s="8">
        <f t="shared" si="453"/>
        <v>144.07715635444296</v>
      </c>
      <c r="EV54" s="8">
        <f t="shared" si="454"/>
        <v>153.92879827392986</v>
      </c>
      <c r="EW54" s="8">
        <f t="shared" si="455"/>
        <v>164.99158227686232</v>
      </c>
      <c r="EX54" s="8">
        <f t="shared" si="456"/>
        <v>177.5081850702795</v>
      </c>
      <c r="EY54" s="8">
        <f t="shared" si="457"/>
        <v>191.79060640402412</v>
      </c>
      <c r="EZ54" s="8">
        <f t="shared" si="458"/>
        <v>208.24683226153465</v>
      </c>
      <c r="FA54" s="8">
        <f t="shared" si="459"/>
        <v>227.42082962486487</v>
      </c>
      <c r="FB54" s="8">
        <f t="shared" si="460"/>
        <v>250.05435654406813</v>
      </c>
      <c r="FC54" s="8">
        <f t="shared" si="461"/>
        <v>277.18585822513006</v>
      </c>
      <c r="FD54" s="8">
        <f t="shared" si="462"/>
        <v>310.31529381873656</v>
      </c>
      <c r="FE54" s="8">
        <f t="shared" si="463"/>
        <v>351.69258327436734</v>
      </c>
      <c r="FF54" s="8">
        <f t="shared" si="464"/>
        <v>404.85329432642283</v>
      </c>
      <c r="FG54" s="8">
        <f t="shared" si="465"/>
        <v>475.69001643459677</v>
      </c>
      <c r="FH54" s="8">
        <f t="shared" si="466"/>
        <v>574.80938341617696</v>
      </c>
      <c r="FI54" s="8">
        <f t="shared" si="467"/>
        <v>723.4246299831841</v>
      </c>
      <c r="FJ54" s="8">
        <f t="shared" si="468"/>
        <v>971.03326129825837</v>
      </c>
      <c r="FK54" s="8">
        <f t="shared" si="469"/>
        <v>1466.1277311185393</v>
      </c>
      <c r="FL54" s="8">
        <f t="shared" si="470"/>
        <v>2951.1701886506776</v>
      </c>
      <c r="FM54" s="8">
        <f t="shared" si="471"/>
        <v>2.0898450800475228E+16</v>
      </c>
      <c r="FO54">
        <v>2.7999999999999998E-4</v>
      </c>
      <c r="FP54" s="8">
        <f t="shared" si="472"/>
        <v>5.5999999999999995E-4</v>
      </c>
      <c r="FQ54" s="8">
        <f t="shared" si="473"/>
        <v>0.35</v>
      </c>
      <c r="FR54" s="8">
        <f>'estimates new'!AU84</f>
        <v>0.54651162790697672</v>
      </c>
      <c r="FS54" s="8">
        <f t="shared" si="474"/>
        <v>0.19651162790697674</v>
      </c>
    </row>
    <row r="55" spans="7:175" x14ac:dyDescent="0.2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7:175" x14ac:dyDescent="0.25">
      <c r="G56" s="10" t="s">
        <v>139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7:175" x14ac:dyDescent="0.25">
      <c r="G57" s="8">
        <f>ABS((3*$D$2*2/(4*PI()*$G2*$F$5))*4*B$8/$F$5^2)</f>
        <v>0</v>
      </c>
      <c r="H57" s="8">
        <f t="shared" ref="H57:BS57" si="475">ABS((3*$D$2*2/(4*PI()*$G2*$F$5))*4*C$8/$F$5^2)</f>
        <v>0.13732910156249997</v>
      </c>
      <c r="I57" s="8">
        <f t="shared" si="475"/>
        <v>0.27465820312499994</v>
      </c>
      <c r="J57" s="8">
        <f t="shared" si="475"/>
        <v>0.4119873046875</v>
      </c>
      <c r="K57" s="8">
        <f t="shared" si="475"/>
        <v>0.54931640624999989</v>
      </c>
      <c r="L57" s="8">
        <f t="shared" si="475"/>
        <v>0.68664550781249989</v>
      </c>
      <c r="M57" s="8">
        <f t="shared" si="475"/>
        <v>0.82397460937499978</v>
      </c>
      <c r="N57" s="8">
        <f t="shared" si="475"/>
        <v>0.96130371093749989</v>
      </c>
      <c r="O57" s="8">
        <f t="shared" si="475"/>
        <v>1.0986328124999998</v>
      </c>
      <c r="P57" s="8">
        <f t="shared" si="475"/>
        <v>1.2359619140624998</v>
      </c>
      <c r="Q57" s="8">
        <f t="shared" si="475"/>
        <v>1.3732910156249998</v>
      </c>
      <c r="R57" s="8">
        <f t="shared" si="475"/>
        <v>1.5106201171874996</v>
      </c>
      <c r="S57" s="8">
        <f t="shared" si="475"/>
        <v>1.6479492187499996</v>
      </c>
      <c r="T57" s="8">
        <f t="shared" si="475"/>
        <v>1.7852783203124998</v>
      </c>
      <c r="U57" s="8">
        <f t="shared" si="475"/>
        <v>1.9226074218749998</v>
      </c>
      <c r="V57" s="8">
        <f t="shared" si="475"/>
        <v>2.0599365234374996</v>
      </c>
      <c r="W57" s="8">
        <f t="shared" si="475"/>
        <v>2.1972656249999996</v>
      </c>
      <c r="X57" s="8">
        <f t="shared" si="475"/>
        <v>2.3345947265625</v>
      </c>
      <c r="Y57" s="8">
        <f t="shared" si="475"/>
        <v>2.4719238281249996</v>
      </c>
      <c r="Z57" s="8">
        <f t="shared" si="475"/>
        <v>2.6092529296874996</v>
      </c>
      <c r="AA57" s="8">
        <f t="shared" si="475"/>
        <v>2.7465820312499996</v>
      </c>
      <c r="AB57" s="8">
        <f t="shared" si="475"/>
        <v>2.8839111328124996</v>
      </c>
      <c r="AC57" s="8">
        <f t="shared" si="475"/>
        <v>3.0212402343749991</v>
      </c>
      <c r="AD57" s="8">
        <f t="shared" si="475"/>
        <v>3.1585693359374996</v>
      </c>
      <c r="AE57" s="8">
        <f t="shared" si="475"/>
        <v>3.2958984374999991</v>
      </c>
      <c r="AF57" s="8">
        <f t="shared" si="475"/>
        <v>3.4332275390624991</v>
      </c>
      <c r="AG57" s="8">
        <f t="shared" si="475"/>
        <v>3.5705566406249996</v>
      </c>
      <c r="AH57" s="8">
        <f t="shared" si="475"/>
        <v>3.7078857421874996</v>
      </c>
      <c r="AI57" s="8">
        <f t="shared" si="475"/>
        <v>3.84521484375</v>
      </c>
      <c r="AJ57" s="8">
        <f t="shared" si="475"/>
        <v>3.9825439453125004</v>
      </c>
      <c r="AK57" s="8">
        <f t="shared" si="475"/>
        <v>4.1198730468750009</v>
      </c>
      <c r="AL57" s="8">
        <f t="shared" si="475"/>
        <v>4.2572021484375009</v>
      </c>
      <c r="AM57" s="8">
        <f t="shared" si="475"/>
        <v>4.3945312500000018</v>
      </c>
      <c r="AN57" s="8">
        <f t="shared" si="475"/>
        <v>4.5318603515625018</v>
      </c>
      <c r="AO57" s="8">
        <f t="shared" si="475"/>
        <v>4.6691894531250027</v>
      </c>
      <c r="AP57" s="8">
        <f t="shared" si="475"/>
        <v>4.8065185546875027</v>
      </c>
      <c r="AQ57" s="8">
        <f t="shared" si="475"/>
        <v>4.9438476562500027</v>
      </c>
      <c r="AR57" s="8">
        <f t="shared" si="475"/>
        <v>5.0811767578125036</v>
      </c>
      <c r="AS57" s="8">
        <f t="shared" si="475"/>
        <v>5.2185058593750036</v>
      </c>
      <c r="AT57" s="8">
        <f t="shared" si="475"/>
        <v>5.3558349609375044</v>
      </c>
      <c r="AU57" s="8">
        <f t="shared" si="475"/>
        <v>5.4931640625000044</v>
      </c>
      <c r="AV57" s="8">
        <f t="shared" si="475"/>
        <v>5.6304931640625044</v>
      </c>
      <c r="AW57" s="8">
        <f t="shared" si="475"/>
        <v>5.7678222656250053</v>
      </c>
      <c r="AX57" s="8">
        <f t="shared" si="475"/>
        <v>5.9051513671875053</v>
      </c>
      <c r="AY57" s="8">
        <f t="shared" si="475"/>
        <v>6.0424804687500053</v>
      </c>
      <c r="AZ57" s="8">
        <f t="shared" si="475"/>
        <v>6.1798095703125062</v>
      </c>
      <c r="BA57" s="8">
        <f t="shared" si="475"/>
        <v>6.3171386718750062</v>
      </c>
      <c r="BB57" s="8">
        <f t="shared" si="475"/>
        <v>6.4544677734375071</v>
      </c>
      <c r="BC57" s="8">
        <f t="shared" si="475"/>
        <v>6.5917968750000062</v>
      </c>
      <c r="BD57" s="8">
        <f t="shared" si="475"/>
        <v>6.729125976562508</v>
      </c>
      <c r="BE57" s="8">
        <f t="shared" si="475"/>
        <v>6.8664550781250071</v>
      </c>
      <c r="BF57" s="8">
        <f t="shared" si="475"/>
        <v>7.003784179687508</v>
      </c>
      <c r="BG57" s="8">
        <f t="shared" si="475"/>
        <v>7.141113281250008</v>
      </c>
      <c r="BH57" s="8">
        <f t="shared" si="475"/>
        <v>7.2784423828125089</v>
      </c>
      <c r="BI57" s="8">
        <f t="shared" si="475"/>
        <v>7.4157714843750089</v>
      </c>
      <c r="BJ57" s="8">
        <f t="shared" si="475"/>
        <v>7.5531005859375098</v>
      </c>
      <c r="BK57" s="8">
        <f t="shared" si="475"/>
        <v>7.6904296875000098</v>
      </c>
      <c r="BL57" s="8">
        <f t="shared" si="475"/>
        <v>7.8277587890625107</v>
      </c>
      <c r="BM57" s="8">
        <f t="shared" si="475"/>
        <v>7.9650878906250098</v>
      </c>
      <c r="BN57" s="8">
        <f t="shared" si="475"/>
        <v>8.1024169921875107</v>
      </c>
      <c r="BO57" s="8">
        <f t="shared" si="475"/>
        <v>8.2397460937500107</v>
      </c>
      <c r="BP57" s="8">
        <f t="shared" si="475"/>
        <v>8.3770751953125124</v>
      </c>
      <c r="BQ57" s="8">
        <f t="shared" si="475"/>
        <v>8.5144042968750124</v>
      </c>
      <c r="BR57" s="8">
        <f t="shared" si="475"/>
        <v>8.6517333984375107</v>
      </c>
      <c r="BS57" s="8">
        <f t="shared" si="475"/>
        <v>8.7890625000000124</v>
      </c>
      <c r="BT57" s="8">
        <f t="shared" ref="BT57:CH57" si="476">ABS((3*$D$2*2/(4*PI()*$G2*$F$5))*4*BO$8/$F$5^2)</f>
        <v>8.9263916015625124</v>
      </c>
      <c r="BU57" s="8">
        <f t="shared" si="476"/>
        <v>9.0637207031250124</v>
      </c>
      <c r="BV57" s="8">
        <f t="shared" si="476"/>
        <v>9.2010498046875124</v>
      </c>
      <c r="BW57" s="8">
        <f t="shared" si="476"/>
        <v>9.3383789062500142</v>
      </c>
      <c r="BX57" s="8">
        <f t="shared" si="476"/>
        <v>9.4757080078125142</v>
      </c>
      <c r="BY57" s="8">
        <f t="shared" si="476"/>
        <v>9.6130371093750142</v>
      </c>
      <c r="BZ57" s="8">
        <f t="shared" si="476"/>
        <v>9.7503662109375142</v>
      </c>
      <c r="CA57" s="8">
        <f t="shared" si="476"/>
        <v>9.887695312500016</v>
      </c>
      <c r="CB57" s="8">
        <f t="shared" si="476"/>
        <v>10.025024414062514</v>
      </c>
      <c r="CC57" s="8">
        <f t="shared" si="476"/>
        <v>10.162353515625016</v>
      </c>
      <c r="CD57" s="8">
        <f t="shared" si="476"/>
        <v>10.299682617187516</v>
      </c>
      <c r="CE57" s="8">
        <f t="shared" si="476"/>
        <v>10.437011718750016</v>
      </c>
      <c r="CF57" s="8">
        <f t="shared" si="476"/>
        <v>10.574340820312516</v>
      </c>
      <c r="CG57" s="8">
        <f t="shared" si="476"/>
        <v>10.711669921875018</v>
      </c>
      <c r="CH57" s="8">
        <f t="shared" si="476"/>
        <v>10.848999023437518</v>
      </c>
      <c r="CI57" s="8">
        <f>ABS((3*$D$2*2/(4*PI()*$G2*$F$5))*4*CD$8/$F$5^2)</f>
        <v>10.986328125000018</v>
      </c>
    </row>
    <row r="58" spans="7:175" x14ac:dyDescent="0.25">
      <c r="G58" s="8">
        <f t="shared" ref="G58:G59" si="477">ABS((3*$D$2*2/(4*PI()*$G3*$F$5))*4*B$8/$F$5^2)</f>
        <v>0</v>
      </c>
      <c r="H58" s="8">
        <f t="shared" ref="H58:H59" si="478">ABS((3*$D$2*2/(4*PI()*$G3*$F$5))*4*C$8/$F$5^2)</f>
        <v>6.1035156250000007E-2</v>
      </c>
      <c r="I58" s="8">
        <f t="shared" ref="I58:I59" si="479">ABS((3*$D$2*2/(4*PI()*$G3*$F$5))*4*D$8/$F$5^2)</f>
        <v>0.12207031250000001</v>
      </c>
      <c r="J58" s="8">
        <f t="shared" ref="J58:J59" si="480">ABS((3*$D$2*2/(4*PI()*$G3*$F$5))*4*E$8/$F$5^2)</f>
        <v>0.18310546875000003</v>
      </c>
      <c r="K58" s="8">
        <f t="shared" ref="K58:K59" si="481">ABS((3*$D$2*2/(4*PI()*$G3*$F$5))*4*F$8/$F$5^2)</f>
        <v>0.24414062500000003</v>
      </c>
      <c r="L58" s="8">
        <f t="shared" ref="L58:L59" si="482">ABS((3*$D$2*2/(4*PI()*$G3*$F$5))*4*G$8/$F$5^2)</f>
        <v>0.30517578125</v>
      </c>
      <c r="M58" s="8">
        <f t="shared" ref="M58:M59" si="483">ABS((3*$D$2*2/(4*PI()*$G3*$F$5))*4*H$8/$F$5^2)</f>
        <v>0.3662109375</v>
      </c>
      <c r="N58" s="8">
        <f t="shared" ref="N58:N59" si="484">ABS((3*$D$2*2/(4*PI()*$G3*$F$5))*4*I$8/$F$5^2)</f>
        <v>0.42724609375000006</v>
      </c>
      <c r="O58" s="8">
        <f t="shared" ref="O58:O59" si="485">ABS((3*$D$2*2/(4*PI()*$G3*$F$5))*4*J$8/$F$5^2)</f>
        <v>0.48828125000000006</v>
      </c>
      <c r="P58" s="8">
        <f t="shared" ref="P58:P59" si="486">ABS((3*$D$2*2/(4*PI()*$G3*$F$5))*4*K$8/$F$5^2)</f>
        <v>0.54931640625</v>
      </c>
      <c r="Q58" s="8">
        <f t="shared" ref="Q58:Q59" si="487">ABS((3*$D$2*2/(4*PI()*$G3*$F$5))*4*L$8/$F$5^2)</f>
        <v>0.6103515625</v>
      </c>
      <c r="R58" s="8">
        <f t="shared" ref="R58:R59" si="488">ABS((3*$D$2*2/(4*PI()*$G3*$F$5))*4*M$8/$F$5^2)</f>
        <v>0.67138671875</v>
      </c>
      <c r="S58" s="8">
        <f t="shared" ref="S58:S59" si="489">ABS((3*$D$2*2/(4*PI()*$G3*$F$5))*4*N$8/$F$5^2)</f>
        <v>0.732421875</v>
      </c>
      <c r="T58" s="8">
        <f t="shared" ref="T58:T59" si="490">ABS((3*$D$2*2/(4*PI()*$G3*$F$5))*4*O$8/$F$5^2)</f>
        <v>0.79345703125000011</v>
      </c>
      <c r="U58" s="8">
        <f t="shared" ref="U58:U59" si="491">ABS((3*$D$2*2/(4*PI()*$G3*$F$5))*4*P$8/$F$5^2)</f>
        <v>0.85449218750000011</v>
      </c>
      <c r="V58" s="8">
        <f t="shared" ref="V58:V59" si="492">ABS((3*$D$2*2/(4*PI()*$G3*$F$5))*4*Q$8/$F$5^2)</f>
        <v>0.91552734375000011</v>
      </c>
      <c r="W58" s="8">
        <f t="shared" ref="W58:W59" si="493">ABS((3*$D$2*2/(4*PI()*$G3*$F$5))*4*R$8/$F$5^2)</f>
        <v>0.97656250000000011</v>
      </c>
      <c r="X58" s="8">
        <f t="shared" ref="X58:X59" si="494">ABS((3*$D$2*2/(4*PI()*$G3*$F$5))*4*S$8/$F$5^2)</f>
        <v>1.03759765625</v>
      </c>
      <c r="Y58" s="8">
        <f t="shared" ref="Y58:Y59" si="495">ABS((3*$D$2*2/(4*PI()*$G3*$F$5))*4*T$8/$F$5^2)</f>
        <v>1.0986328125</v>
      </c>
      <c r="Z58" s="8">
        <f t="shared" ref="Z58:Z59" si="496">ABS((3*$D$2*2/(4*PI()*$G3*$F$5))*4*U$8/$F$5^2)</f>
        <v>1.15966796875</v>
      </c>
      <c r="AA58" s="8">
        <f t="shared" ref="AA58:AA59" si="497">ABS((3*$D$2*2/(4*PI()*$G3*$F$5))*4*V$8/$F$5^2)</f>
        <v>1.220703125</v>
      </c>
      <c r="AB58" s="8">
        <f t="shared" ref="AB58:AB59" si="498">ABS((3*$D$2*2/(4*PI()*$G3*$F$5))*4*W$8/$F$5^2)</f>
        <v>1.28173828125</v>
      </c>
      <c r="AC58" s="8">
        <f t="shared" ref="AC58:AC59" si="499">ABS((3*$D$2*2/(4*PI()*$G3*$F$5))*4*X$8/$F$5^2)</f>
        <v>1.3427734375</v>
      </c>
      <c r="AD58" s="8">
        <f t="shared" ref="AD58:AD59" si="500">ABS((3*$D$2*2/(4*PI()*$G3*$F$5))*4*Y$8/$F$5^2)</f>
        <v>1.40380859375</v>
      </c>
      <c r="AE58" s="8">
        <f t="shared" ref="AE58:AE59" si="501">ABS((3*$D$2*2/(4*PI()*$G3*$F$5))*4*Z$8/$F$5^2)</f>
        <v>1.46484375</v>
      </c>
      <c r="AF58" s="8">
        <f t="shared" ref="AF58:AF59" si="502">ABS((3*$D$2*2/(4*PI()*$G3*$F$5))*4*AA$8/$F$5^2)</f>
        <v>1.52587890625</v>
      </c>
      <c r="AG58" s="8">
        <f t="shared" ref="AG58:AG59" si="503">ABS((3*$D$2*2/(4*PI()*$G3*$F$5))*4*AB$8/$F$5^2)</f>
        <v>1.5869140625000002</v>
      </c>
      <c r="AH58" s="8">
        <f t="shared" ref="AH58:AH59" si="504">ABS((3*$D$2*2/(4*PI()*$G3*$F$5))*4*AC$8/$F$5^2)</f>
        <v>1.6479492187500002</v>
      </c>
      <c r="AI58" s="8">
        <f t="shared" ref="AI58:AI59" si="505">ABS((3*$D$2*2/(4*PI()*$G3*$F$5))*4*AD$8/$F$5^2)</f>
        <v>1.7089843750000004</v>
      </c>
      <c r="AJ58" s="8">
        <f t="shared" ref="AJ58:AJ59" si="506">ABS((3*$D$2*2/(4*PI()*$G3*$F$5))*4*AE$8/$F$5^2)</f>
        <v>1.7700195312500007</v>
      </c>
      <c r="AK58" s="8">
        <f t="shared" ref="AK58:AK59" si="507">ABS((3*$D$2*2/(4*PI()*$G3*$F$5))*4*AF$8/$F$5^2)</f>
        <v>1.8310546875000009</v>
      </c>
      <c r="AL58" s="8">
        <f t="shared" ref="AL58:AL59" si="508">ABS((3*$D$2*2/(4*PI()*$G3*$F$5))*4*AG$8/$F$5^2)</f>
        <v>1.8920898437500009</v>
      </c>
      <c r="AM58" s="8">
        <f t="shared" ref="AM58:AM59" si="509">ABS((3*$D$2*2/(4*PI()*$G3*$F$5))*4*AH$8/$F$5^2)</f>
        <v>1.9531250000000011</v>
      </c>
      <c r="AN58" s="8">
        <f t="shared" ref="AN58:AN59" si="510">ABS((3*$D$2*2/(4*PI()*$G3*$F$5))*4*AI$8/$F$5^2)</f>
        <v>2.0141601562500013</v>
      </c>
      <c r="AO58" s="8">
        <f t="shared" ref="AO58:AO59" si="511">ABS((3*$D$2*2/(4*PI()*$G3*$F$5))*4*AJ$8/$F$5^2)</f>
        <v>2.0751953125000013</v>
      </c>
      <c r="AP58" s="8">
        <f t="shared" ref="AP58:AP59" si="512">ABS((3*$D$2*2/(4*PI()*$G3*$F$5))*4*AK$8/$F$5^2)</f>
        <v>2.1362304687500018</v>
      </c>
      <c r="AQ58" s="8">
        <f t="shared" ref="AQ58:AQ59" si="513">ABS((3*$D$2*2/(4*PI()*$G3*$F$5))*4*AL$8/$F$5^2)</f>
        <v>2.1972656250000018</v>
      </c>
      <c r="AR58" s="8">
        <f t="shared" ref="AR58:AR59" si="514">ABS((3*$D$2*2/(4*PI()*$G3*$F$5))*4*AM$8/$F$5^2)</f>
        <v>2.2583007812500018</v>
      </c>
      <c r="AS58" s="8">
        <f t="shared" ref="AS58:AS59" si="515">ABS((3*$D$2*2/(4*PI()*$G3*$F$5))*4*AN$8/$F$5^2)</f>
        <v>2.3193359375000022</v>
      </c>
      <c r="AT58" s="8">
        <f t="shared" ref="AT58:AT59" si="516">ABS((3*$D$2*2/(4*PI()*$G3*$F$5))*4*AO$8/$F$5^2)</f>
        <v>2.3803710937500022</v>
      </c>
      <c r="AU58" s="8">
        <f t="shared" ref="AU58:AU59" si="517">ABS((3*$D$2*2/(4*PI()*$G3*$F$5))*4*AP$8/$F$5^2)</f>
        <v>2.4414062500000022</v>
      </c>
      <c r="AV58" s="8">
        <f t="shared" ref="AV58:AV59" si="518">ABS((3*$D$2*2/(4*PI()*$G3*$F$5))*4*AQ$8/$F$5^2)</f>
        <v>2.5024414062500027</v>
      </c>
      <c r="AW58" s="8">
        <f t="shared" ref="AW58:AW59" si="519">ABS((3*$D$2*2/(4*PI()*$G3*$F$5))*4*AR$8/$F$5^2)</f>
        <v>2.5634765625000027</v>
      </c>
      <c r="AX58" s="8">
        <f t="shared" ref="AX58:AX59" si="520">ABS((3*$D$2*2/(4*PI()*$G3*$F$5))*4*AS$8/$F$5^2)</f>
        <v>2.6245117187500027</v>
      </c>
      <c r="AY58" s="8">
        <f t="shared" ref="AY58:AY59" si="521">ABS((3*$D$2*2/(4*PI()*$G3*$F$5))*4*AT$8/$F$5^2)</f>
        <v>2.6855468750000031</v>
      </c>
      <c r="AZ58" s="8">
        <f t="shared" ref="AZ58:AZ59" si="522">ABS((3*$D$2*2/(4*PI()*$G3*$F$5))*4*AU$8/$F$5^2)</f>
        <v>2.7465820312500031</v>
      </c>
      <c r="BA58" s="8">
        <f t="shared" ref="BA58:BA59" si="523">ABS((3*$D$2*2/(4*PI()*$G3*$F$5))*4*AV$8/$F$5^2)</f>
        <v>2.8076171875000036</v>
      </c>
      <c r="BB58" s="8">
        <f t="shared" ref="BB58:BB59" si="524">ABS((3*$D$2*2/(4*PI()*$G3*$F$5))*4*AW$8/$F$5^2)</f>
        <v>2.8686523437500036</v>
      </c>
      <c r="BC58" s="8">
        <f t="shared" ref="BC58:BC59" si="525">ABS((3*$D$2*2/(4*PI()*$G3*$F$5))*4*AX$8/$F$5^2)</f>
        <v>2.9296875000000036</v>
      </c>
      <c r="BD58" s="8">
        <f t="shared" ref="BD58:BD59" si="526">ABS((3*$D$2*2/(4*PI()*$G3*$F$5))*4*AY$8/$F$5^2)</f>
        <v>2.990722656250004</v>
      </c>
      <c r="BE58" s="8">
        <f t="shared" ref="BE58:BE59" si="527">ABS((3*$D$2*2/(4*PI()*$G3*$F$5))*4*AZ$8/$F$5^2)</f>
        <v>3.051757812500004</v>
      </c>
      <c r="BF58" s="8">
        <f t="shared" ref="BF58:BF59" si="528">ABS((3*$D$2*2/(4*PI()*$G3*$F$5))*4*BA$8/$F$5^2)</f>
        <v>3.112792968750004</v>
      </c>
      <c r="BG58" s="8">
        <f t="shared" ref="BG58:BG59" si="529">ABS((3*$D$2*2/(4*PI()*$G3*$F$5))*4*BB$8/$F$5^2)</f>
        <v>3.1738281250000044</v>
      </c>
      <c r="BH58" s="8">
        <f t="shared" ref="BH58:BH59" si="530">ABS((3*$D$2*2/(4*PI()*$G3*$F$5))*4*BC$8/$F$5^2)</f>
        <v>3.2348632812500044</v>
      </c>
      <c r="BI58" s="8">
        <f t="shared" ref="BI58:BI59" si="531">ABS((3*$D$2*2/(4*PI()*$G3*$F$5))*4*BD$8/$F$5^2)</f>
        <v>3.2958984375000044</v>
      </c>
      <c r="BJ58" s="8">
        <f t="shared" ref="BJ58:BJ59" si="532">ABS((3*$D$2*2/(4*PI()*$G3*$F$5))*4*BE$8/$F$5^2)</f>
        <v>3.3569335937500049</v>
      </c>
      <c r="BK58" s="8">
        <f t="shared" ref="BK58:BK59" si="533">ABS((3*$D$2*2/(4*PI()*$G3*$F$5))*4*BF$8/$F$5^2)</f>
        <v>3.4179687500000049</v>
      </c>
      <c r="BL58" s="8">
        <f t="shared" ref="BL58:BL59" si="534">ABS((3*$D$2*2/(4*PI()*$G3*$F$5))*4*BG$8/$F$5^2)</f>
        <v>3.4790039062500049</v>
      </c>
      <c r="BM58" s="8">
        <f t="shared" ref="BM58:BM59" si="535">ABS((3*$D$2*2/(4*PI()*$G3*$F$5))*4*BH$8/$F$5^2)</f>
        <v>3.5400390625000053</v>
      </c>
      <c r="BN58" s="8">
        <f t="shared" ref="BN58:BN59" si="536">ABS((3*$D$2*2/(4*PI()*$G3*$F$5))*4*BI$8/$F$5^2)</f>
        <v>3.6010742187500053</v>
      </c>
      <c r="BO58" s="8">
        <f t="shared" ref="BO58:BO59" si="537">ABS((3*$D$2*2/(4*PI()*$G3*$F$5))*4*BJ$8/$F$5^2)</f>
        <v>3.6621093750000058</v>
      </c>
      <c r="BP58" s="8">
        <f t="shared" ref="BP58:BP59" si="538">ABS((3*$D$2*2/(4*PI()*$G3*$F$5))*4*BK$8/$F$5^2)</f>
        <v>3.7231445312500058</v>
      </c>
      <c r="BQ58" s="8">
        <f t="shared" ref="BQ58:BQ59" si="539">ABS((3*$D$2*2/(4*PI()*$G3*$F$5))*4*BL$8/$F$5^2)</f>
        <v>3.7841796875000058</v>
      </c>
      <c r="BR58" s="8">
        <f t="shared" ref="BR58:BR59" si="540">ABS((3*$D$2*2/(4*PI()*$G3*$F$5))*4*BM$8/$F$5^2)</f>
        <v>3.8452148437500062</v>
      </c>
      <c r="BS58" s="8">
        <f t="shared" ref="BS58:BS59" si="541">ABS((3*$D$2*2/(4*PI()*$G3*$F$5))*4*BN$8/$F$5^2)</f>
        <v>3.9062500000000062</v>
      </c>
      <c r="BT58" s="8">
        <f t="shared" ref="BT58:BT59" si="542">ABS((3*$D$2*2/(4*PI()*$G3*$F$5))*4*BO$8/$F$5^2)</f>
        <v>3.9672851562500062</v>
      </c>
      <c r="BU58" s="8">
        <f t="shared" ref="BU58:BU59" si="543">ABS((3*$D$2*2/(4*PI()*$G3*$F$5))*4*BP$8/$F$5^2)</f>
        <v>4.0283203125000062</v>
      </c>
      <c r="BV58" s="8">
        <f t="shared" ref="BV58:BV59" si="544">ABS((3*$D$2*2/(4*PI()*$G3*$F$5))*4*BQ$8/$F$5^2)</f>
        <v>4.0893554687500071</v>
      </c>
      <c r="BW58" s="8">
        <f t="shared" ref="BW58:BW59" si="545">ABS((3*$D$2*2/(4*PI()*$G3*$F$5))*4*BR$8/$F$5^2)</f>
        <v>4.1503906250000071</v>
      </c>
      <c r="BX58" s="8">
        <f t="shared" ref="BX58:BX59" si="546">ABS((3*$D$2*2/(4*PI()*$G3*$F$5))*4*BS$8/$F$5^2)</f>
        <v>4.2114257812500071</v>
      </c>
      <c r="BY58" s="8">
        <f t="shared" ref="BY58:BY59" si="547">ABS((3*$D$2*2/(4*PI()*$G3*$F$5))*4*BT$8/$F$5^2)</f>
        <v>4.2724609375000071</v>
      </c>
      <c r="BZ58" s="8">
        <f t="shared" ref="BZ58:BZ59" si="548">ABS((3*$D$2*2/(4*PI()*$G3*$F$5))*4*BU$8/$F$5^2)</f>
        <v>4.3334960937500071</v>
      </c>
      <c r="CA58" s="8">
        <f t="shared" ref="CA58:CA59" si="549">ABS((3*$D$2*2/(4*PI()*$G3*$F$5))*4*BV$8/$F$5^2)</f>
        <v>4.3945312500000071</v>
      </c>
      <c r="CB58" s="8">
        <f t="shared" ref="CB58:CB59" si="550">ABS((3*$D$2*2/(4*PI()*$G3*$F$5))*4*BW$8/$F$5^2)</f>
        <v>4.455566406250008</v>
      </c>
      <c r="CC58" s="8">
        <f t="shared" ref="CC58:CC59" si="551">ABS((3*$D$2*2/(4*PI()*$G3*$F$5))*4*BX$8/$F$5^2)</f>
        <v>4.516601562500008</v>
      </c>
      <c r="CD58" s="8">
        <f t="shared" ref="CD58:CD59" si="552">ABS((3*$D$2*2/(4*PI()*$G3*$F$5))*4*BY$8/$F$5^2)</f>
        <v>4.577636718750008</v>
      </c>
      <c r="CE58" s="8">
        <f t="shared" ref="CE58:CE59" si="553">ABS((3*$D$2*2/(4*PI()*$G3*$F$5))*4*BZ$8/$F$5^2)</f>
        <v>4.638671875000008</v>
      </c>
      <c r="CF58" s="8">
        <f t="shared" ref="CF58:CF59" si="554">ABS((3*$D$2*2/(4*PI()*$G3*$F$5))*4*CA$8/$F$5^2)</f>
        <v>4.699707031250008</v>
      </c>
      <c r="CG58" s="8">
        <f t="shared" ref="CG58:CG59" si="555">ABS((3*$D$2*2/(4*PI()*$G3*$F$5))*4*CB$8/$F$5^2)</f>
        <v>4.760742187500008</v>
      </c>
      <c r="CH58" s="8">
        <f t="shared" ref="CH58:CH59" si="556">ABS((3*$D$2*2/(4*PI()*$G3*$F$5))*4*CC$8/$F$5^2)</f>
        <v>4.8217773437500089</v>
      </c>
      <c r="CI58" s="8">
        <f t="shared" ref="CI58" si="557">ABS((3*$D$2*2/(4*PI()*$G3*$F$5))*4*CD$8/$F$5^2)</f>
        <v>4.8828125000000089</v>
      </c>
    </row>
    <row r="59" spans="7:175" x14ac:dyDescent="0.25">
      <c r="G59" s="8">
        <f t="shared" si="477"/>
        <v>0</v>
      </c>
      <c r="H59" s="8">
        <f t="shared" si="478"/>
        <v>3.9236886160714288E-2</v>
      </c>
      <c r="I59" s="8">
        <f t="shared" si="479"/>
        <v>7.8473772321428575E-2</v>
      </c>
      <c r="J59" s="8">
        <f t="shared" si="480"/>
        <v>0.11771065848214285</v>
      </c>
      <c r="K59" s="8">
        <f t="shared" si="481"/>
        <v>0.15694754464285715</v>
      </c>
      <c r="L59" s="8">
        <f t="shared" si="482"/>
        <v>0.19618443080357142</v>
      </c>
      <c r="M59" s="8">
        <f t="shared" si="483"/>
        <v>0.2354213169642857</v>
      </c>
      <c r="N59" s="8">
        <f t="shared" si="484"/>
        <v>0.274658203125</v>
      </c>
      <c r="O59" s="8">
        <f t="shared" si="485"/>
        <v>0.3138950892857143</v>
      </c>
      <c r="P59" s="8">
        <f t="shared" si="486"/>
        <v>0.35313197544642855</v>
      </c>
      <c r="Q59" s="8">
        <f t="shared" si="487"/>
        <v>0.39236886160714285</v>
      </c>
      <c r="R59" s="8">
        <f t="shared" si="488"/>
        <v>0.43160574776785715</v>
      </c>
      <c r="S59" s="8">
        <f t="shared" si="489"/>
        <v>0.4708426339285714</v>
      </c>
      <c r="T59" s="8">
        <f t="shared" si="490"/>
        <v>0.5100795200892857</v>
      </c>
      <c r="U59" s="8">
        <f t="shared" si="491"/>
        <v>0.54931640625</v>
      </c>
      <c r="V59" s="8">
        <f t="shared" si="492"/>
        <v>0.5885532924107143</v>
      </c>
      <c r="W59" s="8">
        <f t="shared" si="493"/>
        <v>0.6277901785714286</v>
      </c>
      <c r="X59" s="8">
        <f t="shared" si="494"/>
        <v>0.66702706473214279</v>
      </c>
      <c r="Y59" s="8">
        <f t="shared" si="495"/>
        <v>0.7062639508928571</v>
      </c>
      <c r="Z59" s="8">
        <f t="shared" si="496"/>
        <v>0.74550083705357151</v>
      </c>
      <c r="AA59" s="8">
        <f t="shared" si="497"/>
        <v>0.7847377232142857</v>
      </c>
      <c r="AB59" s="8">
        <f t="shared" si="498"/>
        <v>0.823974609375</v>
      </c>
      <c r="AC59" s="8">
        <f t="shared" si="499"/>
        <v>0.8632114955357143</v>
      </c>
      <c r="AD59" s="8">
        <f t="shared" si="500"/>
        <v>0.90244838169642849</v>
      </c>
      <c r="AE59" s="8">
        <f t="shared" si="501"/>
        <v>0.94168526785714279</v>
      </c>
      <c r="AF59" s="8">
        <f t="shared" si="502"/>
        <v>0.9809221540178571</v>
      </c>
      <c r="AG59" s="8">
        <f t="shared" si="503"/>
        <v>1.0201590401785714</v>
      </c>
      <c r="AH59" s="8">
        <f t="shared" si="504"/>
        <v>1.0593959263392858</v>
      </c>
      <c r="AI59" s="8">
        <f t="shared" si="505"/>
        <v>1.0986328125000002</v>
      </c>
      <c r="AJ59" s="8">
        <f t="shared" si="506"/>
        <v>1.1378696986607146</v>
      </c>
      <c r="AK59" s="8">
        <f t="shared" si="507"/>
        <v>1.1771065848214288</v>
      </c>
      <c r="AL59" s="8">
        <f t="shared" si="508"/>
        <v>1.2163434709821435</v>
      </c>
      <c r="AM59" s="8">
        <f t="shared" si="509"/>
        <v>1.2555803571428579</v>
      </c>
      <c r="AN59" s="8">
        <f t="shared" si="510"/>
        <v>1.2948172433035721</v>
      </c>
      <c r="AO59" s="8">
        <f t="shared" si="511"/>
        <v>1.3340541294642865</v>
      </c>
      <c r="AP59" s="8">
        <f t="shared" si="512"/>
        <v>1.3732910156250009</v>
      </c>
      <c r="AQ59" s="8">
        <f t="shared" si="513"/>
        <v>1.4125279017857153</v>
      </c>
      <c r="AR59" s="8">
        <f t="shared" si="514"/>
        <v>1.4517647879464297</v>
      </c>
      <c r="AS59" s="8">
        <f t="shared" si="515"/>
        <v>1.4910016741071439</v>
      </c>
      <c r="AT59" s="8">
        <f t="shared" si="516"/>
        <v>1.5302385602678583</v>
      </c>
      <c r="AU59" s="8">
        <f t="shared" si="517"/>
        <v>1.5694754464285727</v>
      </c>
      <c r="AV59" s="8">
        <f t="shared" si="518"/>
        <v>1.6087123325892871</v>
      </c>
      <c r="AW59" s="8">
        <f t="shared" si="519"/>
        <v>1.6479492187500016</v>
      </c>
      <c r="AX59" s="8">
        <f t="shared" si="520"/>
        <v>1.687186104910716</v>
      </c>
      <c r="AY59" s="8">
        <f t="shared" si="521"/>
        <v>1.7264229910714302</v>
      </c>
      <c r="AZ59" s="8">
        <f t="shared" si="522"/>
        <v>1.7656598772321446</v>
      </c>
      <c r="BA59" s="8">
        <f t="shared" si="523"/>
        <v>1.804896763392859</v>
      </c>
      <c r="BB59" s="8">
        <f t="shared" si="524"/>
        <v>1.8441336495535734</v>
      </c>
      <c r="BC59" s="8">
        <f t="shared" si="525"/>
        <v>1.883370535714288</v>
      </c>
      <c r="BD59" s="8">
        <f t="shared" si="526"/>
        <v>1.9226074218750024</v>
      </c>
      <c r="BE59" s="8">
        <f t="shared" si="527"/>
        <v>1.9618443080357169</v>
      </c>
      <c r="BF59" s="8">
        <f t="shared" si="528"/>
        <v>2.001081194196431</v>
      </c>
      <c r="BG59" s="8">
        <f t="shared" si="529"/>
        <v>2.0403180803571455</v>
      </c>
      <c r="BH59" s="8">
        <f t="shared" si="530"/>
        <v>2.0795549665178599</v>
      </c>
      <c r="BI59" s="8">
        <f t="shared" si="531"/>
        <v>2.1187918526785743</v>
      </c>
      <c r="BJ59" s="8">
        <f t="shared" si="532"/>
        <v>2.1580287388392887</v>
      </c>
      <c r="BK59" s="8">
        <f t="shared" si="533"/>
        <v>2.1972656250000031</v>
      </c>
      <c r="BL59" s="8">
        <f t="shared" si="534"/>
        <v>2.2365025111607171</v>
      </c>
      <c r="BM59" s="8">
        <f t="shared" si="535"/>
        <v>2.2757393973214315</v>
      </c>
      <c r="BN59" s="8">
        <f t="shared" si="536"/>
        <v>2.3149762834821459</v>
      </c>
      <c r="BO59" s="8">
        <f t="shared" si="537"/>
        <v>2.3542131696428603</v>
      </c>
      <c r="BP59" s="8">
        <f t="shared" si="538"/>
        <v>2.3934500558035747</v>
      </c>
      <c r="BQ59" s="8">
        <f t="shared" si="539"/>
        <v>2.4326869419642891</v>
      </c>
      <c r="BR59" s="8">
        <f t="shared" si="540"/>
        <v>2.471923828125004</v>
      </c>
      <c r="BS59" s="8">
        <f t="shared" si="541"/>
        <v>2.511160714285718</v>
      </c>
      <c r="BT59" s="8">
        <f t="shared" si="542"/>
        <v>2.5503976004464324</v>
      </c>
      <c r="BU59" s="8">
        <f t="shared" si="543"/>
        <v>2.5896344866071468</v>
      </c>
      <c r="BV59" s="8">
        <f t="shared" si="544"/>
        <v>2.6288713727678612</v>
      </c>
      <c r="BW59" s="8">
        <f t="shared" si="545"/>
        <v>2.6681082589285756</v>
      </c>
      <c r="BX59" s="8">
        <f t="shared" si="546"/>
        <v>2.70734514508929</v>
      </c>
      <c r="BY59" s="8">
        <f t="shared" si="547"/>
        <v>2.746582031250004</v>
      </c>
      <c r="BZ59" s="8">
        <f t="shared" si="548"/>
        <v>2.7858189174107184</v>
      </c>
      <c r="CA59" s="8">
        <f t="shared" si="549"/>
        <v>2.8250558035714328</v>
      </c>
      <c r="CB59" s="8">
        <f t="shared" si="550"/>
        <v>2.8642926897321477</v>
      </c>
      <c r="CC59" s="8">
        <f t="shared" si="551"/>
        <v>2.9035295758928621</v>
      </c>
      <c r="CD59" s="8">
        <f t="shared" si="552"/>
        <v>2.9427664620535765</v>
      </c>
      <c r="CE59" s="8">
        <f t="shared" si="553"/>
        <v>2.9820033482142905</v>
      </c>
      <c r="CF59" s="8">
        <f t="shared" si="554"/>
        <v>3.0212402343750053</v>
      </c>
      <c r="CG59" s="8">
        <f t="shared" si="555"/>
        <v>3.0604771205357193</v>
      </c>
      <c r="CH59" s="8">
        <f t="shared" si="556"/>
        <v>3.0997140066964342</v>
      </c>
      <c r="CI59" s="8">
        <f>ABS((3*$D$2*2/(4*PI()*$G4*$F$5))*4*CD$8/$F$5^2)</f>
        <v>3.1389508928571481</v>
      </c>
    </row>
    <row r="97" spans="1:169" x14ac:dyDescent="0.25">
      <c r="A97" s="10" t="s">
        <v>147</v>
      </c>
      <c r="B97" t="s">
        <v>149</v>
      </c>
      <c r="C97" t="s">
        <v>150</v>
      </c>
      <c r="D97" t="s">
        <v>151</v>
      </c>
      <c r="E97" t="s">
        <v>152</v>
      </c>
      <c r="F97" t="s">
        <v>153</v>
      </c>
    </row>
    <row r="98" spans="1:169" x14ac:dyDescent="0.25">
      <c r="A98" t="s">
        <v>148</v>
      </c>
      <c r="B98">
        <f>2*0.094 + 1</f>
        <v>1.1879999999999999</v>
      </c>
      <c r="C98">
        <f>0.094+1</f>
        <v>1.0940000000000001</v>
      </c>
      <c r="D98">
        <f>B98/C98</f>
        <v>1.085923217550274</v>
      </c>
      <c r="E98">
        <f>C98/0.094</f>
        <v>11.638297872340427</v>
      </c>
      <c r="F98">
        <f>1/0.094</f>
        <v>10.638297872340425</v>
      </c>
    </row>
    <row r="99" spans="1:169" x14ac:dyDescent="0.25">
      <c r="A99">
        <f>D2/(4*PI())</f>
        <v>2.8124999999999999E-8</v>
      </c>
    </row>
    <row r="103" spans="1:169" x14ac:dyDescent="0.25">
      <c r="A103" s="10" t="s">
        <v>142</v>
      </c>
      <c r="B103" s="8">
        <f>0</f>
        <v>0</v>
      </c>
      <c r="C103" s="8">
        <f>B103+0.005*10^-3</f>
        <v>5.0000000000000004E-6</v>
      </c>
      <c r="D103" s="8">
        <f t="shared" ref="D103:BO103" si="558">C103+0.005*10^-3</f>
        <v>1.0000000000000001E-5</v>
      </c>
      <c r="E103" s="8">
        <f t="shared" si="558"/>
        <v>1.5000000000000002E-5</v>
      </c>
      <c r="F103" s="8">
        <f t="shared" si="558"/>
        <v>2.0000000000000002E-5</v>
      </c>
      <c r="G103" s="8">
        <f t="shared" si="558"/>
        <v>2.5000000000000001E-5</v>
      </c>
      <c r="H103" s="8">
        <f t="shared" si="558"/>
        <v>3.0000000000000001E-5</v>
      </c>
      <c r="I103" s="8">
        <f t="shared" si="558"/>
        <v>3.5000000000000004E-5</v>
      </c>
      <c r="J103" s="8">
        <f t="shared" si="558"/>
        <v>4.0000000000000003E-5</v>
      </c>
      <c r="K103" s="8">
        <f t="shared" si="558"/>
        <v>4.5000000000000003E-5</v>
      </c>
      <c r="L103" s="8">
        <f t="shared" si="558"/>
        <v>5.0000000000000002E-5</v>
      </c>
      <c r="M103" s="8">
        <f t="shared" si="558"/>
        <v>5.5000000000000002E-5</v>
      </c>
      <c r="N103" s="8">
        <f t="shared" si="558"/>
        <v>6.0000000000000002E-5</v>
      </c>
      <c r="O103" s="8">
        <f t="shared" si="558"/>
        <v>6.5000000000000008E-5</v>
      </c>
      <c r="P103" s="8">
        <f t="shared" si="558"/>
        <v>7.0000000000000007E-5</v>
      </c>
      <c r="Q103" s="8">
        <f t="shared" si="558"/>
        <v>7.5000000000000007E-5</v>
      </c>
      <c r="R103" s="8">
        <f t="shared" si="558"/>
        <v>8.0000000000000007E-5</v>
      </c>
      <c r="S103" s="8">
        <f t="shared" si="558"/>
        <v>8.5000000000000006E-5</v>
      </c>
      <c r="T103" s="8">
        <f t="shared" si="558"/>
        <v>9.0000000000000006E-5</v>
      </c>
      <c r="U103" s="8">
        <f t="shared" si="558"/>
        <v>9.5000000000000005E-5</v>
      </c>
      <c r="V103" s="8">
        <f t="shared" si="558"/>
        <v>1E-4</v>
      </c>
      <c r="W103" s="8">
        <f t="shared" si="558"/>
        <v>1.05E-4</v>
      </c>
      <c r="X103" s="8">
        <f t="shared" si="558"/>
        <v>1.1E-4</v>
      </c>
      <c r="Y103" s="8">
        <f t="shared" si="558"/>
        <v>1.15E-4</v>
      </c>
      <c r="Z103" s="8">
        <f t="shared" si="558"/>
        <v>1.2E-4</v>
      </c>
      <c r="AA103" s="8">
        <f t="shared" si="558"/>
        <v>1.25E-4</v>
      </c>
      <c r="AB103" s="8">
        <f t="shared" si="558"/>
        <v>1.3000000000000002E-4</v>
      </c>
      <c r="AC103" s="8">
        <f t="shared" si="558"/>
        <v>1.3500000000000003E-4</v>
      </c>
      <c r="AD103" s="8">
        <f t="shared" si="558"/>
        <v>1.4000000000000004E-4</v>
      </c>
      <c r="AE103" s="8">
        <f t="shared" si="558"/>
        <v>1.4500000000000006E-4</v>
      </c>
      <c r="AF103" s="8">
        <f t="shared" si="558"/>
        <v>1.5000000000000007E-4</v>
      </c>
      <c r="AG103" s="8">
        <f t="shared" si="558"/>
        <v>1.5500000000000008E-4</v>
      </c>
      <c r="AH103" s="8">
        <f t="shared" si="558"/>
        <v>1.6000000000000009E-4</v>
      </c>
      <c r="AI103" s="8">
        <f t="shared" si="558"/>
        <v>1.6500000000000011E-4</v>
      </c>
      <c r="AJ103" s="8">
        <f t="shared" si="558"/>
        <v>1.7000000000000012E-4</v>
      </c>
      <c r="AK103" s="8">
        <f t="shared" si="558"/>
        <v>1.7500000000000013E-4</v>
      </c>
      <c r="AL103" s="8">
        <f t="shared" si="558"/>
        <v>1.8000000000000015E-4</v>
      </c>
      <c r="AM103" s="8">
        <f t="shared" si="558"/>
        <v>1.8500000000000016E-4</v>
      </c>
      <c r="AN103" s="8">
        <f t="shared" si="558"/>
        <v>1.9000000000000017E-4</v>
      </c>
      <c r="AO103" s="8">
        <f t="shared" si="558"/>
        <v>1.9500000000000019E-4</v>
      </c>
      <c r="AP103" s="8">
        <f t="shared" si="558"/>
        <v>2.000000000000002E-4</v>
      </c>
      <c r="AQ103" s="8">
        <f t="shared" si="558"/>
        <v>2.0500000000000021E-4</v>
      </c>
      <c r="AR103" s="8">
        <f t="shared" si="558"/>
        <v>2.1000000000000023E-4</v>
      </c>
      <c r="AS103" s="8">
        <f t="shared" si="558"/>
        <v>2.1500000000000024E-4</v>
      </c>
      <c r="AT103" s="8">
        <f t="shared" si="558"/>
        <v>2.2000000000000025E-4</v>
      </c>
      <c r="AU103" s="8">
        <f t="shared" si="558"/>
        <v>2.2500000000000026E-4</v>
      </c>
      <c r="AV103" s="8">
        <f t="shared" si="558"/>
        <v>2.3000000000000028E-4</v>
      </c>
      <c r="AW103" s="8">
        <f t="shared" si="558"/>
        <v>2.3500000000000029E-4</v>
      </c>
      <c r="AX103" s="8">
        <f t="shared" si="558"/>
        <v>2.400000000000003E-4</v>
      </c>
      <c r="AY103" s="8">
        <f t="shared" si="558"/>
        <v>2.4500000000000032E-4</v>
      </c>
      <c r="AZ103" s="8">
        <f t="shared" si="558"/>
        <v>2.5000000000000033E-4</v>
      </c>
      <c r="BA103" s="8">
        <f t="shared" si="558"/>
        <v>2.5500000000000034E-4</v>
      </c>
      <c r="BB103" s="8">
        <f t="shared" si="558"/>
        <v>2.6000000000000036E-4</v>
      </c>
      <c r="BC103" s="8">
        <f t="shared" si="558"/>
        <v>2.6500000000000037E-4</v>
      </c>
      <c r="BD103" s="8">
        <f t="shared" si="558"/>
        <v>2.7000000000000038E-4</v>
      </c>
      <c r="BE103" s="8">
        <f t="shared" si="558"/>
        <v>2.750000000000004E-4</v>
      </c>
      <c r="BF103" s="8">
        <f t="shared" si="558"/>
        <v>2.8000000000000041E-4</v>
      </c>
      <c r="BG103" s="8">
        <f t="shared" si="558"/>
        <v>2.8500000000000042E-4</v>
      </c>
      <c r="BH103" s="8">
        <f t="shared" si="558"/>
        <v>2.9000000000000044E-4</v>
      </c>
      <c r="BI103" s="8">
        <f t="shared" si="558"/>
        <v>2.9500000000000045E-4</v>
      </c>
      <c r="BJ103" s="8">
        <f t="shared" si="558"/>
        <v>3.0000000000000046E-4</v>
      </c>
      <c r="BK103" s="8">
        <f t="shared" si="558"/>
        <v>3.0500000000000047E-4</v>
      </c>
      <c r="BL103" s="8">
        <f t="shared" si="558"/>
        <v>3.1000000000000049E-4</v>
      </c>
      <c r="BM103" s="8">
        <f t="shared" si="558"/>
        <v>3.150000000000005E-4</v>
      </c>
      <c r="BN103" s="8">
        <f t="shared" si="558"/>
        <v>3.2000000000000051E-4</v>
      </c>
      <c r="BO103" s="8">
        <f t="shared" si="558"/>
        <v>3.2500000000000053E-4</v>
      </c>
      <c r="BP103" s="8">
        <f t="shared" ref="BP103:EA103" si="559">BO103+0.005*10^-3</f>
        <v>3.3000000000000054E-4</v>
      </c>
      <c r="BQ103" s="8">
        <f t="shared" si="559"/>
        <v>3.3500000000000055E-4</v>
      </c>
      <c r="BR103" s="8">
        <f t="shared" si="559"/>
        <v>3.4000000000000057E-4</v>
      </c>
      <c r="BS103" s="8">
        <f t="shared" si="559"/>
        <v>3.4500000000000058E-4</v>
      </c>
      <c r="BT103" s="8">
        <f t="shared" si="559"/>
        <v>3.5000000000000059E-4</v>
      </c>
      <c r="BU103" s="8">
        <f t="shared" si="559"/>
        <v>3.5500000000000061E-4</v>
      </c>
      <c r="BV103" s="8">
        <f t="shared" si="559"/>
        <v>3.6000000000000062E-4</v>
      </c>
      <c r="BW103" s="8">
        <f t="shared" si="559"/>
        <v>3.6500000000000063E-4</v>
      </c>
      <c r="BX103" s="8">
        <f t="shared" si="559"/>
        <v>3.7000000000000065E-4</v>
      </c>
      <c r="BY103" s="8">
        <f t="shared" si="559"/>
        <v>3.7500000000000066E-4</v>
      </c>
      <c r="BZ103" s="8">
        <f t="shared" si="559"/>
        <v>3.8000000000000067E-4</v>
      </c>
      <c r="CA103" s="8">
        <f t="shared" si="559"/>
        <v>3.8500000000000068E-4</v>
      </c>
      <c r="CB103" s="8">
        <f t="shared" si="559"/>
        <v>3.900000000000007E-4</v>
      </c>
      <c r="CC103" s="8">
        <f t="shared" si="559"/>
        <v>3.9500000000000071E-4</v>
      </c>
      <c r="CD103" s="8">
        <f t="shared" si="559"/>
        <v>4.0000000000000072E-4</v>
      </c>
      <c r="CE103" s="8">
        <f t="shared" si="559"/>
        <v>4.0500000000000074E-4</v>
      </c>
      <c r="CF103" s="8">
        <f t="shared" si="559"/>
        <v>4.1000000000000075E-4</v>
      </c>
      <c r="CG103" s="8">
        <f t="shared" si="559"/>
        <v>4.1500000000000076E-4</v>
      </c>
      <c r="CH103" s="8">
        <f t="shared" si="559"/>
        <v>4.2000000000000078E-4</v>
      </c>
      <c r="CI103" s="8">
        <f t="shared" si="559"/>
        <v>4.2500000000000079E-4</v>
      </c>
      <c r="CJ103" s="8">
        <f t="shared" si="559"/>
        <v>4.300000000000008E-4</v>
      </c>
      <c r="CK103" s="8">
        <f t="shared" si="559"/>
        <v>4.3500000000000082E-4</v>
      </c>
      <c r="CL103" s="8">
        <f t="shared" si="559"/>
        <v>4.4000000000000083E-4</v>
      </c>
      <c r="CM103" s="8">
        <f t="shared" si="559"/>
        <v>4.4500000000000084E-4</v>
      </c>
      <c r="CN103" s="8">
        <f t="shared" si="559"/>
        <v>4.5000000000000086E-4</v>
      </c>
      <c r="CO103" s="8">
        <f t="shared" si="559"/>
        <v>4.5500000000000087E-4</v>
      </c>
      <c r="CP103" s="8">
        <f t="shared" si="559"/>
        <v>4.6000000000000088E-4</v>
      </c>
      <c r="CQ103" s="8">
        <f t="shared" si="559"/>
        <v>4.6500000000000089E-4</v>
      </c>
      <c r="CR103" s="8">
        <f t="shared" si="559"/>
        <v>4.7000000000000091E-4</v>
      </c>
      <c r="CS103" s="8">
        <f t="shared" si="559"/>
        <v>4.7500000000000092E-4</v>
      </c>
      <c r="CT103" s="8">
        <f t="shared" si="559"/>
        <v>4.8000000000000093E-4</v>
      </c>
      <c r="CU103" s="8">
        <f t="shared" si="559"/>
        <v>4.8500000000000095E-4</v>
      </c>
      <c r="CV103" s="8">
        <f t="shared" si="559"/>
        <v>4.9000000000000096E-4</v>
      </c>
      <c r="CW103" s="8">
        <f t="shared" si="559"/>
        <v>4.9500000000000097E-4</v>
      </c>
      <c r="CX103" s="8">
        <f t="shared" si="559"/>
        <v>5.0000000000000099E-4</v>
      </c>
      <c r="CY103" s="8">
        <f t="shared" si="559"/>
        <v>5.05000000000001E-4</v>
      </c>
      <c r="CZ103" s="8">
        <f t="shared" si="559"/>
        <v>5.1000000000000101E-4</v>
      </c>
      <c r="DA103" s="8">
        <f t="shared" si="559"/>
        <v>5.1500000000000103E-4</v>
      </c>
      <c r="DB103" s="8">
        <f t="shared" si="559"/>
        <v>5.2000000000000104E-4</v>
      </c>
      <c r="DC103" s="8">
        <f t="shared" si="559"/>
        <v>5.2500000000000105E-4</v>
      </c>
      <c r="DD103" s="8">
        <f t="shared" si="559"/>
        <v>5.3000000000000106E-4</v>
      </c>
      <c r="DE103" s="8">
        <f t="shared" si="559"/>
        <v>5.3500000000000108E-4</v>
      </c>
      <c r="DF103" s="8">
        <f t="shared" si="559"/>
        <v>5.4000000000000109E-4</v>
      </c>
      <c r="DG103" s="8">
        <f t="shared" si="559"/>
        <v>5.450000000000011E-4</v>
      </c>
      <c r="DH103" s="8">
        <f t="shared" si="559"/>
        <v>5.5000000000000112E-4</v>
      </c>
      <c r="DI103" s="8">
        <f t="shared" si="559"/>
        <v>5.5500000000000113E-4</v>
      </c>
      <c r="DJ103" s="8">
        <f t="shared" si="559"/>
        <v>5.6000000000000114E-4</v>
      </c>
      <c r="DK103" s="8">
        <f t="shared" si="559"/>
        <v>5.6500000000000116E-4</v>
      </c>
      <c r="DL103" s="8">
        <f t="shared" si="559"/>
        <v>5.7000000000000117E-4</v>
      </c>
      <c r="DM103" s="8">
        <f t="shared" si="559"/>
        <v>5.7500000000000118E-4</v>
      </c>
      <c r="DN103" s="8">
        <f t="shared" si="559"/>
        <v>5.800000000000012E-4</v>
      </c>
      <c r="DO103" s="8">
        <f t="shared" si="559"/>
        <v>5.8500000000000121E-4</v>
      </c>
      <c r="DP103" s="8">
        <f t="shared" si="559"/>
        <v>5.9000000000000122E-4</v>
      </c>
      <c r="DQ103" s="8">
        <f t="shared" si="559"/>
        <v>5.9500000000000124E-4</v>
      </c>
      <c r="DR103" s="8">
        <f t="shared" si="559"/>
        <v>6.0000000000000125E-4</v>
      </c>
      <c r="DS103" s="8">
        <f t="shared" si="559"/>
        <v>6.0500000000000126E-4</v>
      </c>
      <c r="DT103" s="8">
        <f t="shared" si="559"/>
        <v>6.1000000000000127E-4</v>
      </c>
      <c r="DU103" s="8">
        <f t="shared" si="559"/>
        <v>6.1500000000000129E-4</v>
      </c>
      <c r="DV103" s="8">
        <f t="shared" si="559"/>
        <v>6.200000000000013E-4</v>
      </c>
      <c r="DW103" s="8">
        <f t="shared" si="559"/>
        <v>6.2500000000000131E-4</v>
      </c>
      <c r="DX103" s="8">
        <f t="shared" si="559"/>
        <v>6.3000000000000133E-4</v>
      </c>
      <c r="DY103" s="8">
        <f t="shared" si="559"/>
        <v>6.3500000000000134E-4</v>
      </c>
      <c r="DZ103" s="8">
        <f t="shared" si="559"/>
        <v>6.4000000000000135E-4</v>
      </c>
      <c r="EA103" s="8">
        <f t="shared" si="559"/>
        <v>6.4500000000000137E-4</v>
      </c>
      <c r="EB103" s="8">
        <f t="shared" ref="EB103:FE103" si="560">EA103+0.005*10^-3</f>
        <v>6.5000000000000138E-4</v>
      </c>
      <c r="EC103" s="8">
        <f t="shared" si="560"/>
        <v>6.5500000000000139E-4</v>
      </c>
      <c r="ED103" s="8">
        <f t="shared" si="560"/>
        <v>6.6000000000000141E-4</v>
      </c>
      <c r="EE103" s="8">
        <f t="shared" si="560"/>
        <v>6.6500000000000142E-4</v>
      </c>
      <c r="EF103" s="8">
        <f t="shared" si="560"/>
        <v>6.7000000000000143E-4</v>
      </c>
      <c r="EG103" s="8">
        <f t="shared" si="560"/>
        <v>6.7500000000000145E-4</v>
      </c>
      <c r="EH103" s="8">
        <f t="shared" si="560"/>
        <v>6.8000000000000146E-4</v>
      </c>
      <c r="EI103" s="8">
        <f t="shared" si="560"/>
        <v>6.8500000000000147E-4</v>
      </c>
      <c r="EJ103" s="8">
        <f t="shared" si="560"/>
        <v>6.9000000000000148E-4</v>
      </c>
      <c r="EK103" s="8">
        <f t="shared" si="560"/>
        <v>6.950000000000015E-4</v>
      </c>
      <c r="EL103" s="8">
        <f t="shared" si="560"/>
        <v>7.0000000000000151E-4</v>
      </c>
      <c r="EM103" s="8">
        <f t="shared" si="560"/>
        <v>7.0500000000000152E-4</v>
      </c>
      <c r="EN103" s="8">
        <f t="shared" si="560"/>
        <v>7.1000000000000154E-4</v>
      </c>
      <c r="EO103" s="8">
        <f t="shared" si="560"/>
        <v>7.1500000000000155E-4</v>
      </c>
      <c r="EP103" s="8">
        <f t="shared" si="560"/>
        <v>7.2000000000000156E-4</v>
      </c>
      <c r="EQ103" s="8">
        <f t="shared" si="560"/>
        <v>7.2500000000000158E-4</v>
      </c>
      <c r="ER103" s="8">
        <f t="shared" si="560"/>
        <v>7.3000000000000159E-4</v>
      </c>
      <c r="ES103" s="8">
        <f t="shared" si="560"/>
        <v>7.350000000000016E-4</v>
      </c>
      <c r="ET103" s="8">
        <f t="shared" si="560"/>
        <v>7.4000000000000162E-4</v>
      </c>
      <c r="EU103" s="8">
        <f t="shared" si="560"/>
        <v>7.4500000000000163E-4</v>
      </c>
      <c r="EV103" s="8">
        <f t="shared" si="560"/>
        <v>7.5000000000000164E-4</v>
      </c>
      <c r="EW103" s="8">
        <f t="shared" si="560"/>
        <v>7.5500000000000166E-4</v>
      </c>
      <c r="EX103" s="8">
        <f t="shared" si="560"/>
        <v>7.6000000000000167E-4</v>
      </c>
      <c r="EY103" s="8">
        <f t="shared" si="560"/>
        <v>7.6500000000000168E-4</v>
      </c>
      <c r="EZ103" s="8">
        <f t="shared" si="560"/>
        <v>7.7000000000000169E-4</v>
      </c>
      <c r="FA103" s="8">
        <f t="shared" si="560"/>
        <v>7.7500000000000171E-4</v>
      </c>
      <c r="FB103" s="8">
        <f t="shared" si="560"/>
        <v>7.8000000000000172E-4</v>
      </c>
      <c r="FC103" s="8">
        <f t="shared" si="560"/>
        <v>7.8500000000000173E-4</v>
      </c>
      <c r="FD103" s="8">
        <f t="shared" si="560"/>
        <v>7.9000000000000175E-4</v>
      </c>
      <c r="FE103" s="8">
        <f t="shared" si="560"/>
        <v>7.9500000000000176E-4</v>
      </c>
    </row>
    <row r="106" spans="1:169" x14ac:dyDescent="0.25">
      <c r="G106" s="10" t="s">
        <v>154</v>
      </c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</row>
    <row r="107" spans="1:169" x14ac:dyDescent="0.25">
      <c r="G107" s="10" t="s">
        <v>141</v>
      </c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</row>
    <row r="108" spans="1:169" x14ac:dyDescent="0.25">
      <c r="G108" s="10" t="s">
        <v>140</v>
      </c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 t="s">
        <v>181</v>
      </c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 t="s">
        <v>164</v>
      </c>
      <c r="BT108" s="8" t="s">
        <v>160</v>
      </c>
      <c r="BU108" s="8" t="s">
        <v>165</v>
      </c>
      <c r="BV108" s="8" t="s">
        <v>163</v>
      </c>
      <c r="BW108" s="8" t="s">
        <v>72</v>
      </c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</row>
    <row r="109" spans="1:169" x14ac:dyDescent="0.25">
      <c r="G109" s="8">
        <f>ABS(SQRT(2)*($A$99*2*$D$98/($F$2*$G2^2))*(1-(B$103*2/($F$2))^$E$98))</f>
        <v>1.9996449765044617</v>
      </c>
      <c r="H109" s="8">
        <f t="shared" ref="H109:AJ109" si="561">ABS(SQRT(2)*($A$99*2*$D$98/($F$2*$G2^2))*(1-(C$103*2/($F$2))^$E$98))</f>
        <v>1.9996449765044617</v>
      </c>
      <c r="I109" s="8">
        <f t="shared" si="561"/>
        <v>1.9996449765044206</v>
      </c>
      <c r="J109" s="8">
        <f t="shared" si="561"/>
        <v>1.9996449764998629</v>
      </c>
      <c r="K109" s="8">
        <f t="shared" si="561"/>
        <v>1.9996449763736253</v>
      </c>
      <c r="L109" s="8">
        <f t="shared" si="561"/>
        <v>1.999644974748169</v>
      </c>
      <c r="M109" s="8">
        <f t="shared" si="561"/>
        <v>1.9996449618445356</v>
      </c>
      <c r="N109" s="8">
        <f t="shared" si="561"/>
        <v>1.9996448883430651</v>
      </c>
      <c r="O109" s="8">
        <f t="shared" si="561"/>
        <v>1.9996445594372825</v>
      </c>
      <c r="P109" s="8">
        <f t="shared" si="561"/>
        <v>1.9996433338950468</v>
      </c>
      <c r="Q109" s="8">
        <f t="shared" si="561"/>
        <v>1.9996393779795789</v>
      </c>
      <c r="R109" s="8">
        <f t="shared" si="561"/>
        <v>1.999628001339147</v>
      </c>
      <c r="S109" s="8">
        <f t="shared" si="561"/>
        <v>1.9995982451315568</v>
      </c>
      <c r="T109" s="8">
        <f t="shared" si="561"/>
        <v>1.999526350394923</v>
      </c>
      <c r="U109" s="8">
        <f t="shared" si="561"/>
        <v>1.9993639448633385</v>
      </c>
      <c r="V109" s="8">
        <f t="shared" si="561"/>
        <v>1.9990176752754625</v>
      </c>
      <c r="W109" s="8">
        <f t="shared" si="561"/>
        <v>1.9983154935527354</v>
      </c>
      <c r="X109" s="8">
        <f t="shared" si="561"/>
        <v>1.9969527797016711</v>
      </c>
      <c r="Y109" s="8">
        <f>ABS(SQRT(2)*($A$99*2*$D$98/($F$2*$G2^2))*(1-(T$103*2/($F$2))^$E$98))</f>
        <v>1.9944088387237133</v>
      </c>
      <c r="Z109" s="8">
        <f t="shared" si="561"/>
        <v>1.9898209154314801</v>
      </c>
      <c r="AA109" s="8">
        <f t="shared" si="561"/>
        <v>1.9817985868585721</v>
      </c>
      <c r="AB109" s="8">
        <f t="shared" si="561"/>
        <v>1.9681560579858499</v>
      </c>
      <c r="AC109" s="8">
        <f>ABS(SQRT(2)*($A$99*2*$D$98/($F$2*$G2^2))*(1-(X$103*2/($F$2))^$E$98))</f>
        <v>1.945533327303488</v>
      </c>
      <c r="AD109" s="8">
        <f t="shared" si="561"/>
        <v>1.9088692116027417</v>
      </c>
      <c r="AE109" s="8">
        <f t="shared" si="561"/>
        <v>1.8506796138446828</v>
      </c>
      <c r="AF109" s="8">
        <f t="shared" si="561"/>
        <v>1.7600829550589236</v>
      </c>
      <c r="AG109" s="8">
        <f t="shared" si="561"/>
        <v>1.6215011230324856</v>
      </c>
      <c r="AH109" s="8">
        <f t="shared" si="561"/>
        <v>1.4129483494939321</v>
      </c>
      <c r="AI109" s="8">
        <f t="shared" si="561"/>
        <v>1.1038018258265814</v>
      </c>
      <c r="AJ109" s="8">
        <f t="shared" si="561"/>
        <v>0.65192629654410283</v>
      </c>
      <c r="AK109" s="8">
        <f>ABS(SQRT(2)*($A$99*2*$D$98/($F$2*$G2^2))*(1-(AF$103*2/($F$2))^$E$98))</f>
        <v>1.0212238712359905E-14</v>
      </c>
      <c r="AL109" s="8"/>
      <c r="AM109" s="8">
        <f>G114/G109</f>
        <v>9.8754232164010608E-2</v>
      </c>
      <c r="AN109" s="8">
        <f t="shared" ref="AN109:BQ109" si="562">H114/H109</f>
        <v>9.8754232163883418E-2</v>
      </c>
      <c r="AO109" s="8">
        <f t="shared" si="562"/>
        <v>9.8754231961311903E-2</v>
      </c>
      <c r="AP109" s="8">
        <f t="shared" si="562"/>
        <v>9.8754217022818447E-2</v>
      </c>
      <c r="AQ109" s="8">
        <f t="shared" si="562"/>
        <v>9.8753909096418277E-2</v>
      </c>
      <c r="AR109" s="8">
        <f t="shared" si="562"/>
        <v>9.8750762808467021E-2</v>
      </c>
      <c r="AS109" s="8">
        <f t="shared" si="562"/>
        <v>9.8730099774761659E-2</v>
      </c>
      <c r="AT109" s="8">
        <f t="shared" si="562"/>
        <v>9.8629838558509389E-2</v>
      </c>
      <c r="AU109" s="8">
        <f t="shared" si="562"/>
        <v>9.8239321884675504E-2</v>
      </c>
      <c r="AV109" s="8">
        <f t="shared" si="562"/>
        <v>9.6951607008967045E-2</v>
      </c>
      <c r="AW109" s="8">
        <f t="shared" si="562"/>
        <v>9.3224731312450793E-2</v>
      </c>
      <c r="AX109" s="8">
        <f t="shared" si="562"/>
        <v>8.3512513430929913E-2</v>
      </c>
      <c r="AY109" s="8">
        <f t="shared" si="562"/>
        <v>6.0291139513643663E-2</v>
      </c>
      <c r="AZ109" s="8">
        <f t="shared" si="562"/>
        <v>8.6246649537250527E-3</v>
      </c>
      <c r="BA109" s="8">
        <f t="shared" si="562"/>
        <v>9.9531122462575741E-2</v>
      </c>
      <c r="BB109" s="8">
        <f t="shared" si="562"/>
        <v>0.31440873164345357</v>
      </c>
      <c r="BC109" s="8">
        <f t="shared" si="562"/>
        <v>0.72244720681660968</v>
      </c>
      <c r="BD109" s="8">
        <f t="shared" si="562"/>
        <v>1.4674157031777433</v>
      </c>
      <c r="BE109" s="8">
        <f t="shared" si="562"/>
        <v>2.7817664282545222</v>
      </c>
      <c r="BF109" s="8">
        <f t="shared" si="562"/>
        <v>5.0330243935761008</v>
      </c>
      <c r="BG109" s="8">
        <f t="shared" si="562"/>
        <v>8.7933212663979674</v>
      </c>
      <c r="BH109" s="8">
        <f t="shared" si="562"/>
        <v>14.947175458738476</v>
      </c>
      <c r="BI109" s="8">
        <f t="shared" si="562"/>
        <v>24.868302732274739</v>
      </c>
      <c r="BJ109" s="8">
        <f t="shared" si="562"/>
        <v>40.733341731641922</v>
      </c>
      <c r="BK109" s="8">
        <f t="shared" si="562"/>
        <v>66.134548132642578</v>
      </c>
      <c r="BL109" s="8">
        <f t="shared" si="562"/>
        <v>107.41802477004052</v>
      </c>
      <c r="BM109" s="8">
        <f t="shared" si="562"/>
        <v>177.03270243060834</v>
      </c>
      <c r="BN109" s="8">
        <f t="shared" si="562"/>
        <v>303.60532090277468</v>
      </c>
      <c r="BO109" s="8">
        <f t="shared" si="562"/>
        <v>572.31194779110979</v>
      </c>
      <c r="BP109" s="8">
        <f t="shared" si="562"/>
        <v>1407.651082479769</v>
      </c>
      <c r="BQ109" s="8">
        <f t="shared" si="562"/>
        <v>1.2889356833235696E+17</v>
      </c>
      <c r="BR109" s="8"/>
      <c r="BS109" s="8">
        <f>0.00011</f>
        <v>1.1E-4</v>
      </c>
      <c r="BT109" s="8">
        <f>2*BS109</f>
        <v>2.2000000000000001E-4</v>
      </c>
      <c r="BU109" s="8">
        <f>BT109/(1.6*10^-3)</f>
        <v>0.13750000000000001</v>
      </c>
      <c r="BV109" s="8">
        <f>AR14</f>
        <v>0.32</v>
      </c>
      <c r="BW109" s="8">
        <f>BV109-BU109</f>
        <v>0.1825</v>
      </c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</row>
    <row r="110" spans="1:169" x14ac:dyDescent="0.25">
      <c r="G110" s="8">
        <f t="shared" ref="G110:G111" si="563">ABS(SQRT(2)*($A$99*2*$D$98/($F$2*$G3^2))*(1-(B$103*2/($F$2))^$E$98))</f>
        <v>0.39499160029717761</v>
      </c>
      <c r="H110" s="8">
        <f t="shared" ref="H110:H111" si="564">ABS(SQRT(2)*($A$99*2*$D$98/($F$2*$G3^2))*(1-(C$103*2/($F$2))^$E$98))</f>
        <v>0.39499160029717761</v>
      </c>
      <c r="I110" s="8">
        <f t="shared" ref="I110:I111" si="565">ABS(SQRT(2)*($A$99*2*$D$98/($F$2*$G3^2))*(1-(D$103*2/($F$2))^$E$98))</f>
        <v>0.39499160029716951</v>
      </c>
      <c r="J110" s="8">
        <f t="shared" ref="J110:J111" si="566">ABS(SQRT(2)*($A$99*2*$D$98/($F$2*$G3^2))*(1-(E$103*2/($F$2))^$E$98))</f>
        <v>0.39499160029626917</v>
      </c>
      <c r="K110" s="8">
        <f t="shared" ref="K110:K111" si="567">ABS(SQRT(2)*($A$99*2*$D$98/($F$2*$G3^2))*(1-(F$103*2/($F$2))^$E$98))</f>
        <v>0.39499160027133334</v>
      </c>
      <c r="L110" s="8">
        <f t="shared" ref="L110:L111" si="568">ABS(SQRT(2)*($A$99*2*$D$98/($F$2*$G3^2))*(1-(G$103*2/($F$2))^$E$98))</f>
        <v>0.39499159995025562</v>
      </c>
      <c r="M110" s="8">
        <f t="shared" ref="M110:M111" si="569">ABS(SQRT(2)*($A$99*2*$D$98/($F$2*$G3^2))*(1-(H$103*2/($F$2))^$E$98))</f>
        <v>0.39499159740138973</v>
      </c>
      <c r="N110" s="8">
        <f t="shared" ref="N110:N111" si="570">ABS(SQRT(2)*($A$99*2*$D$98/($F$2*$G3^2))*(1-(I$103*2/($F$2))^$E$98))</f>
        <v>0.39499158288258079</v>
      </c>
      <c r="O110" s="8">
        <f t="shared" ref="O110:O111" si="571">ABS(SQRT(2)*($A$99*2*$D$98/($F$2*$G3^2))*(1-(J$103*2/($F$2))^$E$98))</f>
        <v>0.39499151791353726</v>
      </c>
      <c r="P110" s="8">
        <f t="shared" ref="P110:P111" si="572">ABS(SQRT(2)*($A$99*2*$D$98/($F$2*$G3^2))*(1-(K$103*2/($F$2))^$E$98))</f>
        <v>0.39499127583112031</v>
      </c>
      <c r="Q110" s="8">
        <f t="shared" ref="Q110:Q111" si="573">ABS(SQRT(2)*($A$99*2*$D$98/($F$2*$G3^2))*(1-(L$103*2/($F$2))^$E$98))</f>
        <v>0.39499049441571926</v>
      </c>
      <c r="R110" s="8">
        <f t="shared" ref="R110:R111" si="574">ABS(SQRT(2)*($A$99*2*$D$98/($F$2*$G3^2))*(1-(M$103*2/($F$2))^$E$98))</f>
        <v>0.3949882471781031</v>
      </c>
      <c r="S110" s="8">
        <f t="shared" ref="S110:S111" si="575">ABS(SQRT(2)*($A$99*2*$D$98/($F$2*$G3^2))*(1-(N$103*2/($F$2))^$E$98))</f>
        <v>0.39498236940870257</v>
      </c>
      <c r="T110" s="8">
        <f t="shared" ref="T110:T111" si="576">ABS(SQRT(2)*($A$99*2*$D$98/($F$2*$G3^2))*(1-(O$103*2/($F$2))^$E$98))</f>
        <v>0.394968167979244</v>
      </c>
      <c r="U110" s="8">
        <f t="shared" ref="U110:U111" si="577">ABS(SQRT(2)*($A$99*2*$D$98/($F$2*$G3^2))*(1-(P$103*2/($F$2))^$E$98))</f>
        <v>0.39493608787423967</v>
      </c>
      <c r="V110" s="8">
        <f t="shared" ref="V110:V111" si="578">ABS(SQRT(2)*($A$99*2*$D$98/($F$2*$G3^2))*(1-(Q$103*2/($F$2))^$E$98))</f>
        <v>0.39486768894330121</v>
      </c>
      <c r="W110" s="8">
        <f t="shared" ref="W110:W111" si="579">ABS(SQRT(2)*($A$99*2*$D$98/($F$2*$G3^2))*(1-(R$103*2/($F$2))^$E$98))</f>
        <v>0.39472898638078724</v>
      </c>
      <c r="X110" s="8">
        <f t="shared" ref="X110:X111" si="580">ABS(SQRT(2)*($A$99*2*$D$98/($F$2*$G3^2))*(1-(S$103*2/($F$2))^$E$98))</f>
        <v>0.39445980833613253</v>
      </c>
      <c r="Y110" s="8">
        <f t="shared" ref="Y110:Y111" si="581">ABS(SQRT(2)*($A$99*2*$D$98/($F$2*$G3^2))*(1-(T$103*2/($F$2))^$E$98))</f>
        <v>0.39395730147628905</v>
      </c>
      <c r="Z110" s="8">
        <f t="shared" ref="Z110:Z111" si="582">ABS(SQRT(2)*($A$99*2*$D$98/($F$2*$G3^2))*(1-(U$103*2/($F$2))^$E$98))</f>
        <v>0.39305104502350224</v>
      </c>
      <c r="AA110" s="8">
        <f t="shared" ref="AA110:AA111" si="583">ABS(SQRT(2)*($A$99*2*$D$98/($F$2*$G3^2))*(1-(V$103*2/($F$2))^$E$98))</f>
        <v>0.3914663875276192</v>
      </c>
      <c r="AB110" s="8">
        <f>ABS(SQRT(2)*($A$99*2*$D$98/($F$2*$G3^2))*(1-(W$103*2/($F$2))^$E$98))</f>
        <v>0.38877156700955057</v>
      </c>
      <c r="AC110" s="8">
        <f t="shared" ref="AC110:AC111" si="584">ABS(SQRT(2)*($A$99*2*$D$98/($F$2*$G3^2))*(1-(X$103*2/($F$2))^$E$98))</f>
        <v>0.3843028794673557</v>
      </c>
      <c r="AD110" s="8">
        <f t="shared" ref="AD110:AD111" si="585">ABS(SQRT(2)*($A$99*2*$D$98/($F$2*$G3^2))*(1-(Y$103*2/($F$2))^$E$98))</f>
        <v>0.37706058500794898</v>
      </c>
      <c r="AE110" s="8">
        <f t="shared" ref="AE110:AE111" si="586">ABS(SQRT(2)*($A$99*2*$D$98/($F$2*$G3^2))*(1-(Z$103*2/($F$2))^$E$98))</f>
        <v>0.36556634347549288</v>
      </c>
      <c r="AF110" s="8">
        <f t="shared" ref="AF110:AF111" si="587">ABS(SQRT(2)*($A$99*2*$D$98/($F$2*$G3^2))*(1-(AA$103*2/($F$2))^$E$98))</f>
        <v>0.34767070717213305</v>
      </c>
      <c r="AG110" s="8">
        <f t="shared" ref="AG110:AG111" si="588">ABS(SQRT(2)*($A$99*2*$D$98/($F$2*$G3^2))*(1-(AB$103*2/($F$2))^$E$98))</f>
        <v>0.3202965181298737</v>
      </c>
      <c r="AH110" s="8">
        <f t="shared" ref="AH110:AH111" si="589">ABS(SQRT(2)*($A$99*2*$D$98/($F$2*$G3^2))*(1-(AC$103*2/($F$2))^$E$98))</f>
        <v>0.27910090854201125</v>
      </c>
      <c r="AI110" s="8">
        <f t="shared" ref="AI110:AI111" si="590">ABS(SQRT(2)*($A$99*2*$D$98/($F$2*$G3^2))*(1-(AD$103*2/($F$2))^$E$98))</f>
        <v>0.21803492855833706</v>
      </c>
      <c r="AJ110" s="8">
        <f t="shared" ref="AJ110:AJ111" si="591">ABS(SQRT(2)*($A$99*2*$D$98/($F$2*$G3^2))*(1-(AE$103*2/($F$2))^$E$98))</f>
        <v>0.1287755647494524</v>
      </c>
      <c r="AK110" s="8">
        <f t="shared" ref="AK110:AK111" si="592">ABS(SQRT(2)*($A$99*2*$D$98/($F$2*$G3^2))*(1-(AF$103*2/($F$2))^$E$98))</f>
        <v>2.0172323382439315E-15</v>
      </c>
      <c r="AL110" s="8"/>
      <c r="AM110" s="8">
        <f t="shared" ref="AM110:AM111" si="593">G115/G110</f>
        <v>0.22219702236902389</v>
      </c>
      <c r="AN110" s="8">
        <f t="shared" ref="AN110:AN111" si="594">H115/H110</f>
        <v>0.2221970223687377</v>
      </c>
      <c r="AO110" s="8">
        <f t="shared" ref="AO110:AO111" si="595">I115/I110</f>
        <v>0.22219702191295179</v>
      </c>
      <c r="AP110" s="8">
        <f t="shared" ref="AP110:AP111" si="596">J115/J110</f>
        <v>0.22219698830134155</v>
      </c>
      <c r="AQ110" s="8">
        <f t="shared" ref="AQ110:AQ111" si="597">K115/K110</f>
        <v>0.22219629546694114</v>
      </c>
      <c r="AR110" s="8">
        <f t="shared" ref="AR110:AR111" si="598">L115/L110</f>
        <v>0.22218921631905081</v>
      </c>
      <c r="AS110" s="8">
        <f t="shared" ref="AS110:AS111" si="599">M115/M110</f>
        <v>0.22214272449321373</v>
      </c>
      <c r="AT110" s="8">
        <f t="shared" ref="AT110:AT111" si="600">N115/N110</f>
        <v>0.22191713675664612</v>
      </c>
      <c r="AU110" s="8">
        <f t="shared" ref="AU110:AU111" si="601">O115/O110</f>
        <v>0.22103847424051992</v>
      </c>
      <c r="AV110" s="8">
        <f t="shared" ref="AV110:AV111" si="602">P115/P110</f>
        <v>0.21814111577017586</v>
      </c>
      <c r="AW110" s="8">
        <f t="shared" ref="AW110:AW111" si="603">Q115/Q110</f>
        <v>0.20975564545301431</v>
      </c>
      <c r="AX110" s="8">
        <f t="shared" ref="AX110:AX111" si="604">R115/R110</f>
        <v>0.18790315521959236</v>
      </c>
      <c r="AY110" s="8">
        <f t="shared" ref="AY110:AY111" si="605">S115/S110</f>
        <v>0.13565506390569826</v>
      </c>
      <c r="AZ110" s="8">
        <f t="shared" ref="AZ110:AZ111" si="606">T115/T110</f>
        <v>1.9405496145881371E-2</v>
      </c>
      <c r="BA110" s="8">
        <f t="shared" ref="BA110:BA111" si="607">U115/U110</f>
        <v>0.22394502554079543</v>
      </c>
      <c r="BB110" s="8">
        <f t="shared" ref="BB110:BB111" si="608">V115/V110</f>
        <v>0.70741964619777065</v>
      </c>
      <c r="BC110" s="8">
        <f t="shared" ref="BC110:BC111" si="609">W115/W110</f>
        <v>1.6255062153373718</v>
      </c>
      <c r="BD110" s="8">
        <f t="shared" ref="BD110:BD111" si="610">X115/X110</f>
        <v>3.3016853321499227</v>
      </c>
      <c r="BE110" s="8">
        <f t="shared" ref="BE110:BE111" si="611">Y115/Y110</f>
        <v>6.2589744635726765</v>
      </c>
      <c r="BF110" s="8">
        <f t="shared" ref="BF110:BF111" si="612">Z115/Z110</f>
        <v>11.324304885546226</v>
      </c>
      <c r="BG110" s="8">
        <f t="shared" ref="BG110:BG111" si="613">AA115/AA110</f>
        <v>19.784972849395427</v>
      </c>
      <c r="BH110" s="8">
        <f t="shared" ref="BH110:BH111" si="614">AB115/AB110</f>
        <v>33.631144782161577</v>
      </c>
      <c r="BI110" s="8">
        <f t="shared" ref="BI110:BI111" si="615">AC115/AC110</f>
        <v>55.953681147618163</v>
      </c>
      <c r="BJ110" s="8">
        <f t="shared" ref="BJ110:BJ111" si="616">AD115/AD110</f>
        <v>91.650018896194325</v>
      </c>
      <c r="BK110" s="8">
        <f t="shared" ref="BK110:BK111" si="617">AE115/AE110</f>
        <v>148.80273329844582</v>
      </c>
      <c r="BL110" s="8">
        <f t="shared" ref="BL110:BL111" si="618">AF115/AF110</f>
        <v>241.69055573259121</v>
      </c>
      <c r="BM110" s="8">
        <f t="shared" ref="BM110:BM111" si="619">AG115/AG110</f>
        <v>398.32358046886878</v>
      </c>
      <c r="BN110" s="8">
        <f t="shared" ref="BN110:BN111" si="620">AH115/AH110</f>
        <v>683.11197203124311</v>
      </c>
      <c r="BO110" s="8">
        <f t="shared" ref="BO110:BO111" si="621">AI115/AI110</f>
        <v>1287.701882529997</v>
      </c>
      <c r="BP110" s="8">
        <f t="shared" ref="BP110:BP111" si="622">AJ115/AJ110</f>
        <v>3167.2149355794809</v>
      </c>
      <c r="BQ110" s="8">
        <f t="shared" ref="BQ110:BQ111" si="623">AK115/AK110</f>
        <v>2.9001052874780326E+17</v>
      </c>
      <c r="BR110" s="8"/>
      <c r="BS110" s="8">
        <v>1E-4</v>
      </c>
      <c r="BT110" s="8">
        <f t="shared" ref="BT110:BT111" si="624">2*BS110</f>
        <v>2.0000000000000001E-4</v>
      </c>
      <c r="BU110" s="8">
        <f t="shared" ref="BU110:BU111" si="625">BT110/(1.6*10^-3)</f>
        <v>0.125</v>
      </c>
      <c r="BV110" s="8">
        <f t="shared" ref="BV110:BV111" si="626">AR15</f>
        <v>0.1</v>
      </c>
      <c r="BW110" s="8">
        <f t="shared" ref="BW110:BW111" si="627">BV110-BU110</f>
        <v>-2.4999999999999994E-2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</row>
    <row r="111" spans="1:169" x14ac:dyDescent="0.25">
      <c r="G111" s="8">
        <f t="shared" si="563"/>
        <v>0.16323632461260909</v>
      </c>
      <c r="H111" s="8">
        <f t="shared" si="564"/>
        <v>0.16323632461260909</v>
      </c>
      <c r="I111" s="8">
        <f t="shared" si="565"/>
        <v>0.16323632461260573</v>
      </c>
      <c r="J111" s="8">
        <f t="shared" si="566"/>
        <v>0.16323632461223367</v>
      </c>
      <c r="K111" s="8">
        <f t="shared" si="567"/>
        <v>0.16323632460192855</v>
      </c>
      <c r="L111" s="8">
        <f t="shared" si="568"/>
        <v>0.16323632446923828</v>
      </c>
      <c r="M111" s="8">
        <f t="shared" si="569"/>
        <v>0.16323632341588043</v>
      </c>
      <c r="N111" s="8">
        <f t="shared" si="570"/>
        <v>0.16323631741576039</v>
      </c>
      <c r="O111" s="8">
        <f t="shared" si="571"/>
        <v>0.16323629056630876</v>
      </c>
      <c r="P111" s="8">
        <f t="shared" si="572"/>
        <v>0.16323619052204461</v>
      </c>
      <c r="Q111" s="8">
        <f t="shared" si="573"/>
        <v>0.16323586759016967</v>
      </c>
      <c r="R111" s="8">
        <f t="shared" si="574"/>
        <v>0.16323493888482829</v>
      </c>
      <c r="S111" s="8">
        <f t="shared" si="575"/>
        <v>0.16323250980665766</v>
      </c>
      <c r="T111" s="8">
        <f t="shared" si="576"/>
        <v>0.16322664084856511</v>
      </c>
      <c r="U111" s="8">
        <f t="shared" si="577"/>
        <v>0.16321338325415005</v>
      </c>
      <c r="V111" s="8">
        <f t="shared" si="578"/>
        <v>0.16318511634901731</v>
      </c>
      <c r="W111" s="8">
        <f t="shared" si="579"/>
        <v>0.16312779539206002</v>
      </c>
      <c r="X111" s="8">
        <f t="shared" si="580"/>
        <v>0.16301655344503435</v>
      </c>
      <c r="Y111" s="8">
        <f t="shared" si="581"/>
        <v>0.16280888479377248</v>
      </c>
      <c r="Z111" s="8">
        <f t="shared" si="582"/>
        <v>0.16243436044338611</v>
      </c>
      <c r="AA111" s="8">
        <f t="shared" si="583"/>
        <v>0.16177947647825075</v>
      </c>
      <c r="AB111" s="8">
        <f t="shared" ref="AB111" si="628">ABS(SQRT(2)*($A$99*2*$D$98/($F$2*$G4^2))*(1-(W$103*2/($F$2))^$E$98))</f>
        <v>0.16066580065190608</v>
      </c>
      <c r="AC111" s="8">
        <f t="shared" si="584"/>
        <v>0.15881904712681533</v>
      </c>
      <c r="AD111" s="8">
        <f t="shared" si="585"/>
        <v>0.1558260580900197</v>
      </c>
      <c r="AE111" s="8">
        <f t="shared" si="586"/>
        <v>0.15107588684446388</v>
      </c>
      <c r="AF111" s="8">
        <f t="shared" si="587"/>
        <v>0.14368024122929987</v>
      </c>
      <c r="AG111" s="8">
        <f t="shared" si="588"/>
        <v>0.13236743861489675</v>
      </c>
      <c r="AH111" s="8">
        <f t="shared" si="589"/>
        <v>0.11534272240766791</v>
      </c>
      <c r="AI111" s="8">
        <f t="shared" si="590"/>
        <v>9.0106271496047441E-2</v>
      </c>
      <c r="AJ111" s="8">
        <f t="shared" si="591"/>
        <v>5.3218473187273692E-2</v>
      </c>
      <c r="AK111" s="8">
        <f t="shared" si="592"/>
        <v>8.3365213978448188E-16</v>
      </c>
      <c r="AL111" s="8"/>
      <c r="AM111" s="8">
        <f t="shared" si="593"/>
        <v>0.3456398125740372</v>
      </c>
      <c r="AN111" s="8">
        <f t="shared" si="594"/>
        <v>0.34563981257359205</v>
      </c>
      <c r="AO111" s="8">
        <f t="shared" si="595"/>
        <v>0.34563981186459175</v>
      </c>
      <c r="AP111" s="8">
        <f t="shared" si="596"/>
        <v>0.34563975957986465</v>
      </c>
      <c r="AQ111" s="8">
        <f t="shared" si="597"/>
        <v>0.34563868183746405</v>
      </c>
      <c r="AR111" s="8">
        <f t="shared" si="598"/>
        <v>0.34562766982963461</v>
      </c>
      <c r="AS111" s="8">
        <f t="shared" si="599"/>
        <v>0.34555534921166586</v>
      </c>
      <c r="AT111" s="8">
        <f t="shared" si="600"/>
        <v>0.34520443495478292</v>
      </c>
      <c r="AU111" s="8">
        <f t="shared" si="601"/>
        <v>0.3438376265963643</v>
      </c>
      <c r="AV111" s="8">
        <f t="shared" si="602"/>
        <v>0.33933062453138468</v>
      </c>
      <c r="AW111" s="8">
        <f t="shared" si="603"/>
        <v>0.32628655959357789</v>
      </c>
      <c r="AX111" s="8">
        <f t="shared" si="604"/>
        <v>0.29229379700825481</v>
      </c>
      <c r="AY111" s="8">
        <f t="shared" si="605"/>
        <v>0.21101898829775287</v>
      </c>
      <c r="AZ111" s="8">
        <f t="shared" si="606"/>
        <v>3.0186327338037687E-2</v>
      </c>
      <c r="BA111" s="8">
        <f t="shared" si="607"/>
        <v>0.34835892861901513</v>
      </c>
      <c r="BB111" s="8">
        <f t="shared" si="608"/>
        <v>1.1004305607520879</v>
      </c>
      <c r="BC111" s="8">
        <f t="shared" si="609"/>
        <v>2.5285652238581342</v>
      </c>
      <c r="BD111" s="8">
        <f t="shared" si="610"/>
        <v>5.1359549611221027</v>
      </c>
      <c r="BE111" s="8">
        <f t="shared" si="611"/>
        <v>9.7361824988908303</v>
      </c>
      <c r="BF111" s="8">
        <f t="shared" si="612"/>
        <v>17.615585377516357</v>
      </c>
      <c r="BG111" s="8">
        <f t="shared" si="613"/>
        <v>30.776624432392893</v>
      </c>
      <c r="BH111" s="8">
        <f t="shared" si="614"/>
        <v>52.315114105584676</v>
      </c>
      <c r="BI111" s="8">
        <f t="shared" si="615"/>
        <v>87.039059562961597</v>
      </c>
      <c r="BJ111" s="8">
        <f t="shared" si="616"/>
        <v>142.56669606074672</v>
      </c>
      <c r="BK111" s="8">
        <f t="shared" si="617"/>
        <v>231.47091846424905</v>
      </c>
      <c r="BL111" s="8">
        <f t="shared" si="618"/>
        <v>375.9630866951419</v>
      </c>
      <c r="BM111" s="8">
        <f t="shared" si="619"/>
        <v>619.61445850712926</v>
      </c>
      <c r="BN111" s="8">
        <f t="shared" si="620"/>
        <v>1062.6186231597117</v>
      </c>
      <c r="BO111" s="8">
        <f t="shared" si="621"/>
        <v>2003.0918172688846</v>
      </c>
      <c r="BP111" s="8">
        <f t="shared" si="622"/>
        <v>4926.7787886791921</v>
      </c>
      <c r="BQ111" s="8">
        <f t="shared" si="623"/>
        <v>4.5112748916324947E+17</v>
      </c>
      <c r="BR111" s="8"/>
      <c r="BS111" s="8">
        <v>9.5000000000000005E-5</v>
      </c>
      <c r="BT111" s="8">
        <f t="shared" si="624"/>
        <v>1.9000000000000001E-4</v>
      </c>
      <c r="BU111" s="8">
        <f t="shared" si="625"/>
        <v>0.11874999999999999</v>
      </c>
      <c r="BV111" s="8">
        <f t="shared" si="626"/>
        <v>0</v>
      </c>
      <c r="BW111" s="8">
        <f t="shared" si="627"/>
        <v>-0.11874999999999999</v>
      </c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</row>
    <row r="112" spans="1:169" x14ac:dyDescent="0.25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</row>
    <row r="113" spans="7:169" x14ac:dyDescent="0.25">
      <c r="G113" s="10" t="s">
        <v>139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</row>
    <row r="114" spans="7:169" x14ac:dyDescent="0.25">
      <c r="G114" s="8">
        <f>ABS(($A$99*2/($G2*$F$2))*$B$98*$F$98*(1-(B$103^$F$98)/(($F$2/2)^$E$98)))</f>
        <v>0.19747340425531915</v>
      </c>
      <c r="H114" s="8">
        <f t="shared" ref="H114:AK114" si="629">ABS(($A$99*2/($G2*$F$2))*$B$98*$F$98*(1-(C$103^$F$98)/(($F$2/2)^$E$98)))</f>
        <v>0.19747340425506482</v>
      </c>
      <c r="I114" s="8">
        <f t="shared" si="629"/>
        <v>0.19747340384998965</v>
      </c>
      <c r="J114" s="8">
        <f t="shared" si="629"/>
        <v>0.19747337397785616</v>
      </c>
      <c r="K114" s="8">
        <f t="shared" si="629"/>
        <v>0.19747275822191046</v>
      </c>
      <c r="L114" s="8">
        <f t="shared" si="629"/>
        <v>0.19746646660249947</v>
      </c>
      <c r="M114" s="8">
        <f t="shared" si="629"/>
        <v>0.19742514659701046</v>
      </c>
      <c r="N114" s="8">
        <f t="shared" si="629"/>
        <v>0.19722465251162505</v>
      </c>
      <c r="O114" s="8">
        <f t="shared" si="629"/>
        <v>0.19644372552949932</v>
      </c>
      <c r="P114" s="8">
        <f t="shared" si="629"/>
        <v>0.19386863466589324</v>
      </c>
      <c r="Q114" s="8">
        <f t="shared" si="629"/>
        <v>0.18641584373394249</v>
      </c>
      <c r="R114" s="8">
        <f t="shared" si="629"/>
        <v>0.16699396031869906</v>
      </c>
      <c r="S114" s="8">
        <f t="shared" si="629"/>
        <v>0.12055805676846373</v>
      </c>
      <c r="T114" s="8">
        <f t="shared" si="629"/>
        <v>1.7245244838300852E-2</v>
      </c>
      <c r="U114" s="8">
        <f t="shared" si="629"/>
        <v>0.19899893764345147</v>
      </c>
      <c r="V114" s="8">
        <f t="shared" si="629"/>
        <v>0.62850861181620332</v>
      </c>
      <c r="W114" s="8">
        <f t="shared" si="629"/>
        <v>1.4436774466555284</v>
      </c>
      <c r="X114" s="8">
        <f t="shared" si="629"/>
        <v>2.9303598674386766</v>
      </c>
      <c r="Y114" s="8">
        <f t="shared" si="629"/>
        <v>5.5479795517757138</v>
      </c>
      <c r="Z114" s="8">
        <f t="shared" si="629"/>
        <v>10.014817206214566</v>
      </c>
      <c r="AA114" s="8">
        <f t="shared" si="629"/>
        <v>17.426591659540922</v>
      </c>
      <c r="AB114" s="8">
        <f t="shared" si="629"/>
        <v>29.418373928893558</v>
      </c>
      <c r="AC114" s="8">
        <f t="shared" si="629"/>
        <v>48.382111759112895</v>
      </c>
      <c r="AD114" s="8">
        <f t="shared" si="629"/>
        <v>77.75462191722437</v>
      </c>
      <c r="AE114" s="8">
        <f t="shared" si="629"/>
        <v>122.39385999991157</v>
      </c>
      <c r="AF114" s="8">
        <f t="shared" si="629"/>
        <v>189.06463446384558</v>
      </c>
      <c r="AG114" s="8">
        <f t="shared" si="629"/>
        <v>287.05872580470725</v>
      </c>
      <c r="AH114" s="8">
        <f t="shared" si="629"/>
        <v>428.97863706715111</v>
      </c>
      <c r="AI114" s="8">
        <f t="shared" si="629"/>
        <v>631.71897291419407</v>
      </c>
      <c r="AJ114" s="8">
        <f t="shared" si="629"/>
        <v>917.68475702733326</v>
      </c>
      <c r="AK114" s="8">
        <f t="shared" si="629"/>
        <v>1316.2918882979025</v>
      </c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</row>
    <row r="115" spans="7:169" x14ac:dyDescent="0.25">
      <c r="G115" s="8">
        <f t="shared" ref="G115:G116" si="630">ABS(($A$99*2/($G3*$F$2))*$B$98*$F$98*(1-(B$103^$F$98)/(($F$2/2)^$E$98)))</f>
        <v>8.7765957446808512E-2</v>
      </c>
      <c r="H115" s="8">
        <f t="shared" ref="H115:H116" si="631">ABS(($A$99*2/($G3*$F$2))*$B$98*$F$98*(1-(C$103^$F$98)/(($F$2/2)^$E$98)))</f>
        <v>8.7765957446695478E-2</v>
      </c>
      <c r="I115" s="8">
        <f t="shared" ref="I115:I116" si="632">ABS(($A$99*2/($G3*$F$2))*$B$98*$F$98*(1-(D$103^$F$98)/(($F$2/2)^$E$98)))</f>
        <v>8.7765957266662073E-2</v>
      </c>
      <c r="J115" s="8">
        <f t="shared" ref="J115:J116" si="633">ABS(($A$99*2/($G3*$F$2))*$B$98*$F$98*(1-(E$103^$F$98)/(($F$2/2)^$E$98)))</f>
        <v>8.7765943990158302E-2</v>
      </c>
      <c r="K115" s="8">
        <f t="shared" ref="K115:K116" si="634">ABS(($A$99*2/($G3*$F$2))*$B$98*$F$98*(1-(F$103^$F$98)/(($F$2/2)^$E$98)))</f>
        <v>8.7765670320849087E-2</v>
      </c>
      <c r="L115" s="8">
        <f t="shared" ref="L115:L116" si="635">ABS(($A$99*2/($G3*$F$2))*$B$98*$F$98*(1-(G$103^$F$98)/(($F$2/2)^$E$98)))</f>
        <v>8.7762874045555328E-2</v>
      </c>
      <c r="M115" s="8">
        <f t="shared" ref="M115:M116" si="636">ABS(($A$99*2/($G3*$F$2))*$B$98*$F$98*(1-(H$103^$F$98)/(($F$2/2)^$E$98)))</f>
        <v>8.7744509598671319E-2</v>
      </c>
      <c r="N115" s="8">
        <f t="shared" ref="N115:N116" si="637">ABS(($A$99*2/($G3*$F$2))*$B$98*$F$98*(1-(I$103^$F$98)/(($F$2/2)^$E$98)))</f>
        <v>8.7655401116277801E-2</v>
      </c>
      <c r="O115" s="8">
        <f t="shared" ref="O115:O116" si="638">ABS(($A$99*2/($G3*$F$2))*$B$98*$F$98*(1-(J$103^$F$98)/(($F$2/2)^$E$98)))</f>
        <v>8.7308322457555265E-2</v>
      </c>
      <c r="P115" s="8">
        <f t="shared" ref="P115:P116" si="639">ABS(($A$99*2/($G3*$F$2))*$B$98*$F$98*(1-(K$103^$F$98)/(($F$2/2)^$E$98)))</f>
        <v>8.616383762928588E-2</v>
      </c>
      <c r="Q115" s="8">
        <f t="shared" ref="Q115:Q116" si="640">ABS(($A$99*2/($G3*$F$2))*$B$98*$F$98*(1-(L$103^$F$98)/(($F$2/2)^$E$98)))</f>
        <v>8.2851486103974442E-2</v>
      </c>
      <c r="R115" s="8">
        <f t="shared" ref="R115:R116" si="641">ABS(($A$99*2/($G3*$F$2))*$B$98*$F$98*(1-(M$103^$F$98)/(($F$2/2)^$E$98)))</f>
        <v>7.4219537919421819E-2</v>
      </c>
      <c r="S115" s="8">
        <f t="shared" ref="S115:S116" si="642">ABS(($A$99*2/($G3*$F$2))*$B$98*$F$98*(1-(N$103^$F$98)/(($F$2/2)^$E$98)))</f>
        <v>5.3581358563761665E-2</v>
      </c>
      <c r="T115" s="8">
        <f t="shared" ref="T115:T116" si="643">ABS(($A$99*2/($G3*$F$2))*$B$98*$F$98*(1-(O$103^$F$98)/(($F$2/2)^$E$98)))</f>
        <v>7.6645532614670452E-3</v>
      </c>
      <c r="U115" s="8">
        <f t="shared" ref="U115:U116" si="644">ABS(($A$99*2/($G3*$F$2))*$B$98*$F$98*(1-(P$103^$F$98)/(($F$2/2)^$E$98)))</f>
        <v>8.8443972285978431E-2</v>
      </c>
      <c r="V115" s="8">
        <f t="shared" ref="V115:V116" si="645">ABS(($A$99*2/($G3*$F$2))*$B$98*$F$98*(1-(Q$103^$F$98)/(($F$2/2)^$E$98)))</f>
        <v>0.2793371608072015</v>
      </c>
      <c r="W115" s="8">
        <f t="shared" ref="W115:W116" si="646">ABS(($A$99*2/($G3*$F$2))*$B$98*$F$98*(1-(R$103^$F$98)/(($F$2/2)^$E$98)))</f>
        <v>0.64163442073579047</v>
      </c>
      <c r="X115" s="8">
        <f t="shared" ref="X115:X116" si="647">ABS(($A$99*2/($G3*$F$2))*$B$98*$F$98*(1-(S$103^$F$98)/(($F$2/2)^$E$98)))</f>
        <v>1.3023821633060786</v>
      </c>
      <c r="Y115" s="8">
        <f t="shared" ref="Y115:Y116" si="648">ABS(($A$99*2/($G3*$F$2))*$B$98*$F$98*(1-(T$103^$F$98)/(($F$2/2)^$E$98)))</f>
        <v>2.4657686896780953</v>
      </c>
      <c r="Z115" s="8">
        <f t="shared" ref="Z115:Z116" si="649">ABS(($A$99*2/($G3*$F$2))*$B$98*$F$98*(1-(U$103^$F$98)/(($F$2/2)^$E$98)))</f>
        <v>4.4510298694286963</v>
      </c>
      <c r="AA115" s="8">
        <f t="shared" ref="AA115:AA116" si="650">ABS(($A$99*2/($G3*$F$2))*$B$98*$F$98*(1-(V$103^$F$98)/(($F$2/2)^$E$98)))</f>
        <v>7.7451518486848547</v>
      </c>
      <c r="AB115" s="8">
        <f t="shared" ref="AB115:AB116" si="651">ABS(($A$99*2/($G3*$F$2))*$B$98*$F$98*(1-(W$103^$F$98)/(($F$2/2)^$E$98)))</f>
        <v>13.074832857286026</v>
      </c>
      <c r="AC115" s="8">
        <f t="shared" ref="AC115:AC116" si="652">ABS(($A$99*2/($G3*$F$2))*$B$98*$F$98*(1-(X$103^$F$98)/(($F$2/2)^$E$98)))</f>
        <v>21.503160781827955</v>
      </c>
      <c r="AD115" s="8">
        <f t="shared" ref="AD115:AD116" si="653">ABS(($A$99*2/($G3*$F$2))*$B$98*$F$98*(1-(Y$103^$F$98)/(($F$2/2)^$E$98)))</f>
        <v>34.55760974098861</v>
      </c>
      <c r="AE115" s="8">
        <f t="shared" ref="AE115:AE116" si="654">ABS(($A$99*2/($G3*$F$2))*$B$98*$F$98*(1-(Z$103^$F$98)/(($F$2/2)^$E$98)))</f>
        <v>54.397271111071809</v>
      </c>
      <c r="AF115" s="8">
        <f t="shared" ref="AF115:AF116" si="655">ABS(($A$99*2/($G3*$F$2))*$B$98*$F$98*(1-(AA$103^$F$98)/(($F$2/2)^$E$98)))</f>
        <v>84.028726428375819</v>
      </c>
      <c r="AG115" s="8">
        <f t="shared" ref="AG115:AG116" si="656">ABS(($A$99*2/($G3*$F$2))*$B$98*$F$98*(1-(AB$103^$F$98)/(($F$2/2)^$E$98)))</f>
        <v>127.58165591320324</v>
      </c>
      <c r="AH115" s="8">
        <f t="shared" ref="AH115:AH116" si="657">ABS(($A$99*2/($G3*$F$2))*$B$98*$F$98*(1-(AC$103^$F$98)/(($F$2/2)^$E$98)))</f>
        <v>190.65717202984493</v>
      </c>
      <c r="AI115" s="8">
        <f t="shared" ref="AI115:AI116" si="658">ABS(($A$99*2/($G3*$F$2))*$B$98*$F$98*(1-(AD$103^$F$98)/(($F$2/2)^$E$98)))</f>
        <v>280.76398796186402</v>
      </c>
      <c r="AJ115" s="8">
        <f t="shared" ref="AJ115:AJ116" si="659">ABS(($A$99*2/($G3*$F$2))*$B$98*$F$98*(1-(AE$103^$F$98)/(($F$2/2)^$E$98)))</f>
        <v>407.85989201214812</v>
      </c>
      <c r="AK115" s="8">
        <f t="shared" ref="AK115:AK116" si="660">ABS(($A$99*2/($G3*$F$2))*$B$98*$F$98*(1-(AF$103^$F$98)/(($F$2/2)^$E$98)))</f>
        <v>585.01861702129008</v>
      </c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</row>
    <row r="116" spans="7:169" x14ac:dyDescent="0.25">
      <c r="G116" s="8">
        <f t="shared" si="630"/>
        <v>5.6420972644376899E-2</v>
      </c>
      <c r="H116" s="8">
        <f t="shared" si="631"/>
        <v>5.6420972644304235E-2</v>
      </c>
      <c r="I116" s="8">
        <f t="shared" si="632"/>
        <v>5.6420972528568474E-2</v>
      </c>
      <c r="J116" s="8">
        <f t="shared" si="633"/>
        <v>5.642096399367319E-2</v>
      </c>
      <c r="K116" s="8">
        <f t="shared" si="634"/>
        <v>5.6420788063402984E-2</v>
      </c>
      <c r="L116" s="8">
        <f t="shared" si="635"/>
        <v>5.6418990457856991E-2</v>
      </c>
      <c r="M116" s="8">
        <f t="shared" si="636"/>
        <v>5.6407184742002993E-2</v>
      </c>
      <c r="N116" s="8">
        <f t="shared" si="637"/>
        <v>5.6349900717607156E-2</v>
      </c>
      <c r="O116" s="8">
        <f t="shared" si="638"/>
        <v>5.6126778722714092E-2</v>
      </c>
      <c r="P116" s="8">
        <f t="shared" si="639"/>
        <v>5.5391038475969497E-2</v>
      </c>
      <c r="Q116" s="8">
        <f t="shared" si="640"/>
        <v>5.3261669638269289E-2</v>
      </c>
      <c r="R116" s="8">
        <f t="shared" si="641"/>
        <v>4.7712560091056878E-2</v>
      </c>
      <c r="S116" s="8">
        <f t="shared" si="642"/>
        <v>3.4445159076703924E-2</v>
      </c>
      <c r="T116" s="8">
        <f t="shared" si="643"/>
        <v>4.9272128109431003E-3</v>
      </c>
      <c r="U116" s="8">
        <f t="shared" si="644"/>
        <v>5.6856839326700416E-2</v>
      </c>
      <c r="V116" s="8">
        <f t="shared" si="645"/>
        <v>0.1795738890903438</v>
      </c>
      <c r="W116" s="8">
        <f t="shared" si="646"/>
        <v>0.41247927047300814</v>
      </c>
      <c r="X116" s="8">
        <f t="shared" si="647"/>
        <v>0.83724567641105052</v>
      </c>
      <c r="Y116" s="8">
        <f t="shared" si="648"/>
        <v>1.585137014793061</v>
      </c>
      <c r="Z116" s="8">
        <f t="shared" si="649"/>
        <v>2.8613763446327334</v>
      </c>
      <c r="AA116" s="8">
        <f t="shared" si="650"/>
        <v>4.9790261884402636</v>
      </c>
      <c r="AB116" s="8">
        <f t="shared" si="651"/>
        <v>8.4052496939695871</v>
      </c>
      <c r="AC116" s="8">
        <f t="shared" si="652"/>
        <v>13.823460502603684</v>
      </c>
      <c r="AD116" s="8">
        <f t="shared" si="653"/>
        <v>22.215606262064103</v>
      </c>
      <c r="AE116" s="8">
        <f t="shared" si="654"/>
        <v>34.969674285689017</v>
      </c>
      <c r="AF116" s="8">
        <f t="shared" si="655"/>
        <v>54.018466989670166</v>
      </c>
      <c r="AG116" s="8">
        <f t="shared" si="656"/>
        <v>82.016778801344927</v>
      </c>
      <c r="AH116" s="8">
        <f t="shared" si="657"/>
        <v>122.56532487632889</v>
      </c>
      <c r="AI116" s="8">
        <f t="shared" si="658"/>
        <v>180.49113511834116</v>
      </c>
      <c r="AJ116" s="8">
        <f t="shared" si="659"/>
        <v>262.19564486495233</v>
      </c>
      <c r="AK116" s="8">
        <f t="shared" si="660"/>
        <v>376.08339665654358</v>
      </c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</row>
    <row r="117" spans="7:169" x14ac:dyDescent="0.25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</row>
    <row r="118" spans="7:169" x14ac:dyDescent="0.25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</row>
    <row r="119" spans="7:169" x14ac:dyDescent="0.25">
      <c r="G119" s="10" t="s">
        <v>155</v>
      </c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</row>
    <row r="120" spans="7:169" x14ac:dyDescent="0.25">
      <c r="G120" s="10" t="s">
        <v>143</v>
      </c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</row>
    <row r="121" spans="7:169" x14ac:dyDescent="0.25">
      <c r="G121" s="10" t="s">
        <v>140</v>
      </c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 t="s">
        <v>181</v>
      </c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 t="s">
        <v>164</v>
      </c>
      <c r="DH121" s="8" t="s">
        <v>160</v>
      </c>
      <c r="DI121" s="8" t="s">
        <v>165</v>
      </c>
      <c r="DJ121" s="8" t="s">
        <v>163</v>
      </c>
      <c r="DK121" s="8" t="s">
        <v>72</v>
      </c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</row>
    <row r="122" spans="7:169" x14ac:dyDescent="0.25">
      <c r="G122" s="8">
        <f>ABS(SQRT(2)*($A$99*2*$D$98/($F$3*$G2^2))*(1-(B$103*2/($F$3))^$E$98))</f>
        <v>1.1997869859026766</v>
      </c>
      <c r="H122" s="8">
        <f t="shared" ref="H122:BD122" si="661">ABS(SQRT(2)*($A$99*2*$D$98/($F$3*$G2^2))*(1-(C$103*2/($F$3))^$E$98))</f>
        <v>1.1997869859026766</v>
      </c>
      <c r="I122" s="8">
        <f t="shared" si="661"/>
        <v>1.1997869859026766</v>
      </c>
      <c r="J122" s="8">
        <f t="shared" si="661"/>
        <v>1.1997869859026695</v>
      </c>
      <c r="K122" s="8">
        <f t="shared" si="661"/>
        <v>1.199786985902471</v>
      </c>
      <c r="L122" s="8">
        <f t="shared" si="661"/>
        <v>1.1997869858999173</v>
      </c>
      <c r="M122" s="8">
        <f t="shared" si="661"/>
        <v>1.1997869858796442</v>
      </c>
      <c r="N122" s="8">
        <f t="shared" si="661"/>
        <v>1.1997869857641645</v>
      </c>
      <c r="O122" s="8">
        <f t="shared" si="661"/>
        <v>1.1997869852474139</v>
      </c>
      <c r="P122" s="8">
        <f t="shared" si="661"/>
        <v>1.1997869833219397</v>
      </c>
      <c r="Q122" s="8">
        <f t="shared" si="661"/>
        <v>1.1997869771067209</v>
      </c>
      <c r="R122" s="8">
        <f t="shared" si="661"/>
        <v>1.1997869592326511</v>
      </c>
      <c r="S122" s="8">
        <f t="shared" si="661"/>
        <v>1.1997869124820715</v>
      </c>
      <c r="T122" s="8">
        <f t="shared" si="661"/>
        <v>1.1997867995267966</v>
      </c>
      <c r="U122" s="8">
        <f t="shared" si="661"/>
        <v>1.199786544368181</v>
      </c>
      <c r="V122" s="8">
        <f t="shared" si="661"/>
        <v>1.1997860003370278</v>
      </c>
      <c r="W122" s="8">
        <f t="shared" si="661"/>
        <v>1.1997848971251204</v>
      </c>
      <c r="X122" s="8">
        <f t="shared" si="661"/>
        <v>1.199782756137826</v>
      </c>
      <c r="Y122" s="8">
        <f t="shared" si="661"/>
        <v>1.1997787593007003</v>
      </c>
      <c r="Z122" s="8">
        <f t="shared" si="661"/>
        <v>1.1997715511216183</v>
      </c>
      <c r="AA122" s="8">
        <f t="shared" si="661"/>
        <v>1.1997589470789336</v>
      </c>
      <c r="AB122" s="8">
        <f t="shared" si="661"/>
        <v>1.1997375130258807</v>
      </c>
      <c r="AC122" s="8">
        <f t="shared" si="661"/>
        <v>1.1997019699961264</v>
      </c>
      <c r="AD122" s="8">
        <f t="shared" si="661"/>
        <v>1.1996443662623615</v>
      </c>
      <c r="AE122" s="8">
        <f t="shared" si="661"/>
        <v>1.1995529434083507</v>
      </c>
      <c r="AF122" s="8">
        <f t="shared" si="661"/>
        <v>1.1994106051652771</v>
      </c>
      <c r="AG122" s="8">
        <f t="shared" si="661"/>
        <v>1.1991928764459518</v>
      </c>
      <c r="AH122" s="8">
        <f t="shared" si="661"/>
        <v>1.1988652149651482</v>
      </c>
      <c r="AI122" s="8">
        <f t="shared" si="661"/>
        <v>1.1983795086088556</v>
      </c>
      <c r="AJ122" s="8">
        <f t="shared" si="661"/>
        <v>1.1976695578249295</v>
      </c>
      <c r="AK122" s="8">
        <f t="shared" si="661"/>
        <v>1.1966453032342275</v>
      </c>
      <c r="AL122" s="8">
        <f t="shared" si="661"/>
        <v>1.1951855138523007</v>
      </c>
      <c r="AM122" s="8">
        <f t="shared" si="661"/>
        <v>1.1931286001792818</v>
      </c>
      <c r="AN122" s="8">
        <f t="shared" si="661"/>
        <v>1.1902611583359197</v>
      </c>
      <c r="AO122" s="8">
        <f t="shared" si="661"/>
        <v>1.186303785736029</v>
      </c>
      <c r="AP122" s="8">
        <f t="shared" si="661"/>
        <v>1.1808936347915093</v>
      </c>
      <c r="AQ122" s="8">
        <f t="shared" si="661"/>
        <v>1.1735630881085779</v>
      </c>
      <c r="AR122" s="8">
        <f t="shared" si="661"/>
        <v>1.1637138457766327</v>
      </c>
      <c r="AS122" s="8">
        <f t="shared" si="661"/>
        <v>1.1505856118578512</v>
      </c>
      <c r="AT122" s="8">
        <f>ABS(SQRT(2)*($A$99*2*$D$98/($F$3*$G2^2))*(1-(AO$103*2/($F$3))^$E$98))</f>
        <v>1.1332184521988804</v>
      </c>
      <c r="AU122" s="8">
        <f t="shared" si="661"/>
        <v>1.1104077683068083</v>
      </c>
      <c r="AV122" s="8">
        <f t="shared" si="661"/>
        <v>1.0806506913186156</v>
      </c>
      <c r="AW122" s="8">
        <f t="shared" si="661"/>
        <v>1.0420825450617919</v>
      </c>
      <c r="AX122" s="8">
        <f t="shared" si="661"/>
        <v>0.99240185682524329</v>
      </c>
      <c r="AY122" s="8">
        <f t="shared" si="661"/>
        <v>0.92878220766064845</v>
      </c>
      <c r="AZ122" s="8">
        <f t="shared" si="661"/>
        <v>0.84776900969635516</v>
      </c>
      <c r="BA122" s="8">
        <f t="shared" si="661"/>
        <v>0.7451590749038286</v>
      </c>
      <c r="BB122" s="8">
        <f t="shared" si="661"/>
        <v>0.61586059679874772</v>
      </c>
      <c r="BC122" s="8">
        <f t="shared" si="661"/>
        <v>0.45373090242573338</v>
      </c>
      <c r="BD122" s="8">
        <f t="shared" si="661"/>
        <v>0.25138904535956846</v>
      </c>
      <c r="BE122" s="8">
        <f>ABS(SQRT(2)*($A$99*2*$D$98/($F$3*$G2^2))*(1-(AZ$103*2/($F$3))^$E$98))</f>
        <v>1.8648435909526775E-14</v>
      </c>
      <c r="BF122" s="8"/>
      <c r="BG122" s="8">
        <f>G127/G122</f>
        <v>9.8754232164010636E-2</v>
      </c>
      <c r="BH122" s="8">
        <f t="shared" ref="BH122:DE122" si="662">H127/H122</f>
        <v>9.8754232164010317E-2</v>
      </c>
      <c r="BI122" s="8">
        <f t="shared" si="662"/>
        <v>9.8754232163479866E-2</v>
      </c>
      <c r="BJ122" s="8">
        <f t="shared" si="662"/>
        <v>9.8754232124362906E-2</v>
      </c>
      <c r="BK122" s="8">
        <f t="shared" si="662"/>
        <v>9.8754231318047267E-2</v>
      </c>
      <c r="BL122" s="8">
        <f t="shared" si="662"/>
        <v>9.8754223079386194E-2</v>
      </c>
      <c r="BM122" s="8">
        <f t="shared" si="662"/>
        <v>9.8754168972536333E-2</v>
      </c>
      <c r="BN122" s="8">
        <f t="shared" si="662"/>
        <v>9.8753906435175537E-2</v>
      </c>
      <c r="BO122" s="8">
        <f t="shared" si="662"/>
        <v>9.8752883854366619E-2</v>
      </c>
      <c r="BP122" s="8">
        <f t="shared" si="662"/>
        <v>9.8749511933141396E-2</v>
      </c>
      <c r="BQ122" s="8">
        <f t="shared" si="662"/>
        <v>9.8739753020058635E-2</v>
      </c>
      <c r="BR122" s="8">
        <f t="shared" si="662"/>
        <v>9.8714321547616959E-2</v>
      </c>
      <c r="BS122" s="8">
        <f t="shared" si="662"/>
        <v>9.8653517606855576E-2</v>
      </c>
      <c r="BT122" s="8">
        <f t="shared" si="662"/>
        <v>9.8518238818064804E-2</v>
      </c>
      <c r="BU122" s="8">
        <f t="shared" si="662"/>
        <v>9.8235088058638481E-2</v>
      </c>
      <c r="BV122" s="8">
        <f t="shared" si="662"/>
        <v>9.7672689519697486E-2</v>
      </c>
      <c r="BW122" s="8">
        <f t="shared" si="662"/>
        <v>9.6605314447848492E-2</v>
      </c>
      <c r="BX122" s="8">
        <f t="shared" si="662"/>
        <v>9.4658670374987777E-2</v>
      </c>
      <c r="BY122" s="8">
        <f t="shared" si="662"/>
        <v>9.1231191046621737E-2</v>
      </c>
      <c r="BZ122" s="8">
        <f t="shared" si="662"/>
        <v>8.5382343097063759E-2</v>
      </c>
      <c r="CA122" s="8">
        <f t="shared" si="662"/>
        <v>7.5677299743403717E-2</v>
      </c>
      <c r="CB122" s="8">
        <f t="shared" si="662"/>
        <v>5.9974773649462333E-2</v>
      </c>
      <c r="CC122" s="8">
        <f t="shared" si="662"/>
        <v>3.5141789178787207E-2</v>
      </c>
      <c r="CD122" s="8">
        <f t="shared" si="662"/>
        <v>3.3243778058786029E-3</v>
      </c>
      <c r="CE122" s="8">
        <f t="shared" si="662"/>
        <v>6.1791087556153666E-2</v>
      </c>
      <c r="CF122" s="8">
        <f t="shared" si="662"/>
        <v>0.14913115030186602</v>
      </c>
      <c r="CG122" s="8">
        <f t="shared" si="662"/>
        <v>0.2775449961012339</v>
      </c>
      <c r="CH122" s="8">
        <f t="shared" si="662"/>
        <v>0.46360776708714341</v>
      </c>
      <c r="CI122" s="8">
        <f t="shared" si="662"/>
        <v>0.72959580954830383</v>
      </c>
      <c r="CJ122" s="8">
        <f t="shared" si="662"/>
        <v>1.105162343482067</v>
      </c>
      <c r="CK122" s="8">
        <f t="shared" si="662"/>
        <v>1.6294544560096238</v>
      </c>
      <c r="CL122" s="8">
        <f t="shared" si="662"/>
        <v>2.3537974352743518</v>
      </c>
      <c r="CM122" s="8">
        <f t="shared" si="662"/>
        <v>3.3451251747989317</v>
      </c>
      <c r="CN122" s="8">
        <f t="shared" si="662"/>
        <v>4.6904191730058216</v>
      </c>
      <c r="CO122" s="8">
        <f t="shared" si="662"/>
        <v>6.5025541969583953</v>
      </c>
      <c r="CP122" s="8">
        <f t="shared" si="662"/>
        <v>8.9281715869710325</v>
      </c>
      <c r="CQ122" s="8">
        <f t="shared" si="662"/>
        <v>12.158574503052794</v>
      </c>
      <c r="CR122" s="8">
        <f t="shared" si="662"/>
        <v>16.445278610182704</v>
      </c>
      <c r="CS122" s="8">
        <f t="shared" si="662"/>
        <v>22.122976688351727</v>
      </c>
      <c r="CT122" s="8">
        <f>AT127/AT122</f>
        <v>29.644724614142667</v>
      </c>
      <c r="CU122" s="8">
        <f t="shared" si="662"/>
        <v>39.638047606657231</v>
      </c>
      <c r="CV122" s="8">
        <f t="shared" si="662"/>
        <v>52.998439533728309</v>
      </c>
      <c r="CW122" s="8">
        <f t="shared" si="662"/>
        <v>71.053229346433966</v>
      </c>
      <c r="CX122" s="8">
        <f t="shared" si="662"/>
        <v>95.866477524811543</v>
      </c>
      <c r="CY122" s="8">
        <f t="shared" si="662"/>
        <v>130.84974985221393</v>
      </c>
      <c r="CZ122" s="8">
        <f t="shared" si="662"/>
        <v>182.10728861444537</v>
      </c>
      <c r="DA122" s="8">
        <f t="shared" si="662"/>
        <v>261.80099427251798</v>
      </c>
      <c r="DB122" s="8">
        <f t="shared" si="662"/>
        <v>398.24816909113804</v>
      </c>
      <c r="DC122" s="8">
        <f t="shared" si="662"/>
        <v>676.31643108932178</v>
      </c>
      <c r="DD122" s="8">
        <f t="shared" si="662"/>
        <v>1520.1948572875376</v>
      </c>
      <c r="DE122" s="8">
        <f t="shared" si="662"/>
        <v>2.5407904902532468E+16</v>
      </c>
      <c r="DF122" s="8"/>
      <c r="DG122" s="8">
        <f>0.000195</f>
        <v>1.95E-4</v>
      </c>
      <c r="DH122" s="8">
        <f>2*DG122</f>
        <v>3.8999999999999999E-4</v>
      </c>
      <c r="DI122" s="8">
        <f>DH122/(1.6*10^-3)</f>
        <v>0.24374999999999999</v>
      </c>
      <c r="DJ122" s="8">
        <f>BL27</f>
        <v>0.35526315789473684</v>
      </c>
      <c r="DK122" s="8">
        <f>DJ122-DI122</f>
        <v>0.11151315789473684</v>
      </c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</row>
    <row r="123" spans="7:169" x14ac:dyDescent="0.25">
      <c r="G123" s="8">
        <f t="shared" ref="G123:G124" si="663">ABS(SQRT(2)*($A$99*2*$D$98/($F$3*$G3^2))*(1-(B$103*2/($F$3))^$E$98))</f>
        <v>0.23699496017830657</v>
      </c>
      <c r="H123" s="8">
        <f t="shared" ref="H123:H124" si="664">ABS(SQRT(2)*($A$99*2*$D$98/($F$3*$G3^2))*(1-(C$103*2/($F$3))^$E$98))</f>
        <v>0.23699496017830657</v>
      </c>
      <c r="I123" s="8">
        <f t="shared" ref="I123:I124" si="665">ABS(SQRT(2)*($A$99*2*$D$98/($F$3*$G3^2))*(1-(D$103*2/($F$3))^$E$98))</f>
        <v>0.23699496017830657</v>
      </c>
      <c r="J123" s="8">
        <f t="shared" ref="J123:J124" si="666">ABS(SQRT(2)*($A$99*2*$D$98/($F$3*$G3^2))*(1-(E$103*2/($F$3))^$E$98))</f>
        <v>0.23699496017830515</v>
      </c>
      <c r="K123" s="8">
        <f t="shared" ref="K123:K124" si="667">ABS(SQRT(2)*($A$99*2*$D$98/($F$3*$G3^2))*(1-(F$103*2/($F$3))^$E$98))</f>
        <v>0.23699496017826596</v>
      </c>
      <c r="L123" s="8">
        <f t="shared" ref="L123:L124" si="668">ABS(SQRT(2)*($A$99*2*$D$98/($F$3*$G3^2))*(1-(G$103*2/($F$3))^$E$98))</f>
        <v>0.23699496017776153</v>
      </c>
      <c r="M123" s="8">
        <f t="shared" ref="M123:M124" si="669">ABS(SQRT(2)*($A$99*2*$D$98/($F$3*$G3^2))*(1-(H$103*2/($F$3))^$E$98))</f>
        <v>0.23699496017375693</v>
      </c>
      <c r="N123" s="8">
        <f t="shared" ref="N123:N124" si="670">ABS(SQRT(2)*($A$99*2*$D$98/($F$3*$G3^2))*(1-(I$103*2/($F$3))^$E$98))</f>
        <v>0.23699496015094615</v>
      </c>
      <c r="O123" s="8">
        <f t="shared" ref="O123:O124" si="671">ABS(SQRT(2)*($A$99*2*$D$98/($F$3*$G3^2))*(1-(J$103*2/($F$3))^$E$98))</f>
        <v>0.23699496004887194</v>
      </c>
      <c r="P123" s="8">
        <f t="shared" ref="P123:P124" si="672">ABS(SQRT(2)*($A$99*2*$D$98/($F$3*$G3^2))*(1-(K$103*2/($F$3))^$E$98))</f>
        <v>0.23699495966853137</v>
      </c>
      <c r="Q123" s="8">
        <f t="shared" ref="Q123:Q124" si="673">ABS(SQRT(2)*($A$99*2*$D$98/($F$3*$G3^2))*(1-(L$103*2/($F$3))^$E$98))</f>
        <v>0.23699495844083385</v>
      </c>
      <c r="R123" s="8">
        <f t="shared" ref="R123:R124" si="674">ABS(SQRT(2)*($A$99*2*$D$98/($F$3*$G3^2))*(1-(M$103*2/($F$3))^$E$98))</f>
        <v>0.23699495491015338</v>
      </c>
      <c r="S123" s="8">
        <f t="shared" ref="S123:S124" si="675">ABS(SQRT(2)*($A$99*2*$D$98/($F$3*$G3^2))*(1-(N$103*2/($F$3))^$E$98))</f>
        <v>0.23699494567547097</v>
      </c>
      <c r="T123" s="8">
        <f t="shared" ref="T123:T124" si="676">ABS(SQRT(2)*($A$99*2*$D$98/($F$3*$G3^2))*(1-(O$103*2/($F$3))^$E$98))</f>
        <v>0.2369949233633179</v>
      </c>
      <c r="U123" s="8">
        <f t="shared" ref="U123:U124" si="677">ABS(SQRT(2)*($A$99*2*$D$98/($F$3*$G3^2))*(1-(P$103*2/($F$3))^$E$98))</f>
        <v>0.23699487296161606</v>
      </c>
      <c r="V123" s="8">
        <f t="shared" ref="V123:V124" si="678">ABS(SQRT(2)*($A$99*2*$D$98/($F$3*$G3^2))*(1-(Q$103*2/($F$3))^$E$98))</f>
        <v>0.23699476549867221</v>
      </c>
      <c r="W123" s="8">
        <f t="shared" ref="W123:W124" si="679">ABS(SQRT(2)*($A$99*2*$D$98/($F$3*$G3^2))*(1-(R$103*2/($F$3))^$E$98))</f>
        <v>0.23699454758027075</v>
      </c>
      <c r="X123" s="8">
        <f t="shared" ref="X123:X124" si="680">ABS(SQRT(2)*($A$99*2*$D$98/($F$3*$G3^2))*(1-(S$103*2/($F$3))^$E$98))</f>
        <v>0.23699412466920028</v>
      </c>
      <c r="Y123" s="8">
        <f t="shared" ref="Y123:Y124" si="681">ABS(SQRT(2)*($A$99*2*$D$98/($F$3*$G3^2))*(1-(T$103*2/($F$3))^$E$98))</f>
        <v>0.2369933351705088</v>
      </c>
      <c r="Z123" s="8">
        <f t="shared" ref="Z123:Z124" si="682">ABS(SQRT(2)*($A$99*2*$D$98/($F$3*$G3^2))*(1-(U$103*2/($F$3))^$E$98))</f>
        <v>0.23699191133266542</v>
      </c>
      <c r="AA123" s="8">
        <f t="shared" ref="AA123:AA124" si="683">ABS(SQRT(2)*($A$99*2*$D$98/($F$3*$G3^2))*(1-(V$103*2/($F$3))^$E$98))</f>
        <v>0.23698942164522152</v>
      </c>
      <c r="AB123" s="8">
        <f t="shared" ref="AB123:AB124" si="684">ABS(SQRT(2)*($A$99*2*$D$98/($F$3*$G3^2))*(1-(W$103*2/($F$3))^$E$98))</f>
        <v>0.23698518775819874</v>
      </c>
      <c r="AC123" s="8">
        <f t="shared" ref="AC123:AC124" si="685">ABS(SQRT(2)*($A$99*2*$D$98/($F$3*$G3^2))*(1-(X$103*2/($F$3))^$E$98))</f>
        <v>0.2369781669128152</v>
      </c>
      <c r="AD123" s="8">
        <f t="shared" ref="AD123:AD124" si="686">ABS(SQRT(2)*($A$99*2*$D$98/($F$3*$G3^2))*(1-(Y$103*2/($F$3))^$E$98))</f>
        <v>0.23696678839750357</v>
      </c>
      <c r="AE123" s="8">
        <f t="shared" ref="AE123:AE124" si="687">ABS(SQRT(2)*($A$99*2*$D$98/($F$3*$G3^2))*(1-(Z$103*2/($F$3))^$E$98))</f>
        <v>0.23694872956214341</v>
      </c>
      <c r="AF123" s="8">
        <f t="shared" ref="AF123:AF124" si="688">ABS(SQRT(2)*($A$99*2*$D$98/($F$3*$G3^2))*(1-(AA$103*2/($F$3))^$E$98))</f>
        <v>0.23692061336598072</v>
      </c>
      <c r="AG123" s="8">
        <f t="shared" ref="AG123:AG124" si="689">ABS(SQRT(2)*($A$99*2*$D$98/($F$3*$G3^2))*(1-(AB$103*2/($F$3))^$E$98))</f>
        <v>0.23687760522389181</v>
      </c>
      <c r="AH123" s="8">
        <f t="shared" ref="AH123:AH124" si="690">ABS(SQRT(2)*($A$99*2*$D$98/($F$3*$G3^2))*(1-(AC$103*2/($F$3))^$E$98))</f>
        <v>0.23681288196842443</v>
      </c>
      <c r="AI123" s="8">
        <f t="shared" ref="AI123:AI124" si="691">ABS(SQRT(2)*($A$99*2*$D$98/($F$3*$G3^2))*(1-(AD$103*2/($F$3))^$E$98))</f>
        <v>0.23671693997211968</v>
      </c>
      <c r="AJ123" s="8">
        <f t="shared" ref="AJ123:AJ124" si="692">ABS(SQRT(2)*($A$99*2*$D$98/($F$3*$G3^2))*(1-(AE$103*2/($F$3))^$E$98))</f>
        <v>0.23657670278023307</v>
      </c>
      <c r="AK123" s="8">
        <f t="shared" ref="AK123:AK124" si="693">ABS(SQRT(2)*($A$99*2*$D$98/($F$3*$G3^2))*(1-(AF$103*2/($F$3))^$E$98))</f>
        <v>0.23637438088577342</v>
      </c>
      <c r="AL123" s="8">
        <f t="shared" ref="AL123:AL124" si="694">ABS(SQRT(2)*($A$99*2*$D$98/($F$3*$G3^2))*(1-(AG$103*2/($F$3))^$E$98))</f>
        <v>0.236086027427615</v>
      </c>
      <c r="AM123" s="8">
        <f t="shared" ref="AM123:AM124" si="695">ABS(SQRT(2)*($A$99*2*$D$98/($F$3*$G3^2))*(1-(AH$103*2/($F$3))^$E$98))</f>
        <v>0.23567972349220387</v>
      </c>
      <c r="AN123" s="8">
        <f t="shared" ref="AN123:AN124" si="696">ABS(SQRT(2)*($A$99*2*$D$98/($F$3*$G3^2))*(1-(AI$103*2/($F$3))^$E$98))</f>
        <v>0.23511331522684842</v>
      </c>
      <c r="AO123" s="8">
        <f t="shared" ref="AO123:AO124" si="697">ABS(SQRT(2)*($A$99*2*$D$98/($F$3*$G3^2))*(1-(AJ$103*2/($F$3))^$E$98))</f>
        <v>0.23433161199724037</v>
      </c>
      <c r="AP123" s="8">
        <f t="shared" ref="AP123" si="698">ABS(SQRT(2)*($A$99*2*$D$98/($F$3*$G3^2))*(1-(AK$103*2/($F$3))^$E$98))</f>
        <v>0.23326294020573032</v>
      </c>
      <c r="AQ123" s="8">
        <f t="shared" ref="AQ123:AQ124" si="699">ABS(SQRT(2)*($A$99*2*$D$98/($F$3*$G3^2))*(1-(AL$103*2/($F$3))^$E$98))</f>
        <v>0.23181493098441053</v>
      </c>
      <c r="AR123" s="8">
        <f t="shared" ref="AR123:AR124" si="700">ABS(SQRT(2)*($A$99*2*$D$98/($F$3*$G3^2))*(1-(AM$103*2/($F$3))^$E$98))</f>
        <v>0.22986940163489047</v>
      </c>
      <c r="AS123" s="8">
        <f t="shared" ref="AS123:AS124" si="701">ABS(SQRT(2)*($A$99*2*$D$98/($F$3*$G3^2))*(1-(AN$103*2/($F$3))^$E$98))</f>
        <v>0.22727617024352625</v>
      </c>
      <c r="AT123" s="8">
        <f t="shared" ref="AT123:AT124" si="702">ABS(SQRT(2)*($A$99*2*$D$98/($F$3*$G3^2))*(1-(AO$103*2/($F$3))^$E$98))</f>
        <v>0.22384562018743323</v>
      </c>
      <c r="AU123" s="8">
        <f t="shared" ref="AU123:AU124" si="703">ABS(SQRT(2)*($A$99*2*$D$98/($F$3*$G3^2))*(1-(AP$103*2/($F$3))^$E$98))</f>
        <v>0.21933980608529555</v>
      </c>
      <c r="AV123" s="8">
        <f t="shared" ref="AV123:AV124" si="704">ABS(SQRT(2)*($A$99*2*$D$98/($F$3*$G3^2))*(1-(AQ$103*2/($F$3))^$E$98))</f>
        <v>0.21346186495182534</v>
      </c>
      <c r="AW123" s="8">
        <f t="shared" ref="AW123:AW124" si="705">ABS(SQRT(2)*($A$99*2*$D$98/($F$3*$G3^2))*(1-(AR$103*2/($F$3))^$E$98))</f>
        <v>0.20584346569121822</v>
      </c>
      <c r="AX123" s="8">
        <f t="shared" ref="AX123:AX124" si="706">ABS(SQRT(2)*($A$99*2*$D$98/($F$3*$G3^2))*(1-(AS$103*2/($F$3))^$E$98))</f>
        <v>0.19602999640992466</v>
      </c>
      <c r="AY123" s="8">
        <f t="shared" ref="AY123:AY124" si="707">ABS(SQRT(2)*($A$99*2*$D$98/($F$3*$G3^2))*(1-(AT$103*2/($F$3))^$E$98))</f>
        <v>0.18346315213049852</v>
      </c>
      <c r="AZ123" s="8">
        <f t="shared" ref="AZ123:AZ124" si="708">ABS(SQRT(2)*($A$99*2*$D$98/($F$3*$G3^2))*(1-(AU$103*2/($F$3))^$E$98))</f>
        <v>0.16746054512520603</v>
      </c>
      <c r="BA123" s="8">
        <f t="shared" ref="BA123:BA124" si="709">ABS(SQRT(2)*($A$99*2*$D$98/($F$3*$G3^2))*(1-(AV$103*2/($F$3))^$E$98))</f>
        <v>0.14719191603038595</v>
      </c>
      <c r="BB123" s="8">
        <f t="shared" ref="BB123:BB124" si="710">ABS(SQRT(2)*($A$99*2*$D$98/($F$3*$G3^2))*(1-(AW$103*2/($F$3))^$E$98))</f>
        <v>0.12165147591086378</v>
      </c>
      <c r="BC123" s="8">
        <f t="shared" ref="BC123:BC124" si="711">ABS(SQRT(2)*($A$99*2*$D$98/($F$3*$G3^2))*(1-(AX$103*2/($F$3))^$E$98))</f>
        <v>8.9625857269280698E-2</v>
      </c>
      <c r="BD123" s="8">
        <f t="shared" ref="BD123:BD124" si="712">ABS(SQRT(2)*($A$99*2*$D$98/($F$3*$G3^2))*(1-(AY$103*2/($F$3))^$E$98))</f>
        <v>4.9657095379667865E-2</v>
      </c>
      <c r="BE123" s="8">
        <f t="shared" ref="BE123:BE124" si="713">ABS(SQRT(2)*($A$99*2*$D$98/($F$3*$G3^2))*(1-(AZ$103*2/($F$3))^$E$98))</f>
        <v>3.6836416611410926E-15</v>
      </c>
      <c r="BF123" s="8"/>
      <c r="BG123" s="8">
        <f t="shared" ref="BG123:BG124" si="714">G128/G123</f>
        <v>0.22219702236902383</v>
      </c>
      <c r="BH123" s="8">
        <f t="shared" ref="BH123:BH124" si="715">H128/H123</f>
        <v>0.22219702236902311</v>
      </c>
      <c r="BI123" s="8">
        <f t="shared" ref="BI123:BI124" si="716">I128/I123</f>
        <v>0.22219702236782959</v>
      </c>
      <c r="BJ123" s="8">
        <f t="shared" ref="BJ123:BJ124" si="717">J128/J123</f>
        <v>0.22219702227981644</v>
      </c>
      <c r="BK123" s="8">
        <f t="shared" ref="BK123:BK124" si="718">K128/K123</f>
        <v>0.22219702046560624</v>
      </c>
      <c r="BL123" s="8">
        <f t="shared" ref="BL123:BL124" si="719">L128/L123</f>
        <v>0.22219700192861883</v>
      </c>
      <c r="BM123" s="8">
        <f t="shared" ref="BM123:BM124" si="720">M128/M123</f>
        <v>0.22219688018820666</v>
      </c>
      <c r="BN123" s="8">
        <f t="shared" ref="BN123:BN124" si="721">N128/N123</f>
        <v>0.22219628947914485</v>
      </c>
      <c r="BO123" s="8">
        <f t="shared" ref="BO123:BO124" si="722">O128/O123</f>
        <v>0.22219398867232479</v>
      </c>
      <c r="BP123" s="8">
        <f t="shared" ref="BP123:BP124" si="723">P128/P123</f>
        <v>0.22218640184956803</v>
      </c>
      <c r="BQ123" s="8">
        <f t="shared" ref="BQ123:BQ124" si="724">Q128/Q123</f>
        <v>0.22216444429513182</v>
      </c>
      <c r="BR123" s="8">
        <f t="shared" ref="BR123:BR124" si="725">R128/R123</f>
        <v>0.22210722348213804</v>
      </c>
      <c r="BS123" s="8">
        <f t="shared" ref="BS123:BS124" si="726">S128/S123</f>
        <v>0.22197041461542494</v>
      </c>
      <c r="BT123" s="8">
        <f t="shared" ref="BT123:BT124" si="727">T128/T123</f>
        <v>0.22166603734064574</v>
      </c>
      <c r="BU123" s="8">
        <f t="shared" ref="BU123:BU124" si="728">U128/U123</f>
        <v>0.22102894813193649</v>
      </c>
      <c r="BV123" s="8">
        <f t="shared" ref="BV123:BV124" si="729">V128/V123</f>
        <v>0.21976355141931925</v>
      </c>
      <c r="BW123" s="8">
        <f t="shared" ref="BW123:BW124" si="730">W128/W123</f>
        <v>0.21736195750765899</v>
      </c>
      <c r="BX123" s="8">
        <f t="shared" ref="BX123:BX124" si="731">X128/X123</f>
        <v>0.21298200834372241</v>
      </c>
      <c r="BY123" s="8">
        <f t="shared" ref="BY123:BY124" si="732">Y128/Y123</f>
        <v>0.20527017985489879</v>
      </c>
      <c r="BZ123" s="8">
        <f t="shared" ref="BZ123:BZ124" si="733">Z128/Z123</f>
        <v>0.19211027196839334</v>
      </c>
      <c r="CA123" s="8">
        <f t="shared" ref="CA123:CA124" si="734">AA128/AA123</f>
        <v>0.17027392442265829</v>
      </c>
      <c r="CB123" s="8">
        <f t="shared" ref="CB123:CB124" si="735">AB128/AB123</f>
        <v>0.13494324071129019</v>
      </c>
      <c r="CC123" s="8">
        <f t="shared" ref="CC123:CC124" si="736">AC128/AC123</f>
        <v>7.9069025652271169E-2</v>
      </c>
      <c r="CD123" s="8">
        <f t="shared" ref="CD123:CD124" si="737">AD128/AD123</f>
        <v>7.479850063226854E-3</v>
      </c>
      <c r="CE123" s="8">
        <f t="shared" ref="CE123:CE124" si="738">AE128/AE123</f>
        <v>0.13902994700134572</v>
      </c>
      <c r="CF123" s="8">
        <f t="shared" ref="CF123:CF124" si="739">AF128/AF123</f>
        <v>0.33554508817919843</v>
      </c>
      <c r="CG123" s="8">
        <f t="shared" ref="CG123:CG124" si="740">AG128/AG123</f>
        <v>0.62447624122777601</v>
      </c>
      <c r="CH123" s="8">
        <f t="shared" ref="CH123:CH124" si="741">AH128/AH123</f>
        <v>1.0431174759460722</v>
      </c>
      <c r="CI123" s="8">
        <f t="shared" ref="CI123:CI124" si="742">AI128/AI123</f>
        <v>1.6415905714836829</v>
      </c>
      <c r="CJ123" s="8">
        <f t="shared" ref="CJ123:CJ124" si="743">AJ128/AJ123</f>
        <v>2.4866152728346496</v>
      </c>
      <c r="CK123" s="8">
        <f t="shared" ref="CK123:CK124" si="744">AK128/AK123</f>
        <v>3.6662725260216509</v>
      </c>
      <c r="CL123" s="8">
        <f t="shared" ref="CL123:CL124" si="745">AL128/AL123</f>
        <v>5.2960442293672889</v>
      </c>
      <c r="CM123" s="8">
        <f t="shared" ref="CM123:CM124" si="746">AM128/AM123</f>
        <v>7.5265316432975933</v>
      </c>
      <c r="CN123" s="8">
        <f t="shared" ref="CN123:CN124" si="747">AN128/AN123</f>
        <v>10.553443139263091</v>
      </c>
      <c r="CO123" s="8">
        <f t="shared" ref="CO123:CO124" si="748">AO128/AO123</f>
        <v>14.630746943156382</v>
      </c>
      <c r="CP123" s="8">
        <f t="shared" ref="CP123:CP124" si="749">AP128/AP123</f>
        <v>20.088386070684813</v>
      </c>
      <c r="CQ123" s="8">
        <f t="shared" ref="CQ123:CQ124" si="750">AQ128/AQ123</f>
        <v>27.356792631868775</v>
      </c>
      <c r="CR123" s="8">
        <f t="shared" ref="CR123:CR124" si="751">AR128/AR123</f>
        <v>37.001876872911076</v>
      </c>
      <c r="CS123" s="8">
        <f t="shared" ref="CS123:CS124" si="752">AS128/AS123</f>
        <v>49.776697548791354</v>
      </c>
      <c r="CT123" s="8">
        <f t="shared" ref="CT123:CT124" si="753">AT128/AT123</f>
        <v>66.700630381820972</v>
      </c>
      <c r="CU123" s="8">
        <f t="shared" ref="CU123:CU124" si="754">AU128/AU123</f>
        <v>89.185607114978737</v>
      </c>
      <c r="CV123" s="8">
        <f t="shared" ref="CV123:CV124" si="755">AV128/AV123</f>
        <v>119.24648895088866</v>
      </c>
      <c r="CW123" s="8">
        <f t="shared" ref="CW123:CW124" si="756">AW128/AW123</f>
        <v>159.86976602947635</v>
      </c>
      <c r="CX123" s="8">
        <f t="shared" ref="CX123:CX124" si="757">AX128/AX123</f>
        <v>215.69957443082586</v>
      </c>
      <c r="CY123" s="8">
        <f t="shared" ref="CY123:CY124" si="758">AY128/AY123</f>
        <v>294.4119371674812</v>
      </c>
      <c r="CZ123" s="8">
        <f t="shared" ref="CZ123:CZ124" si="759">AZ128/AZ123</f>
        <v>409.74139938250181</v>
      </c>
      <c r="DA123" s="8">
        <f t="shared" ref="DA123:DA124" si="760">BA128/BA123</f>
        <v>589.05223711316523</v>
      </c>
      <c r="DB123" s="8">
        <f t="shared" ref="DB123:DB124" si="761">BB128/BB123</f>
        <v>896.05838045506016</v>
      </c>
      <c r="DC123" s="8">
        <f t="shared" ref="DC123:DC124" si="762">BC128/BC123</f>
        <v>1521.7119699509733</v>
      </c>
      <c r="DD123" s="8">
        <f t="shared" ref="DD123:DD124" si="763">BD128/BD123</f>
        <v>3420.4384288969572</v>
      </c>
      <c r="DE123" s="8">
        <f t="shared" ref="DE123:DE124" si="764">BE128/BE123</f>
        <v>5.7167786030698024E+16</v>
      </c>
      <c r="DF123" s="8"/>
      <c r="DG123" s="8">
        <v>1.8000000000000001E-4</v>
      </c>
      <c r="DH123" s="8">
        <f t="shared" ref="DH123:DH124" si="765">2*DG123</f>
        <v>3.6000000000000002E-4</v>
      </c>
      <c r="DI123" s="8">
        <f t="shared" ref="DI123:DI124" si="766">DH123/(1.6*10^-3)</f>
        <v>0.22500000000000001</v>
      </c>
      <c r="DJ123" s="8">
        <f t="shared" ref="DJ123:DJ124" si="767">BL28</f>
        <v>0.30303030303030304</v>
      </c>
      <c r="DK123" s="8">
        <f t="shared" ref="DK123:DK124" si="768">DJ123-DI123</f>
        <v>7.8030303030303033E-2</v>
      </c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</row>
    <row r="124" spans="7:169" x14ac:dyDescent="0.25">
      <c r="G124" s="8">
        <f t="shared" si="663"/>
        <v>9.794179476756544E-2</v>
      </c>
      <c r="H124" s="8">
        <f t="shared" si="664"/>
        <v>9.794179476756544E-2</v>
      </c>
      <c r="I124" s="8">
        <f t="shared" si="665"/>
        <v>9.794179476756544E-2</v>
      </c>
      <c r="J124" s="8">
        <f t="shared" si="666"/>
        <v>9.7941794767564858E-2</v>
      </c>
      <c r="K124" s="8">
        <f t="shared" si="667"/>
        <v>9.7941794767548662E-2</v>
      </c>
      <c r="L124" s="8">
        <f t="shared" si="668"/>
        <v>9.794179476734019E-2</v>
      </c>
      <c r="M124" s="8">
        <f t="shared" si="669"/>
        <v>9.7941794765685236E-2</v>
      </c>
      <c r="N124" s="8">
        <f t="shared" si="670"/>
        <v>9.7941794756258319E-2</v>
      </c>
      <c r="O124" s="8">
        <f t="shared" si="671"/>
        <v>9.7941794714074604E-2</v>
      </c>
      <c r="P124" s="8">
        <f t="shared" si="672"/>
        <v>9.7941794556893044E-2</v>
      </c>
      <c r="Q124" s="8">
        <f t="shared" si="673"/>
        <v>9.7941794049528241E-2</v>
      </c>
      <c r="R124" s="8">
        <f t="shared" si="674"/>
        <v>9.794179259042049E-2</v>
      </c>
      <c r="S124" s="8">
        <f t="shared" si="675"/>
        <v>9.7941788774046648E-2</v>
      </c>
      <c r="T124" s="8">
        <f t="shared" si="676"/>
        <v>9.7941779553207889E-2</v>
      </c>
      <c r="U124" s="8">
        <f t="shared" si="677"/>
        <v>9.7941758723933139E-2</v>
      </c>
      <c r="V124" s="8">
        <f t="shared" si="678"/>
        <v>9.7941714313226749E-2</v>
      </c>
      <c r="W124" s="8">
        <f t="shared" si="679"/>
        <v>9.7941624255111867E-2</v>
      </c>
      <c r="X124" s="8">
        <f t="shared" si="680"/>
        <v>9.7941449480638862E-2</v>
      </c>
      <c r="Y124" s="8">
        <f t="shared" si="681"/>
        <v>9.7941123208220446E-2</v>
      </c>
      <c r="Z124" s="8">
        <f t="shared" si="682"/>
        <v>9.7940534785438224E-2</v>
      </c>
      <c r="AA124" s="8">
        <f t="shared" si="683"/>
        <v>9.7939505883994582E-2</v>
      </c>
      <c r="AB124" s="8">
        <f t="shared" si="684"/>
        <v>9.7937756165378018E-2</v>
      </c>
      <c r="AC124" s="8">
        <f t="shared" si="685"/>
        <v>9.7934854693561349E-2</v>
      </c>
      <c r="AD124" s="8">
        <f t="shared" si="686"/>
        <v>9.7930152347947871E-2</v>
      </c>
      <c r="AE124" s="8">
        <f t="shared" si="687"/>
        <v>9.7922689257824547E-2</v>
      </c>
      <c r="AF124" s="8">
        <f t="shared" si="688"/>
        <v>9.7911069809410375E-2</v>
      </c>
      <c r="AG124" s="8">
        <f t="shared" si="689"/>
        <v>9.7893296036404231E-2</v>
      </c>
      <c r="AH124" s="8">
        <f t="shared" si="690"/>
        <v>9.7866548160420272E-2</v>
      </c>
      <c r="AI124" s="8">
        <f t="shared" si="691"/>
        <v>9.7826898661947381E-2</v>
      </c>
      <c r="AJ124" s="8">
        <f t="shared" si="692"/>
        <v>9.7768943495912614E-2</v>
      </c>
      <c r="AK124" s="8">
        <f t="shared" si="693"/>
        <v>9.7685330876263479E-2</v>
      </c>
      <c r="AL124" s="8">
        <f t="shared" si="694"/>
        <v>9.7566164396106173E-2</v>
      </c>
      <c r="AM124" s="8">
        <f t="shared" si="695"/>
        <v>9.7398253075859725E-2</v>
      </c>
      <c r="AN124" s="8">
        <f t="shared" si="696"/>
        <v>9.7164176190687332E-2</v>
      </c>
      <c r="AO124" s="8">
        <f t="shared" si="697"/>
        <v>9.6841125366206454E-2</v>
      </c>
      <c r="AP124" s="8">
        <f>ABS(SQRT(2)*($A$99*2*$D$98/($F$3*$G4^2))*(1-(AK$103*2/($F$3))^$E$98))</f>
        <v>9.6399480391143627E-2</v>
      </c>
      <c r="AQ124" s="8">
        <f t="shared" si="699"/>
        <v>9.5801068417026777E-2</v>
      </c>
      <c r="AR124" s="8">
        <f t="shared" si="700"/>
        <v>9.499704863482715E-2</v>
      </c>
      <c r="AS124" s="8">
        <f t="shared" si="701"/>
        <v>9.3925356070028679E-2</v>
      </c>
      <c r="AT124" s="8">
        <f t="shared" si="702"/>
        <v>9.2507628750929008E-2</v>
      </c>
      <c r="AU124" s="8">
        <f t="shared" si="703"/>
        <v>9.0645532106678237E-2</v>
      </c>
      <c r="AV124" s="8">
        <f t="shared" si="704"/>
        <v>8.8216382964784942E-2</v>
      </c>
      <c r="AW124" s="8">
        <f t="shared" si="705"/>
        <v>8.5067962862187096E-2</v>
      </c>
      <c r="AX124" s="8">
        <f t="shared" si="706"/>
        <v>8.101239647553006E-2</v>
      </c>
      <c r="AY124" s="8">
        <f t="shared" si="707"/>
        <v>7.5818955727399884E-2</v>
      </c>
      <c r="AZ124" s="8">
        <f t="shared" si="708"/>
        <v>6.9205633444600428E-2</v>
      </c>
      <c r="BA124" s="8">
        <f t="shared" si="709"/>
        <v>6.0829312237047233E-2</v>
      </c>
      <c r="BB124" s="8">
        <f t="shared" si="710"/>
        <v>5.0274334432550832E-2</v>
      </c>
      <c r="BC124" s="8">
        <f t="shared" si="711"/>
        <v>3.7039257340876194E-2</v>
      </c>
      <c r="BD124" s="8">
        <f t="shared" si="712"/>
        <v>2.0521554723230081E-2</v>
      </c>
      <c r="BE124" s="8">
        <f t="shared" si="713"/>
        <v>1.5223212987368797E-15</v>
      </c>
      <c r="BF124" s="8"/>
      <c r="BG124" s="8">
        <f t="shared" si="714"/>
        <v>0.3456398125740372</v>
      </c>
      <c r="BH124" s="8">
        <f t="shared" si="715"/>
        <v>0.34563981257403603</v>
      </c>
      <c r="BI124" s="8">
        <f t="shared" si="716"/>
        <v>0.34563981257217952</v>
      </c>
      <c r="BJ124" s="8">
        <f t="shared" si="717"/>
        <v>0.34563981243527014</v>
      </c>
      <c r="BK124" s="8">
        <f t="shared" si="718"/>
        <v>0.34563980961316537</v>
      </c>
      <c r="BL124" s="8">
        <f t="shared" si="719"/>
        <v>0.34563978077785162</v>
      </c>
      <c r="BM124" s="8">
        <f t="shared" si="720"/>
        <v>0.34563959140387712</v>
      </c>
      <c r="BN124" s="8">
        <f t="shared" si="721"/>
        <v>0.34563867252311437</v>
      </c>
      <c r="BO124" s="8">
        <f t="shared" si="722"/>
        <v>0.3456350934902831</v>
      </c>
      <c r="BP124" s="8">
        <f t="shared" si="723"/>
        <v>0.34562329176599482</v>
      </c>
      <c r="BQ124" s="8">
        <f t="shared" si="724"/>
        <v>0.3455891355702051</v>
      </c>
      <c r="BR124" s="8">
        <f t="shared" si="725"/>
        <v>0.34550012541665936</v>
      </c>
      <c r="BS124" s="8">
        <f t="shared" si="726"/>
        <v>0.34528731162399445</v>
      </c>
      <c r="BT124" s="8">
        <f t="shared" si="727"/>
        <v>0.34481383586322678</v>
      </c>
      <c r="BU124" s="8">
        <f t="shared" si="728"/>
        <v>0.34382280820523459</v>
      </c>
      <c r="BV124" s="8">
        <f t="shared" si="729"/>
        <v>0.34185441331894117</v>
      </c>
      <c r="BW124" s="8">
        <f t="shared" si="730"/>
        <v>0.33811860056746967</v>
      </c>
      <c r="BX124" s="8">
        <f t="shared" si="731"/>
        <v>0.33130534631245717</v>
      </c>
      <c r="BY124" s="8">
        <f t="shared" si="732"/>
        <v>0.31930916866317599</v>
      </c>
      <c r="BZ124" s="8">
        <f t="shared" si="733"/>
        <v>0.29883820083972312</v>
      </c>
      <c r="CA124" s="8">
        <f t="shared" si="734"/>
        <v>0.26487054910191299</v>
      </c>
      <c r="CB124" s="8">
        <f t="shared" si="735"/>
        <v>0.20991170777311816</v>
      </c>
      <c r="CC124" s="8">
        <f t="shared" si="736"/>
        <v>0.12299626212575521</v>
      </c>
      <c r="CD124" s="8">
        <f t="shared" si="737"/>
        <v>1.163532232057511E-2</v>
      </c>
      <c r="CE124" s="8">
        <f t="shared" si="738"/>
        <v>0.21626880644653781</v>
      </c>
      <c r="CF124" s="8">
        <f t="shared" si="739"/>
        <v>0.52195902605653099</v>
      </c>
      <c r="CG124" s="8">
        <f t="shared" si="740"/>
        <v>0.97140748635431862</v>
      </c>
      <c r="CH124" s="8">
        <f t="shared" si="741"/>
        <v>1.6226271848050016</v>
      </c>
      <c r="CI124" s="8">
        <f t="shared" si="742"/>
        <v>2.5535853334190635</v>
      </c>
      <c r="CJ124" s="8">
        <f t="shared" si="743"/>
        <v>3.8680682021872337</v>
      </c>
      <c r="CK124" s="8">
        <f t="shared" si="744"/>
        <v>5.7030905960336815</v>
      </c>
      <c r="CL124" s="8">
        <f t="shared" si="745"/>
        <v>8.2382910234602296</v>
      </c>
      <c r="CM124" s="8">
        <f t="shared" si="746"/>
        <v>11.70793811179626</v>
      </c>
      <c r="CN124" s="8">
        <f t="shared" si="747"/>
        <v>16.416467105520372</v>
      </c>
      <c r="CO124" s="8">
        <f t="shared" si="748"/>
        <v>22.758939689354378</v>
      </c>
      <c r="CP124" s="8">
        <f t="shared" si="749"/>
        <v>31.248600554398603</v>
      </c>
      <c r="CQ124" s="8">
        <f t="shared" si="750"/>
        <v>42.555010760684773</v>
      </c>
      <c r="CR124" s="8">
        <f t="shared" si="751"/>
        <v>57.558475135639469</v>
      </c>
      <c r="CS124" s="8">
        <f t="shared" si="752"/>
        <v>77.430418409231024</v>
      </c>
      <c r="CT124" s="8">
        <f t="shared" si="753"/>
        <v>103.75653614949934</v>
      </c>
      <c r="CU124" s="8">
        <f t="shared" si="754"/>
        <v>138.73316662330029</v>
      </c>
      <c r="CV124" s="8">
        <f t="shared" si="755"/>
        <v>185.49453836804904</v>
      </c>
      <c r="CW124" s="8">
        <f t="shared" si="756"/>
        <v>248.68630271251885</v>
      </c>
      <c r="CX124" s="8">
        <f t="shared" si="757"/>
        <v>335.53267133684034</v>
      </c>
      <c r="CY124" s="8">
        <f t="shared" si="758"/>
        <v>457.97412448274855</v>
      </c>
      <c r="CZ124" s="8">
        <f t="shared" si="759"/>
        <v>637.37551015055863</v>
      </c>
      <c r="DA124" s="8">
        <f t="shared" si="760"/>
        <v>916.30347995381294</v>
      </c>
      <c r="DB124" s="8">
        <f t="shared" si="761"/>
        <v>1393.8685918189828</v>
      </c>
      <c r="DC124" s="8">
        <f t="shared" si="762"/>
        <v>2367.1075088126258</v>
      </c>
      <c r="DD124" s="8">
        <f t="shared" si="763"/>
        <v>5320.6820005063801</v>
      </c>
      <c r="DE124" s="8">
        <f t="shared" si="764"/>
        <v>8.8927667158863632E+16</v>
      </c>
      <c r="DF124" s="8"/>
      <c r="DG124" s="8">
        <f>0.000175</f>
        <v>1.75E-4</v>
      </c>
      <c r="DH124" s="8">
        <f t="shared" si="765"/>
        <v>3.5E-4</v>
      </c>
      <c r="DI124" s="8">
        <f t="shared" si="766"/>
        <v>0.21875</v>
      </c>
      <c r="DJ124" s="8">
        <f t="shared" si="767"/>
        <v>4.2253521126760563E-2</v>
      </c>
      <c r="DK124" s="8">
        <f t="shared" si="768"/>
        <v>-0.17649647887323944</v>
      </c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</row>
    <row r="125" spans="7:169" x14ac:dyDescent="0.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</row>
    <row r="126" spans="7:169" x14ac:dyDescent="0.25">
      <c r="G126" s="10" t="s">
        <v>139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</row>
    <row r="127" spans="7:169" x14ac:dyDescent="0.25">
      <c r="G127" s="8">
        <f>ABS(($A$99*2/($G2*$F$3))*$B$98*$F$98*(1-(B$103^$F$98)/(($F$3/2)^$E$98)))</f>
        <v>0.11848404255319149</v>
      </c>
      <c r="H127" s="8">
        <f t="shared" ref="H127:BE127" si="769">ABS(($A$99*2/($G2*$F$3))*$B$98*$F$98*(1-(C$103^$F$98)/(($F$3/2)^$E$98)))</f>
        <v>0.1184840425531911</v>
      </c>
      <c r="I127" s="8">
        <f t="shared" si="769"/>
        <v>0.11848404255255468</v>
      </c>
      <c r="J127" s="8">
        <f t="shared" si="769"/>
        <v>0.11848404250562196</v>
      </c>
      <c r="K127" s="8">
        <f t="shared" si="769"/>
        <v>0.11848404153819533</v>
      </c>
      <c r="L127" s="8">
        <f t="shared" si="769"/>
        <v>0.11848403165330482</v>
      </c>
      <c r="M127" s="8">
        <f t="shared" si="769"/>
        <v>0.11848396673460844</v>
      </c>
      <c r="N127" s="8">
        <f t="shared" si="769"/>
        <v>0.11848365173429559</v>
      </c>
      <c r="O127" s="8">
        <f t="shared" si="769"/>
        <v>0.11848242480411854</v>
      </c>
      <c r="P127" s="8">
        <f t="shared" si="769"/>
        <v>0.1184783790267776</v>
      </c>
      <c r="Q127" s="8">
        <f t="shared" si="769"/>
        <v>0.11846666979620037</v>
      </c>
      <c r="R127" s="8">
        <f t="shared" si="769"/>
        <v>0.11843615568232953</v>
      </c>
      <c r="S127" s="8">
        <f t="shared" si="769"/>
        <v>0.11836319929502492</v>
      </c>
      <c r="T127" s="8">
        <f t="shared" si="769"/>
        <v>0.11820088244654259</v>
      </c>
      <c r="U127" s="8">
        <f t="shared" si="769"/>
        <v>0.11786113683757782</v>
      </c>
      <c r="V127" s="8">
        <f t="shared" si="769"/>
        <v>0.11718632550099818</v>
      </c>
      <c r="W127" s="8">
        <f t="shared" si="769"/>
        <v>0.11590559725655181</v>
      </c>
      <c r="X127" s="8">
        <f t="shared" si="769"/>
        <v>0.11356984043484482</v>
      </c>
      <c r="Y127" s="8">
        <f t="shared" si="769"/>
        <v>0.10945724520344098</v>
      </c>
      <c r="Z127" s="8">
        <f t="shared" si="769"/>
        <v>0.10243930621596238</v>
      </c>
      <c r="AA127" s="8">
        <f t="shared" si="769"/>
        <v>9.0794517457922899E-2</v>
      </c>
      <c r="AB127" s="8">
        <f t="shared" si="769"/>
        <v>7.1953985782496066E-2</v>
      </c>
      <c r="AC127" s="8">
        <f t="shared" si="769"/>
        <v>4.2159673706979574E-2</v>
      </c>
      <c r="AD127" s="8">
        <f t="shared" si="769"/>
        <v>3.9880711061498963E-3</v>
      </c>
      <c r="AE127" s="8">
        <f t="shared" si="769"/>
        <v>7.4121680954387245E-2</v>
      </c>
      <c r="AF127" s="8">
        <f t="shared" si="769"/>
        <v>0.17886948323255503</v>
      </c>
      <c r="AG127" s="8">
        <f t="shared" si="769"/>
        <v>0.33282998221781918</v>
      </c>
      <c r="AH127" s="8">
        <f t="shared" si="769"/>
        <v>0.55580322534844051</v>
      </c>
      <c r="AI127" s="8">
        <f t="shared" si="769"/>
        <v>0.87433266772957652</v>
      </c>
      <c r="AJ127" s="8">
        <f t="shared" si="769"/>
        <v>1.32361929524293</v>
      </c>
      <c r="AK127" s="8">
        <f t="shared" si="769"/>
        <v>1.9498790216179993</v>
      </c>
      <c r="AL127" s="8">
        <f t="shared" si="769"/>
        <v>2.8132245971826033</v>
      </c>
      <c r="AM127" s="8">
        <f t="shared" si="769"/>
        <v>3.9911645172323245</v>
      </c>
      <c r="AN127" s="8">
        <f t="shared" si="769"/>
        <v>5.5828237579429159</v>
      </c>
      <c r="AO127" s="8">
        <f t="shared" si="769"/>
        <v>7.7140046608054487</v>
      </c>
      <c r="AP127" s="8">
        <f t="shared" si="769"/>
        <v>10.5432209973805</v>
      </c>
      <c r="AQ127" s="8">
        <f t="shared" si="769"/>
        <v>14.268854240800854</v>
      </c>
      <c r="AR127" s="8">
        <f t="shared" si="769"/>
        <v>19.137598416323915</v>
      </c>
      <c r="AS127" s="8">
        <f t="shared" si="769"/>
        <v>25.45437866908415</v>
      </c>
      <c r="AT127" s="8">
        <f t="shared" si="769"/>
        <v>33.593948943100806</v>
      </c>
      <c r="AU127" s="8">
        <f t="shared" si="769"/>
        <v>44.014395982947285</v>
      </c>
      <c r="AV127" s="8">
        <f t="shared" si="769"/>
        <v>57.272800320931346</v>
      </c>
      <c r="AW127" s="8">
        <f t="shared" si="769"/>
        <v>74.043330072191111</v>
      </c>
      <c r="AX127" s="8">
        <f t="shared" si="769"/>
        <v>95.138070302918422</v>
      </c>
      <c r="AY127" s="8">
        <f t="shared" si="769"/>
        <v>121.53091953958285</v>
      </c>
      <c r="AZ127" s="8">
        <f t="shared" si="769"/>
        <v>154.38491572715668</v>
      </c>
      <c r="BA127" s="8">
        <f t="shared" si="769"/>
        <v>195.08338670101205</v>
      </c>
      <c r="BB127" s="8">
        <f t="shared" si="769"/>
        <v>245.26535509047687</v>
      </c>
      <c r="BC127" s="8">
        <f t="shared" si="769"/>
        <v>306.86566460350929</v>
      </c>
      <c r="BD127" s="8">
        <f t="shared" si="769"/>
        <v>382.1603339340395</v>
      </c>
      <c r="BE127" s="8">
        <f t="shared" si="769"/>
        <v>473.81768617022789</v>
      </c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</row>
    <row r="128" spans="7:169" x14ac:dyDescent="0.25">
      <c r="G128" s="8">
        <f t="shared" ref="G128:G129" si="770">ABS(($A$99*2/($G3*$F$3))*$B$98*$F$98*(1-(B$103^$F$98)/(($F$3/2)^$E$98)))</f>
        <v>5.2659574468085099E-2</v>
      </c>
      <c r="H128" s="8">
        <f t="shared" ref="H128:H129" si="771">ABS(($A$99*2/($G3*$F$3))*$B$98*$F$98*(1-(C$103^$F$98)/(($F$3/2)^$E$98)))</f>
        <v>5.2659574468084926E-2</v>
      </c>
      <c r="I128" s="8">
        <f t="shared" ref="I128:I129" si="772">ABS(($A$99*2/($G3*$F$3))*$B$98*$F$98*(1-(D$103^$F$98)/(($F$3/2)^$E$98)))</f>
        <v>5.2659574467802069E-2</v>
      </c>
      <c r="J128" s="8">
        <f t="shared" ref="J128:J129" si="773">ABS(($A$99*2/($G3*$F$3))*$B$98*$F$98*(1-(E$103^$F$98)/(($F$3/2)^$E$98)))</f>
        <v>5.265957444694308E-2</v>
      </c>
      <c r="K128" s="8">
        <f t="shared" ref="K128:K129" si="774">ABS(($A$99*2/($G3*$F$3))*$B$98*$F$98*(1-(F$103^$F$98)/(($F$3/2)^$E$98)))</f>
        <v>5.2659574016975699E-2</v>
      </c>
      <c r="L128" s="8">
        <f t="shared" ref="L128:L129" si="775">ABS(($A$99*2/($G3*$F$3))*$B$98*$F$98*(1-(G$103^$F$98)/(($F$3/2)^$E$98)))</f>
        <v>5.2659569623691019E-2</v>
      </c>
      <c r="M128" s="8">
        <f t="shared" ref="M128:M129" si="776">ABS(($A$99*2/($G3*$F$3))*$B$98*$F$98*(1-(H$103^$F$98)/(($F$3/2)^$E$98)))</f>
        <v>5.2659540770937076E-2</v>
      </c>
      <c r="N128" s="8">
        <f t="shared" ref="N128:N129" si="777">ABS(($A$99*2/($G3*$F$3))*$B$98*$F$98*(1-(I$103^$F$98)/(($F$3/2)^$E$98)))</f>
        <v>5.2659400770798032E-2</v>
      </c>
      <c r="O128" s="8">
        <f t="shared" ref="O128:O129" si="778">ABS(($A$99*2/($G3*$F$3))*$B$98*$F$98*(1-(J$103^$F$98)/(($F$3/2)^$E$98)))</f>
        <v>5.2658855468497121E-2</v>
      </c>
      <c r="P128" s="8">
        <f t="shared" ref="P128:P129" si="779">ABS(($A$99*2/($G3*$F$3))*$B$98*$F$98*(1-(K$103^$F$98)/(($F$3/2)^$E$98)))</f>
        <v>5.265705734523448E-2</v>
      </c>
      <c r="Q128" s="8">
        <f t="shared" ref="Q128:Q129" si="780">ABS(($A$99*2/($G3*$F$3))*$B$98*$F$98*(1-(L$103^$F$98)/(($F$3/2)^$E$98)))</f>
        <v>5.265185324275571E-2</v>
      </c>
      <c r="R128" s="8">
        <f t="shared" ref="R128:R129" si="781">ABS(($A$99*2/($G3*$F$3))*$B$98*$F$98*(1-(M$103^$F$98)/(($F$3/2)^$E$98)))</f>
        <v>5.2638291414368668E-2</v>
      </c>
      <c r="S128" s="8">
        <f t="shared" ref="S128:S129" si="782">ABS(($A$99*2/($G3*$F$3))*$B$98*$F$98*(1-(N$103^$F$98)/(($F$3/2)^$E$98)))</f>
        <v>5.2605866353344403E-2</v>
      </c>
      <c r="T128" s="8">
        <f t="shared" ref="T128:T129" si="783">ABS(($A$99*2/($G3*$F$3))*$B$98*$F$98*(1-(O$103^$F$98)/(($F$3/2)^$E$98)))</f>
        <v>5.25337255317967E-2</v>
      </c>
      <c r="U128" s="8">
        <f t="shared" ref="U128:U129" si="784">ABS(($A$99*2/($G3*$F$3))*$B$98*$F$98*(1-(P$103^$F$98)/(($F$3/2)^$E$98)))</f>
        <v>5.2382727483367912E-2</v>
      </c>
      <c r="V128" s="8">
        <f t="shared" ref="V128:V129" si="785">ABS(($A$99*2/($G3*$F$3))*$B$98*$F$98*(1-(Q$103^$F$98)/(($F$3/2)^$E$98)))</f>
        <v>5.2082811333776957E-2</v>
      </c>
      <c r="W128" s="8">
        <f t="shared" ref="W128:W129" si="786">ABS(($A$99*2/($G3*$F$3))*$B$98*$F$98*(1-(R$103^$F$98)/(($F$3/2)^$E$98)))</f>
        <v>5.151359878068968E-2</v>
      </c>
      <c r="X128" s="8">
        <f t="shared" ref="X128:X129" si="787">ABS(($A$99*2/($G3*$F$3))*$B$98*$F$98*(1-(S$103^$F$98)/(($F$3/2)^$E$98)))</f>
        <v>5.0475484637708803E-2</v>
      </c>
      <c r="Y128" s="8">
        <f t="shared" ref="Y128:Y129" si="788">ABS(($A$99*2/($G3*$F$3))*$B$98*$F$98*(1-(T$103^$F$98)/(($F$3/2)^$E$98)))</f>
        <v>4.8647664534862654E-2</v>
      </c>
      <c r="Z128" s="8">
        <f t="shared" ref="Z128:Z129" si="789">ABS(($A$99*2/($G3*$F$3))*$B$98*$F$98*(1-(U$103^$F$98)/(($F$3/2)^$E$98)))</f>
        <v>4.5528580540427716E-2</v>
      </c>
      <c r="AA128" s="8">
        <f t="shared" ref="AA128:AA129" si="790">ABS(($A$99*2/($G3*$F$3))*$B$98*$F$98*(1-(V$103^$F$98)/(($F$3/2)^$E$98)))</f>
        <v>4.035311887018795E-2</v>
      </c>
      <c r="AB128" s="8">
        <f t="shared" ref="AB128:AB129" si="791">ABS(($A$99*2/($G3*$F$3))*$B$98*$F$98*(1-(W$103^$F$98)/(($F$3/2)^$E$98)))</f>
        <v>3.1979549236664913E-2</v>
      </c>
      <c r="AC128" s="8">
        <f t="shared" ref="AC128:AC129" si="792">ABS(($A$99*2/($G3*$F$3))*$B$98*$F$98*(1-(X$103^$F$98)/(($F$3/2)^$E$98)))</f>
        <v>1.8737632758657585E-2</v>
      </c>
      <c r="AD128" s="8">
        <f t="shared" ref="AD128:AD129" si="793">ABS(($A$99*2/($G3*$F$3))*$B$98*$F$98*(1-(Y$103^$F$98)/(($F$3/2)^$E$98)))</f>
        <v>1.7724760471777316E-3</v>
      </c>
      <c r="AE128" s="8">
        <f t="shared" ref="AE128:AE129" si="794">ABS(($A$99*2/($G3*$F$3))*$B$98*$F$98*(1-(Z$103^$F$98)/(($F$3/2)^$E$98)))</f>
        <v>3.2942969313060996E-2</v>
      </c>
      <c r="AF128" s="8">
        <f t="shared" ref="AF128:AF129" si="795">ABS(($A$99*2/($G3*$F$3))*$B$98*$F$98*(1-(AA$103^$F$98)/(($F$3/2)^$E$98)))</f>
        <v>7.9497548103357782E-2</v>
      </c>
      <c r="AG128" s="8">
        <f t="shared" ref="AG128:AG129" si="796">ABS(($A$99*2/($G3*$F$3))*$B$98*$F$98*(1-(AB$103^$F$98)/(($F$3/2)^$E$98)))</f>
        <v>0.14792443654125295</v>
      </c>
      <c r="AH128" s="8">
        <f t="shared" ref="AH128:AH129" si="797">ABS(($A$99*2/($G3*$F$3))*$B$98*$F$98*(1-(AC$103^$F$98)/(($F$3/2)^$E$98)))</f>
        <v>0.24702365571041798</v>
      </c>
      <c r="AI128" s="8">
        <f t="shared" ref="AI128:AI129" si="798">ABS(($A$99*2/($G3*$F$3))*$B$98*$F$98*(1-(AD$103^$F$98)/(($F$3/2)^$E$98)))</f>
        <v>0.38859229676870061</v>
      </c>
      <c r="AJ128" s="8">
        <f t="shared" ref="AJ128:AJ129" si="799">ABS(($A$99*2/($G3*$F$3))*$B$98*$F$98*(1-(AE$103^$F$98)/(($F$3/2)^$E$98)))</f>
        <v>0.58827524233019102</v>
      </c>
      <c r="AK128" s="8">
        <f t="shared" ref="AK128:AK129" si="800">ABS(($A$99*2/($G3*$F$3))*$B$98*$F$98*(1-(AF$103^$F$98)/(($F$3/2)^$E$98)))</f>
        <v>0.86661289849688838</v>
      </c>
      <c r="AL128" s="8">
        <f t="shared" ref="AL128:AL129" si="801">ABS(($A$99*2/($G3*$F$3))*$B$98*$F$98*(1-(AG$103^$F$98)/(($F$3/2)^$E$98)))</f>
        <v>1.2503220431922679</v>
      </c>
      <c r="AM128" s="8">
        <f t="shared" ref="AM128:AM129" si="802">ABS(($A$99*2/($G3*$F$3))*$B$98*$F$98*(1-(AH$103^$F$98)/(($F$3/2)^$E$98)))</f>
        <v>1.7738508965476996</v>
      </c>
      <c r="AN128" s="8">
        <f t="shared" ref="AN128:AN129" si="803">ABS(($A$99*2/($G3*$F$3))*$B$98*$F$98*(1-(AI$103^$F$98)/(($F$3/2)^$E$98)))</f>
        <v>2.4812550035301841</v>
      </c>
      <c r="AO128" s="8">
        <f t="shared" ref="AO128:AO129" si="804">ABS(($A$99*2/($G3*$F$3))*$B$98*$F$98*(1-(AJ$103^$F$98)/(($F$3/2)^$E$98)))</f>
        <v>3.428446515913532</v>
      </c>
      <c r="AP128" s="8">
        <f t="shared" ref="AP128:AP129" si="805">ABS(($A$99*2/($G3*$F$3))*$B$98*$F$98*(1-(AK$103^$F$98)/(($F$3/2)^$E$98)))</f>
        <v>4.685875998835777</v>
      </c>
      <c r="AQ128" s="8">
        <f t="shared" ref="AQ128:AQ129" si="806">ABS(($A$99*2/($G3*$F$3))*$B$98*$F$98*(1-(AL$103^$F$98)/(($F$3/2)^$E$98)))</f>
        <v>6.3417129959114904</v>
      </c>
      <c r="AR128" s="8">
        <f t="shared" ref="AR128:AR129" si="807">ABS(($A$99*2/($G3*$F$3))*$B$98*$F$98*(1-(AM$103^$F$98)/(($F$3/2)^$E$98)))</f>
        <v>8.505599296143961</v>
      </c>
      <c r="AS128" s="8">
        <f t="shared" ref="AS128:AS129" si="808">ABS(($A$99*2/($G3*$F$3))*$B$98*$F$98*(1-(AN$103^$F$98)/(($F$3/2)^$E$98)))</f>
        <v>11.31305718625962</v>
      </c>
      <c r="AT128" s="8">
        <f t="shared" ref="AT128:AT129" si="809">ABS(($A$99*2/($G3*$F$3))*$B$98*$F$98*(1-(AO$103^$F$98)/(($F$3/2)^$E$98)))</f>
        <v>14.930643974711467</v>
      </c>
      <c r="AU128" s="8">
        <f t="shared" ref="AU128:AU129" si="810">ABS(($A$99*2/($G3*$F$3))*$B$98*$F$98*(1-(AP$103^$F$98)/(($F$3/2)^$E$98)))</f>
        <v>19.561953770198791</v>
      </c>
      <c r="AV128" s="8">
        <f t="shared" ref="AV128:AV129" si="811">ABS(($A$99*2/($G3*$F$3))*$B$98*$F$98*(1-(AQ$103^$F$98)/(($F$3/2)^$E$98)))</f>
        <v>25.454577920413929</v>
      </c>
      <c r="AW128" s="8">
        <f t="shared" ref="AW128:AW129" si="812">ABS(($A$99*2/($G3*$F$3))*$B$98*$F$98*(1-(AR$103^$F$98)/(($F$3/2)^$E$98)))</f>
        <v>32.908146698751601</v>
      </c>
      <c r="AX128" s="8">
        <f t="shared" ref="AX128:AX129" si="813">ABS(($A$99*2/($G3*$F$3))*$B$98*$F$98*(1-(AS$103^$F$98)/(($F$3/2)^$E$98)))</f>
        <v>42.283586801297069</v>
      </c>
      <c r="AY128" s="8">
        <f t="shared" ref="AY128:AY129" si="814">ABS(($A$99*2/($G3*$F$3))*$B$98*$F$98*(1-(AT$103^$F$98)/(($F$3/2)^$E$98)))</f>
        <v>54.013742017592371</v>
      </c>
      <c r="AZ128" s="8">
        <f t="shared" ref="AZ128:AZ129" si="815">ABS(($A$99*2/($G3*$F$3))*$B$98*$F$98*(1-(AU$103^$F$98)/(($F$3/2)^$E$98)))</f>
        <v>68.615518100958511</v>
      </c>
      <c r="BA128" s="8">
        <f t="shared" ref="BA128:BA129" si="816">ABS(($A$99*2/($G3*$F$3))*$B$98*$F$98*(1-(AV$103^$F$98)/(($F$3/2)^$E$98)))</f>
        <v>86.703727422672017</v>
      </c>
      <c r="BB128" s="8">
        <f t="shared" ref="BB128:BB129" si="817">ABS(($A$99*2/($G3*$F$3))*$B$98*$F$98*(1-(AW$103^$F$98)/(($F$3/2)^$E$98)))</f>
        <v>109.00682448465636</v>
      </c>
      <c r="BC128" s="8">
        <f t="shared" ref="BC128:BC129" si="818">ABS(($A$99*2/($G3*$F$3))*$B$98*$F$98*(1-(AX$103^$F$98)/(($F$3/2)^$E$98)))</f>
        <v>136.3847398237819</v>
      </c>
      <c r="BD128" s="8">
        <f t="shared" ref="BD128:BD129" si="819">ABS(($A$99*2/($G3*$F$3))*$B$98*$F$98*(1-(AY$103^$F$98)/(($F$3/2)^$E$98)))</f>
        <v>169.84903730401751</v>
      </c>
      <c r="BE128" s="8">
        <f t="shared" ref="BE128:BE129" si="820">ABS(($A$99*2/($G3*$F$3))*$B$98*$F$98*(1-(AZ$103^$F$98)/(($F$3/2)^$E$98)))</f>
        <v>210.58563829787903</v>
      </c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</row>
    <row r="129" spans="7:221" x14ac:dyDescent="0.25">
      <c r="G129" s="8">
        <f t="shared" si="770"/>
        <v>3.3852583586626135E-2</v>
      </c>
      <c r="H129" s="8">
        <f t="shared" si="771"/>
        <v>3.3852583586626024E-2</v>
      </c>
      <c r="I129" s="8">
        <f t="shared" si="772"/>
        <v>3.385258358644419E-2</v>
      </c>
      <c r="J129" s="8">
        <f t="shared" si="773"/>
        <v>3.385258357303484E-2</v>
      </c>
      <c r="K129" s="8">
        <f t="shared" si="774"/>
        <v>3.3852583296627235E-2</v>
      </c>
      <c r="L129" s="8">
        <f t="shared" si="775"/>
        <v>3.3852580472372801E-2</v>
      </c>
      <c r="M129" s="8">
        <f t="shared" si="776"/>
        <v>3.3852561924173838E-2</v>
      </c>
      <c r="N129" s="8">
        <f t="shared" si="777"/>
        <v>3.385247192408445E-2</v>
      </c>
      <c r="O129" s="8">
        <f t="shared" si="778"/>
        <v>3.3852121372605293E-2</v>
      </c>
      <c r="P129" s="8">
        <f t="shared" si="779"/>
        <v>3.3850965436222166E-2</v>
      </c>
      <c r="Q129" s="8">
        <f t="shared" si="780"/>
        <v>3.3847619941771524E-2</v>
      </c>
      <c r="R129" s="8">
        <f t="shared" si="781"/>
        <v>3.3838901623522717E-2</v>
      </c>
      <c r="S129" s="8">
        <f t="shared" si="782"/>
        <v>3.3818056941435685E-2</v>
      </c>
      <c r="T129" s="8">
        <f t="shared" si="783"/>
        <v>3.3771680699012166E-2</v>
      </c>
      <c r="U129" s="8">
        <f t="shared" si="784"/>
        <v>3.3674610525022228E-2</v>
      </c>
      <c r="V129" s="8">
        <f t="shared" si="785"/>
        <v>3.3481807285999476E-2</v>
      </c>
      <c r="W129" s="8">
        <f t="shared" si="786"/>
        <v>3.3115884930443366E-2</v>
      </c>
      <c r="X129" s="8">
        <f t="shared" si="787"/>
        <v>3.2448525838527087E-2</v>
      </c>
      <c r="Y129" s="8">
        <f t="shared" si="788"/>
        <v>3.1273498629554565E-2</v>
      </c>
      <c r="Z129" s="8">
        <f t="shared" si="789"/>
        <v>2.9268373204560674E-2</v>
      </c>
      <c r="AA129" s="8">
        <f t="shared" si="790"/>
        <v>2.5941290702263683E-2</v>
      </c>
      <c r="AB129" s="8">
        <f t="shared" si="791"/>
        <v>2.0558281652141731E-2</v>
      </c>
      <c r="AC129" s="8">
        <f t="shared" si="792"/>
        <v>1.2045621059137019E-2</v>
      </c>
      <c r="AD129" s="8">
        <f t="shared" si="793"/>
        <v>1.1394488874713988E-3</v>
      </c>
      <c r="AE129" s="8">
        <f t="shared" si="794"/>
        <v>2.1177623129824925E-2</v>
      </c>
      <c r="AF129" s="8">
        <f t="shared" si="795"/>
        <v>5.1105566637872857E-2</v>
      </c>
      <c r="AG129" s="8">
        <f t="shared" si="796"/>
        <v>9.5094280633662612E-2</v>
      </c>
      <c r="AH129" s="8">
        <f t="shared" si="797"/>
        <v>0.15880092152812586</v>
      </c>
      <c r="AI129" s="8">
        <f t="shared" si="798"/>
        <v>0.24980933363702182</v>
      </c>
      <c r="AJ129" s="8">
        <f t="shared" si="799"/>
        <v>0.37817694149797992</v>
      </c>
      <c r="AK129" s="8">
        <f t="shared" si="800"/>
        <v>0.55710829189085687</v>
      </c>
      <c r="AL129" s="8">
        <f t="shared" si="801"/>
        <v>0.80377845633788647</v>
      </c>
      <c r="AM129" s="8">
        <f t="shared" si="802"/>
        <v>1.1403327192092354</v>
      </c>
      <c r="AN129" s="8">
        <f t="shared" si="803"/>
        <v>1.5950925022694042</v>
      </c>
      <c r="AO129" s="8">
        <f t="shared" si="804"/>
        <v>2.204001331658699</v>
      </c>
      <c r="AP129" s="8">
        <f t="shared" si="805"/>
        <v>3.0123488563944281</v>
      </c>
      <c r="AQ129" s="8">
        <f t="shared" si="806"/>
        <v>4.0768154973716726</v>
      </c>
      <c r="AR129" s="8">
        <f t="shared" si="807"/>
        <v>5.4678852618068321</v>
      </c>
      <c r="AS129" s="8">
        <f t="shared" si="808"/>
        <v>7.2726796197383274</v>
      </c>
      <c r="AT129" s="8">
        <f t="shared" si="809"/>
        <v>9.5982711266002294</v>
      </c>
      <c r="AU129" s="8">
        <f t="shared" si="810"/>
        <v>12.575541709413509</v>
      </c>
      <c r="AV129" s="8">
        <f t="shared" si="811"/>
        <v>16.363657234551809</v>
      </c>
      <c r="AW129" s="8">
        <f t="shared" si="812"/>
        <v>21.155237163483172</v>
      </c>
      <c r="AX129" s="8">
        <f t="shared" si="813"/>
        <v>27.182305800833831</v>
      </c>
      <c r="AY129" s="8">
        <f t="shared" si="814"/>
        <v>34.723119868452237</v>
      </c>
      <c r="AZ129" s="8">
        <f t="shared" si="815"/>
        <v>44.109975922044761</v>
      </c>
      <c r="BA129" s="8">
        <f t="shared" si="816"/>
        <v>55.738110486003436</v>
      </c>
      <c r="BB129" s="8">
        <f t="shared" si="817"/>
        <v>70.075815740136235</v>
      </c>
      <c r="BC129" s="8">
        <f t="shared" si="818"/>
        <v>87.675904172431217</v>
      </c>
      <c r="BD129" s="8">
        <f t="shared" si="819"/>
        <v>109.18866683829698</v>
      </c>
      <c r="BE129" s="8">
        <f t="shared" si="820"/>
        <v>135.37648176292225</v>
      </c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</row>
    <row r="130" spans="7:221" x14ac:dyDescent="0.25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</row>
    <row r="131" spans="7:221" x14ac:dyDescent="0.25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</row>
    <row r="132" spans="7:221" x14ac:dyDescent="0.25">
      <c r="G132" s="10" t="s">
        <v>154</v>
      </c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</row>
    <row r="133" spans="7:221" x14ac:dyDescent="0.25">
      <c r="G133" s="10" t="s">
        <v>144</v>
      </c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</row>
    <row r="134" spans="7:221" x14ac:dyDescent="0.25">
      <c r="G134" s="10" t="s">
        <v>140</v>
      </c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 t="s">
        <v>181</v>
      </c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HC134" s="8" t="s">
        <v>164</v>
      </c>
      <c r="HD134" s="8" t="s">
        <v>160</v>
      </c>
      <c r="HE134" s="8" t="s">
        <v>165</v>
      </c>
      <c r="HF134" s="8" t="s">
        <v>163</v>
      </c>
      <c r="HG134" s="8" t="s">
        <v>72</v>
      </c>
    </row>
    <row r="135" spans="7:221" x14ac:dyDescent="0.25">
      <c r="G135" s="8">
        <f>ABS(SQRT(2)*($A$99*2*$D$98/($F$4*$G2^2))*(1-(B$103*2/($F$4))^$E$98))</f>
        <v>0.59989349295133831</v>
      </c>
      <c r="H135" s="8">
        <f t="shared" ref="H135:BS135" si="821">ABS(SQRT(2)*($A$99*2*$D$98/($F$4*$G2^2))*(1-(C$103*2/($F$4))^$E$98))</f>
        <v>0.59989349295133831</v>
      </c>
      <c r="I135" s="8">
        <f t="shared" si="821"/>
        <v>0.59989349295133831</v>
      </c>
      <c r="J135" s="8">
        <f t="shared" si="821"/>
        <v>0.59989349295133831</v>
      </c>
      <c r="K135" s="8">
        <f t="shared" si="821"/>
        <v>0.59989349295133831</v>
      </c>
      <c r="L135" s="8">
        <f t="shared" si="821"/>
        <v>0.59989349295133787</v>
      </c>
      <c r="M135" s="8">
        <f t="shared" si="821"/>
        <v>0.59989349295133476</v>
      </c>
      <c r="N135" s="8">
        <f t="shared" si="821"/>
        <v>0.59989349295131655</v>
      </c>
      <c r="O135" s="8">
        <f t="shared" si="821"/>
        <v>0.59989349295123551</v>
      </c>
      <c r="P135" s="8">
        <f t="shared" si="821"/>
        <v>0.59989349295093353</v>
      </c>
      <c r="Q135" s="8">
        <f t="shared" si="821"/>
        <v>0.59989349294995864</v>
      </c>
      <c r="R135" s="8">
        <f t="shared" si="821"/>
        <v>0.59989349294715499</v>
      </c>
      <c r="S135" s="8">
        <f t="shared" si="821"/>
        <v>0.59989349293982208</v>
      </c>
      <c r="T135" s="8">
        <f t="shared" si="821"/>
        <v>0.5998934929221047</v>
      </c>
      <c r="U135" s="8">
        <f t="shared" si="821"/>
        <v>0.59989349288208227</v>
      </c>
      <c r="V135" s="8">
        <f t="shared" si="821"/>
        <v>0.59989349279674919</v>
      </c>
      <c r="W135" s="8">
        <f t="shared" si="821"/>
        <v>0.59989349262370695</v>
      </c>
      <c r="X135" s="8">
        <f t="shared" si="821"/>
        <v>0.59989349228788635</v>
      </c>
      <c r="Y135" s="8">
        <f t="shared" si="821"/>
        <v>0.59989349166096984</v>
      </c>
      <c r="Z135" s="8">
        <f t="shared" si="821"/>
        <v>0.59989349053034424</v>
      </c>
      <c r="AA135" s="8">
        <f t="shared" si="821"/>
        <v>0.59989348855336044</v>
      </c>
      <c r="AB135" s="8">
        <f t="shared" si="821"/>
        <v>0.59989348519136176</v>
      </c>
      <c r="AC135" s="8">
        <f t="shared" si="821"/>
        <v>0.59989347961632555</v>
      </c>
      <c r="AD135" s="8">
        <f t="shared" si="821"/>
        <v>0.5998934705809984</v>
      </c>
      <c r="AE135" s="8">
        <f t="shared" si="821"/>
        <v>0.59989345624103574</v>
      </c>
      <c r="AF135" s="8">
        <f t="shared" si="821"/>
        <v>0.59989343391483385</v>
      </c>
      <c r="AG135" s="8">
        <f t="shared" si="821"/>
        <v>0.59989339976339828</v>
      </c>
      <c r="AH135" s="8">
        <f t="shared" si="821"/>
        <v>0.5998933483686627</v>
      </c>
      <c r="AI135" s="8">
        <f t="shared" si="821"/>
        <v>0.5998932721840905</v>
      </c>
      <c r="AJ135" s="8">
        <f t="shared" si="821"/>
        <v>0.59989316082607336</v>
      </c>
      <c r="AK135" s="8">
        <f t="shared" si="821"/>
        <v>0.59989300016851388</v>
      </c>
      <c r="AL135" s="8">
        <f t="shared" si="821"/>
        <v>0.59989277119595019</v>
      </c>
      <c r="AM135" s="8">
        <f t="shared" si="821"/>
        <v>0.59989244856256019</v>
      </c>
      <c r="AN135" s="8">
        <f t="shared" si="821"/>
        <v>0.59989199879527311</v>
      </c>
      <c r="AO135" s="8">
        <f t="shared" si="821"/>
        <v>0.59989137806891302</v>
      </c>
      <c r="AP135" s="8">
        <f t="shared" si="821"/>
        <v>0.59989052946969246</v>
      </c>
      <c r="AQ135" s="8">
        <f t="shared" si="821"/>
        <v>0.59988937965035016</v>
      </c>
      <c r="AR135" s="8">
        <f t="shared" si="821"/>
        <v>0.59988783476566021</v>
      </c>
      <c r="AS135" s="8">
        <f t="shared" si="821"/>
        <v>0.59988577556080913</v>
      </c>
      <c r="AT135" s="8">
        <f t="shared" si="821"/>
        <v>0.59988305146710086</v>
      </c>
      <c r="AU135" s="8">
        <f t="shared" si="821"/>
        <v>0.5998794735394668</v>
      </c>
      <c r="AV135" s="8">
        <f t="shared" si="821"/>
        <v>0.59987480604819077</v>
      </c>
      <c r="AW135" s="8">
        <f t="shared" si="821"/>
        <v>0.59986875651294036</v>
      </c>
      <c r="AX135" s="8">
        <f t="shared" si="821"/>
        <v>0.59986096394047017</v>
      </c>
      <c r="AY135" s="8">
        <f t="shared" si="821"/>
        <v>0.59985098499806322</v>
      </c>
      <c r="AZ135" s="8">
        <f t="shared" si="821"/>
        <v>0.59983827782272825</v>
      </c>
      <c r="BA135" s="8">
        <f t="shared" si="821"/>
        <v>0.59982218313118074</v>
      </c>
      <c r="BB135" s="8">
        <f t="shared" si="821"/>
        <v>0.59980190225753172</v>
      </c>
      <c r="BC135" s="8">
        <f t="shared" si="821"/>
        <v>0.59977647170417536</v>
      </c>
      <c r="BD135" s="8">
        <f t="shared" si="821"/>
        <v>0.59974473374641113</v>
      </c>
      <c r="BE135" s="8">
        <f t="shared" si="821"/>
        <v>0.59970530258263854</v>
      </c>
      <c r="BF135" s="8">
        <f t="shared" si="821"/>
        <v>0.59965652546930959</v>
      </c>
      <c r="BG135" s="8">
        <f t="shared" si="821"/>
        <v>0.59959643822297592</v>
      </c>
      <c r="BH135" s="8">
        <f t="shared" si="821"/>
        <v>0.5995227144105022</v>
      </c>
      <c r="BI135" s="8">
        <f t="shared" si="821"/>
        <v>0.5994326074825741</v>
      </c>
      <c r="BJ135" s="8">
        <f t="shared" si="821"/>
        <v>0.59932288503477127</v>
      </c>
      <c r="BK135" s="8">
        <f t="shared" si="821"/>
        <v>0.59918975430442778</v>
      </c>
      <c r="BL135" s="8">
        <f t="shared" si="821"/>
        <v>0.59902877793000397</v>
      </c>
      <c r="BM135" s="8">
        <f t="shared" si="821"/>
        <v>0.59883477891246473</v>
      </c>
      <c r="BN135" s="8">
        <f t="shared" si="821"/>
        <v>0.59860173362490621</v>
      </c>
      <c r="BO135" s="8">
        <f t="shared" si="821"/>
        <v>0.59832265161711373</v>
      </c>
      <c r="BP135" s="8">
        <f t="shared" si="821"/>
        <v>0.59798944085554917</v>
      </c>
      <c r="BQ135" s="8">
        <f t="shared" si="821"/>
        <v>0.59759275692615021</v>
      </c>
      <c r="BR135" s="8">
        <f t="shared" si="821"/>
        <v>0.59712183460695945</v>
      </c>
      <c r="BS135" s="8">
        <f t="shared" si="821"/>
        <v>0.59656430008964079</v>
      </c>
      <c r="BT135" s="8">
        <f t="shared" ref="BT135:DB135" si="822">ABS(SQRT(2)*($A$99*2*$D$98/($F$4*$G2^2))*(1-(BO$103*2/($F$4))^$E$98))</f>
        <v>0.59590596199306189</v>
      </c>
      <c r="BU135" s="8">
        <f t="shared" si="822"/>
        <v>0.59513057916795986</v>
      </c>
      <c r="BV135" s="8">
        <f t="shared" si="822"/>
        <v>0.59421960313890998</v>
      </c>
      <c r="BW135" s="8">
        <f t="shared" si="822"/>
        <v>0.5931518928680144</v>
      </c>
      <c r="BX135" s="8">
        <f t="shared" si="822"/>
        <v>0.59190339935353786</v>
      </c>
      <c r="BY135" s="8">
        <f t="shared" si="822"/>
        <v>0.59044681739575466</v>
      </c>
      <c r="BZ135" s="8">
        <f t="shared" si="822"/>
        <v>0.58875120167113615</v>
      </c>
      <c r="CA135" s="8">
        <f t="shared" si="822"/>
        <v>0.58678154405428884</v>
      </c>
      <c r="CB135" s="8">
        <f t="shared" si="822"/>
        <v>0.58449830891433929</v>
      </c>
      <c r="CC135" s="8">
        <f t="shared" si="822"/>
        <v>0.58185692288831614</v>
      </c>
      <c r="CD135" s="8">
        <f t="shared" si="822"/>
        <v>0.57880721539806734</v>
      </c>
      <c r="CE135" s="8">
        <f t="shared" si="822"/>
        <v>0.5752928059289254</v>
      </c>
      <c r="CF135" s="8">
        <f t="shared" si="822"/>
        <v>0.57125043382722607</v>
      </c>
      <c r="CG135" s="8">
        <f t="shared" si="822"/>
        <v>0.56660922609943987</v>
      </c>
      <c r="CH135" s="8">
        <f t="shared" si="822"/>
        <v>0.56128989840759846</v>
      </c>
      <c r="CI135" s="8">
        <f t="shared" si="822"/>
        <v>0.55520388415340383</v>
      </c>
      <c r="CJ135" s="8">
        <f t="shared" si="822"/>
        <v>0.54825238622639616</v>
      </c>
      <c r="CK135" s="8">
        <f t="shared" si="822"/>
        <v>0.54032534565930723</v>
      </c>
      <c r="CL135" s="8">
        <f t="shared" si="822"/>
        <v>0.53130032108572445</v>
      </c>
      <c r="CM135" s="8">
        <f t="shared" si="822"/>
        <v>0.52104127253089516</v>
      </c>
      <c r="CN135" s="8">
        <f t="shared" si="822"/>
        <v>0.50939724268536557</v>
      </c>
      <c r="CO135" s="8">
        <f t="shared" si="822"/>
        <v>0.49620092841262087</v>
      </c>
      <c r="CP135" s="8">
        <f t="shared" si="822"/>
        <v>0.4812671348254004</v>
      </c>
      <c r="CQ135" s="8">
        <f t="shared" si="822"/>
        <v>0.46439110383032306</v>
      </c>
      <c r="CR135" s="8">
        <f t="shared" si="822"/>
        <v>0.44534670858628411</v>
      </c>
      <c r="CS135" s="8">
        <f t="shared" si="822"/>
        <v>0.42388450484817614</v>
      </c>
      <c r="CT135" s="8">
        <f t="shared" si="822"/>
        <v>0.39972962967321518</v>
      </c>
      <c r="CU135" s="8">
        <f t="shared" si="822"/>
        <v>0.37257953745191236</v>
      </c>
      <c r="CV135" s="8">
        <f t="shared" si="822"/>
        <v>0.34210156268885988</v>
      </c>
      <c r="CW135" s="8">
        <f t="shared" si="822"/>
        <v>0.30793029839937147</v>
      </c>
      <c r="CX135" s="8">
        <f t="shared" si="822"/>
        <v>0.26966477840594805</v>
      </c>
      <c r="CY135" s="8">
        <f t="shared" si="822"/>
        <v>0.22686545121286369</v>
      </c>
      <c r="CZ135" s="8">
        <f t="shared" si="822"/>
        <v>0.17905093250721113</v>
      </c>
      <c r="DA135" s="8">
        <f t="shared" si="822"/>
        <v>0.12569452267978051</v>
      </c>
      <c r="DB135" s="8">
        <f t="shared" si="822"/>
        <v>6.6220475078487925E-2</v>
      </c>
      <c r="DC135" s="8">
        <f>ABS(SQRT(2)*($A$99*2*$D$98/($F$4*$G2^2))*(1-(CX$103*2/($F$4))^$E$98))</f>
        <v>1.3986326932145082E-14</v>
      </c>
      <c r="DD135" s="8"/>
      <c r="DE135" s="8">
        <f>G140/G135</f>
        <v>9.8754232164010636E-2</v>
      </c>
      <c r="DF135" s="8">
        <f t="shared" ref="DF135:FQ135" si="823">H140/H135</f>
        <v>9.8754232164010636E-2</v>
      </c>
      <c r="DG135" s="8">
        <f t="shared" si="823"/>
        <v>9.8754232164010483E-2</v>
      </c>
      <c r="DH135" s="8">
        <f t="shared" si="823"/>
        <v>9.8754232163998201E-2</v>
      </c>
      <c r="DI135" s="8">
        <f t="shared" si="823"/>
        <v>9.8754232163745251E-2</v>
      </c>
      <c r="DJ135" s="8">
        <f t="shared" si="823"/>
        <v>9.8754232161160735E-2</v>
      </c>
      <c r="DK135" s="8">
        <f t="shared" si="823"/>
        <v>9.8754232144187062E-2</v>
      </c>
      <c r="DL135" s="8">
        <f t="shared" si="823"/>
        <v>9.8754232061827457E-2</v>
      </c>
      <c r="DM135" s="8">
        <f t="shared" si="823"/>
        <v>9.8754231741037424E-2</v>
      </c>
      <c r="DN135" s="8">
        <f t="shared" si="823"/>
        <v>9.8754230683244473E-2</v>
      </c>
      <c r="DO135" s="8">
        <f t="shared" si="823"/>
        <v>9.8754227621811977E-2</v>
      </c>
      <c r="DP135" s="8">
        <f t="shared" si="823"/>
        <v>9.8754219643799088E-2</v>
      </c>
      <c r="DQ135" s="8">
        <f t="shared" si="823"/>
        <v>9.8754200569221379E-2</v>
      </c>
      <c r="DR135" s="8">
        <f t="shared" si="823"/>
        <v>9.8754158131422506E-2</v>
      </c>
      <c r="DS135" s="8">
        <f t="shared" si="823"/>
        <v>9.875406930529354E-2</v>
      </c>
      <c r="DT135" s="8">
        <f t="shared" si="823"/>
        <v>9.8753892877546892E-2</v>
      </c>
      <c r="DU135" s="8">
        <f t="shared" si="823"/>
        <v>9.8753558036155903E-2</v>
      </c>
      <c r="DV135" s="8">
        <f t="shared" si="823"/>
        <v>9.8752947364999136E-2</v>
      </c>
      <c r="DW135" s="8">
        <f t="shared" si="823"/>
        <v>9.8751872154785994E-2</v>
      </c>
      <c r="DX135" s="8">
        <f t="shared" si="823"/>
        <v>9.8750037372101446E-2</v>
      </c>
      <c r="DY135" s="8">
        <f t="shared" si="823"/>
        <v>9.8746992954031346E-2</v>
      </c>
      <c r="DZ135" s="8">
        <f t="shared" si="823"/>
        <v>9.8742067305001013E-2</v>
      </c>
      <c r="EA135" s="8">
        <f t="shared" si="823"/>
        <v>9.8734277953416119E-2</v>
      </c>
      <c r="EB135" s="8">
        <f t="shared" si="823"/>
        <v>9.8722213266230693E-2</v>
      </c>
      <c r="EC135" s="8">
        <f t="shared" si="823"/>
        <v>9.8703877907051124E-2</v>
      </c>
      <c r="ED135" s="8">
        <f t="shared" si="823"/>
        <v>9.8676493344749497E-2</v>
      </c>
      <c r="EE135" s="8">
        <f t="shared" si="823"/>
        <v>9.8636243161320039E-2</v>
      </c>
      <c r="EF135" s="8">
        <f t="shared" si="823"/>
        <v>9.8577951155949986E-2</v>
      </c>
      <c r="EG135" s="8">
        <f t="shared" si="823"/>
        <v>9.8494678282640233E-2</v>
      </c>
      <c r="EH135" s="8">
        <f t="shared" si="823"/>
        <v>9.8377222276397572E-2</v>
      </c>
      <c r="EI135" s="8">
        <f t="shared" si="823"/>
        <v>9.8213501402745276E-2</v>
      </c>
      <c r="EJ135" s="8">
        <f t="shared" si="823"/>
        <v>9.7987801091248827E-2</v>
      </c>
      <c r="EK135" s="8">
        <f t="shared" si="823"/>
        <v>9.7679859269515293E-2</v>
      </c>
      <c r="EL135" s="8">
        <f t="shared" si="823"/>
        <v>9.7263762982572999E-2</v>
      </c>
      <c r="EM135" s="8">
        <f t="shared" si="823"/>
        <v>9.670662534567169E-2</v>
      </c>
      <c r="EN135" s="8">
        <f t="shared" si="823"/>
        <v>9.596700801725884E-2</v>
      </c>
      <c r="EO135" s="8">
        <f t="shared" si="823"/>
        <v>9.4993050172637483E-2</v>
      </c>
      <c r="EP135" s="8">
        <f t="shared" si="823"/>
        <v>9.3720260385145346E-2</v>
      </c>
      <c r="EQ135" s="8">
        <f t="shared" si="823"/>
        <v>9.2068922855614091E-2</v>
      </c>
      <c r="ER135" s="8">
        <f t="shared" si="823"/>
        <v>8.9941064043937688E-2</v>
      </c>
      <c r="ES135" s="8">
        <f t="shared" si="823"/>
        <v>8.7216919915724431E-2</v>
      </c>
      <c r="ET135" s="8">
        <f t="shared" si="823"/>
        <v>8.3750837682909418E-2</v>
      </c>
      <c r="EU135" s="8">
        <f t="shared" si="823"/>
        <v>7.9366539042102474E-2</v>
      </c>
      <c r="EV135" s="8">
        <f t="shared" si="823"/>
        <v>7.3851664439338272E-2</v>
      </c>
      <c r="EW135" s="8">
        <f t="shared" si="823"/>
        <v>6.6951509740659887E-2</v>
      </c>
      <c r="EX135" s="8">
        <f t="shared" si="823"/>
        <v>5.8361857770561694E-2</v>
      </c>
      <c r="EY135" s="8">
        <f t="shared" si="823"/>
        <v>4.772079737421038E-2</v>
      </c>
      <c r="EZ135" s="8">
        <f t="shared" si="823"/>
        <v>3.4599411809350562E-2</v>
      </c>
      <c r="FA135" s="8">
        <f t="shared" si="823"/>
        <v>1.8491206179175736E-2</v>
      </c>
      <c r="FB135" s="8">
        <f t="shared" si="823"/>
        <v>1.1998699816252708E-3</v>
      </c>
      <c r="FC135" s="8">
        <f t="shared" si="823"/>
        <v>2.5172964295680215E-2</v>
      </c>
      <c r="FD135" s="8">
        <f t="shared" si="823"/>
        <v>5.42456043519597E-2</v>
      </c>
      <c r="FE135" s="8">
        <f t="shared" si="823"/>
        <v>8.9370919338637514E-2</v>
      </c>
      <c r="FF135" s="8">
        <f t="shared" si="823"/>
        <v>0.13165702223096751</v>
      </c>
      <c r="FG135" s="8">
        <f t="shared" si="823"/>
        <v>0.18238880290140877</v>
      </c>
      <c r="FH135" s="8">
        <f t="shared" si="823"/>
        <v>0.24305241687358112</v>
      </c>
      <c r="FI135" s="8">
        <f t="shared" si="823"/>
        <v>0.31536279607027073</v>
      </c>
      <c r="FJ135" s="8">
        <f t="shared" si="823"/>
        <v>0.40129455880919385</v>
      </c>
      <c r="FK135" s="8">
        <f t="shared" si="823"/>
        <v>0.50311675904930142</v>
      </c>
      <c r="FL135" s="8">
        <f t="shared" si="823"/>
        <v>0.62343199278956496</v>
      </c>
      <c r="FM135" s="8">
        <f t="shared" si="823"/>
        <v>0.76522047682593952</v>
      </c>
      <c r="FN135" s="8">
        <f t="shared" si="823"/>
        <v>0.93188983726186414</v>
      </c>
      <c r="FO135" s="8">
        <f t="shared" si="823"/>
        <v>1.1273314993351153</v>
      </c>
      <c r="FP135" s="8">
        <f t="shared" si="823"/>
        <v>1.3559847654602863</v>
      </c>
      <c r="FQ135" s="8">
        <f t="shared" si="823"/>
        <v>1.6229099168762386</v>
      </c>
      <c r="FR135" s="8">
        <f t="shared" ref="FR135" si="824">BT140/BT135</f>
        <v>1.9338719916207927</v>
      </c>
      <c r="FS135" s="8">
        <f>BU140/BU135</f>
        <v>2.2954372984115929</v>
      </c>
      <c r="FT135" s="8">
        <f t="shared" ref="FT135" si="825">BV140/BV135</f>
        <v>2.715085249838765</v>
      </c>
      <c r="FU135" s="8">
        <f t="shared" ref="FU135" si="826">BW140/BW135</f>
        <v>3.2013387757756329</v>
      </c>
      <c r="FV135" s="8">
        <f t="shared" ref="FV135" si="827">BX140/BX135</f>
        <v>3.7639174586053796</v>
      </c>
      <c r="FW135" s="8">
        <f t="shared" ref="FW135" si="828">BY140/BY135</f>
        <v>4.4139186831453969</v>
      </c>
      <c r="FX135" s="8">
        <f t="shared" ref="FX135" si="829">BZ140/BZ135</f>
        <v>5.1640336087032788</v>
      </c>
      <c r="FY135" s="8">
        <f t="shared" ref="FY135" si="830">CA140/CA135</f>
        <v>6.0288067772538234</v>
      </c>
      <c r="FZ135" s="8">
        <f t="shared" ref="FZ135" si="831">CB140/CB135</f>
        <v>7.024950851125336</v>
      </c>
      <c r="GA135" s="8">
        <f t="shared" ref="GA135" si="832">CC140/CC135</f>
        <v>8.1717315828093895</v>
      </c>
      <c r="GB135" s="8">
        <f t="shared" ref="GB135" si="833">CD140/CD135</f>
        <v>9.49144302828579</v>
      </c>
      <c r="GC135" s="8">
        <f t="shared" ref="GC135" si="834">CE140/CE135</f>
        <v>11.009999762477925</v>
      </c>
      <c r="GD135" s="8">
        <f>CF140/CF135</f>
        <v>12.757682237545058</v>
      </c>
      <c r="GE135" s="8">
        <f t="shared" ref="GE135" si="835">CG140/CG135</f>
        <v>14.770084636193818</v>
      </c>
      <c r="GF135" s="8">
        <f t="shared" ref="GF135" si="836">CH140/CH135</f>
        <v>17.089333433365489</v>
      </c>
      <c r="GG135" s="8">
        <f t="shared" ref="GG135" si="837">CI140/CI135</f>
        <v>19.765672212167971</v>
      </c>
      <c r="GH135" s="8">
        <f t="shared" ref="GH135" si="838">CJ140/CJ135</f>
        <v>22.85954853947587</v>
      </c>
      <c r="GI135" s="8">
        <f t="shared" ref="GI135" si="839">CK140/CK135</f>
        <v>26.444399072488327</v>
      </c>
      <c r="GJ135" s="8">
        <f t="shared" ref="GJ135" si="840">CL140/CL135</f>
        <v>30.61042136517478</v>
      </c>
      <c r="GK135" s="8">
        <f t="shared" ref="GK135" si="841">CM140/CM135</f>
        <v>35.469765029628945</v>
      </c>
      <c r="GL135" s="8">
        <f t="shared" ref="GL135" si="842">CN140/CN135</f>
        <v>41.163805574541236</v>
      </c>
      <c r="GM135" s="8">
        <f t="shared" ref="GM135" si="843">CO140/CO135</f>
        <v>47.873543165437162</v>
      </c>
      <c r="GN135" s="8">
        <f t="shared" ref="GN135" si="844">CP140/CP135</f>
        <v>55.834809774869996</v>
      </c>
      <c r="GO135" s="8">
        <f t="shared" ref="GO135" si="845">CQ140/CQ135</f>
        <v>65.361090304924602</v>
      </c>
      <c r="GP135" s="8">
        <f t="shared" ref="GP135" si="846">CR140/CR135</f>
        <v>76.878803449361186</v>
      </c>
      <c r="GQ135" s="8">
        <f t="shared" ref="GQ135" si="847">CS140/CS135</f>
        <v>90.983764398193486</v>
      </c>
      <c r="GR135" s="8">
        <f t="shared" ref="GR135" si="848">CT140/CT135</f>
        <v>108.53530415111879</v>
      </c>
      <c r="GS135" s="8">
        <f t="shared" ref="GS135" si="849">CU140/CU135</f>
        <v>130.82099462025741</v>
      </c>
      <c r="GT135" s="8">
        <f t="shared" ref="GT135" si="850">CV140/CV135</f>
        <v>159.86258452416112</v>
      </c>
      <c r="GU135" s="8">
        <f t="shared" ref="GU135" si="851">CW140/CW135</f>
        <v>199.02789066406069</v>
      </c>
      <c r="GV135" s="8">
        <f t="shared" ref="GV135" si="852">CX140/CX135</f>
        <v>254.3769800802323</v>
      </c>
      <c r="GW135" s="8">
        <f t="shared" ref="GW135" si="853">CY140/CY135</f>
        <v>338.02764912091516</v>
      </c>
      <c r="GX135" s="8">
        <f t="shared" ref="GX135" si="854">CZ140/CZ135</f>
        <v>478.25188772600859</v>
      </c>
      <c r="GY135" s="8">
        <f t="shared" ref="GY135" si="855">DA140/DA135</f>
        <v>759.86176992130311</v>
      </c>
      <c r="GZ135" s="8">
        <f t="shared" ref="GZ135" si="856">DB140/DB135</f>
        <v>1606.9107388848906</v>
      </c>
      <c r="HA135" s="8">
        <f>DC140/DC135</f>
        <v>8467183779305212</v>
      </c>
      <c r="HB135" s="8"/>
      <c r="HC135" s="8">
        <f>0.00042</f>
        <v>4.2000000000000002E-4</v>
      </c>
      <c r="HD135" s="8">
        <f>2*HC135</f>
        <v>8.4000000000000003E-4</v>
      </c>
      <c r="HE135" s="8">
        <f>HD135/(1.6*10^-3)</f>
        <v>0.52500000000000002</v>
      </c>
      <c r="HF135" s="8">
        <f>DJ40</f>
        <v>0.40229885057471265</v>
      </c>
      <c r="HG135" s="8">
        <f>HF135-HE135</f>
        <v>-0.12270114942528737</v>
      </c>
      <c r="HH135" s="8"/>
      <c r="HI135" s="8"/>
      <c r="HJ135" s="8"/>
      <c r="HK135" s="8"/>
      <c r="HL135" s="8"/>
      <c r="HM135" s="8"/>
    </row>
    <row r="136" spans="7:221" x14ac:dyDescent="0.25">
      <c r="G136" s="8">
        <f t="shared" ref="G136:G137" si="857">ABS(SQRT(2)*($A$99*2*$D$98/($F$4*$G3^2))*(1-(B$103*2/($F$4))^$E$98))</f>
        <v>0.11849748008915328</v>
      </c>
      <c r="H136" s="8">
        <f t="shared" ref="H136:H137" si="858">ABS(SQRT(2)*($A$99*2*$D$98/($F$4*$G3^2))*(1-(C$103*2/($F$4))^$E$98))</f>
        <v>0.11849748008915328</v>
      </c>
      <c r="I136" s="8">
        <f t="shared" ref="I136:I137" si="859">ABS(SQRT(2)*($A$99*2*$D$98/($F$4*$G3^2))*(1-(D$103*2/($F$4))^$E$98))</f>
        <v>0.11849748008915328</v>
      </c>
      <c r="J136" s="8">
        <f t="shared" ref="J136:J137" si="860">ABS(SQRT(2)*($A$99*2*$D$98/($F$4*$G3^2))*(1-(E$103*2/($F$4))^$E$98))</f>
        <v>0.11849748008915328</v>
      </c>
      <c r="K136" s="8">
        <f t="shared" ref="K136:K137" si="861">ABS(SQRT(2)*($A$99*2*$D$98/($F$4*$G3^2))*(1-(F$103*2/($F$4))^$E$98))</f>
        <v>0.11849748008915328</v>
      </c>
      <c r="L136" s="8">
        <f t="shared" ref="L136:L137" si="862">ABS(SQRT(2)*($A$99*2*$D$98/($F$4*$G3^2))*(1-(G$103*2/($F$4))^$E$98))</f>
        <v>0.1184974800891532</v>
      </c>
      <c r="M136" s="8">
        <f t="shared" ref="M136:M137" si="863">ABS(SQRT(2)*($A$99*2*$D$98/($F$4*$G3^2))*(1-(H$103*2/($F$4))^$E$98))</f>
        <v>0.11849748008915258</v>
      </c>
      <c r="N136" s="8">
        <f t="shared" ref="N136:N137" si="864">ABS(SQRT(2)*($A$99*2*$D$98/($F$4*$G3^2))*(1-(I$103*2/($F$4))^$E$98))</f>
        <v>0.118497480089149</v>
      </c>
      <c r="O136" s="8">
        <f t="shared" ref="O136:O137" si="865">ABS(SQRT(2)*($A$99*2*$D$98/($F$4*$G3^2))*(1-(J$103*2/($F$4))^$E$98))</f>
        <v>0.11849748008913298</v>
      </c>
      <c r="P136" s="8">
        <f t="shared" ref="P136:P137" si="866">ABS(SQRT(2)*($A$99*2*$D$98/($F$4*$G3^2))*(1-(K$103*2/($F$4))^$E$98))</f>
        <v>0.11849748008907332</v>
      </c>
      <c r="Q136" s="8">
        <f t="shared" ref="Q136:Q137" si="867">ABS(SQRT(2)*($A$99*2*$D$98/($F$4*$G3^2))*(1-(L$103*2/($F$4))^$E$98))</f>
        <v>0.11849748008888077</v>
      </c>
      <c r="R136" s="8">
        <f t="shared" ref="R136:R137" si="868">ABS(SQRT(2)*($A$99*2*$D$98/($F$4*$G3^2))*(1-(M$103*2/($F$4))^$E$98))</f>
        <v>0.11849748008832695</v>
      </c>
      <c r="S136" s="8">
        <f t="shared" ref="S136:S137" si="869">ABS(SQRT(2)*($A$99*2*$D$98/($F$4*$G3^2))*(1-(N$103*2/($F$4))^$E$98))</f>
        <v>0.11849748008687847</v>
      </c>
      <c r="T136" s="8">
        <f t="shared" ref="T136:T137" si="870">ABS(SQRT(2)*($A$99*2*$D$98/($F$4*$G3^2))*(1-(O$103*2/($F$4))^$E$98))</f>
        <v>0.11849748008337874</v>
      </c>
      <c r="U136" s="8">
        <f t="shared" ref="U136:U137" si="871">ABS(SQRT(2)*($A$99*2*$D$98/($F$4*$G3^2))*(1-(P$103*2/($F$4))^$E$98))</f>
        <v>0.11849748007547307</v>
      </c>
      <c r="V136" s="8">
        <f t="shared" ref="V136:V137" si="872">ABS(SQRT(2)*($A$99*2*$D$98/($F$4*$G3^2))*(1-(Q$103*2/($F$4))^$E$98))</f>
        <v>0.11849748005861717</v>
      </c>
      <c r="W136" s="8">
        <f t="shared" ref="W136:W137" si="873">ABS(SQRT(2)*($A$99*2*$D$98/($F$4*$G3^2))*(1-(R$103*2/($F$4))^$E$98))</f>
        <v>0.11849748002443597</v>
      </c>
      <c r="X136" s="8">
        <f t="shared" ref="X136:X137" si="874">ABS(SQRT(2)*($A$99*2*$D$98/($F$4*$G3^2))*(1-(S$103*2/($F$4))^$E$98))</f>
        <v>0.11849747995810105</v>
      </c>
      <c r="Y136" s="8">
        <f t="shared" ref="Y136:Y137" si="875">ABS(SQRT(2)*($A$99*2*$D$98/($F$4*$G3^2))*(1-(T$103*2/($F$4))^$E$98))</f>
        <v>0.11849747983426569</v>
      </c>
      <c r="Z136" s="8">
        <f t="shared" ref="Z136:Z137" si="876">ABS(SQRT(2)*($A$99*2*$D$98/($F$4*$G3^2))*(1-(U$103*2/($F$4))^$E$98))</f>
        <v>0.11849747961093224</v>
      </c>
      <c r="AA136" s="8">
        <f t="shared" ref="AA136:AA137" si="877">ABS(SQRT(2)*($A$99*2*$D$98/($F$4*$G3^2))*(1-(V$103*2/($F$4))^$E$98))</f>
        <v>0.11849747922041692</v>
      </c>
      <c r="AB136" s="8">
        <f t="shared" ref="AB136:AB137" si="878">ABS(SQRT(2)*($A$99*2*$D$98/($F$4*$G3^2))*(1-(W$103*2/($F$4))^$E$98))</f>
        <v>0.11849747855631841</v>
      </c>
      <c r="AC136" s="8">
        <f t="shared" ref="AC136:AC137" si="879">ABS(SQRT(2)*($A$99*2*$D$98/($F$4*$G3^2))*(1-(X$103*2/($F$4))^$E$98))</f>
        <v>0.11849747745507669</v>
      </c>
      <c r="AD136" s="8">
        <f t="shared" ref="AD136:AD137" si="880">ABS(SQRT(2)*($A$99*2*$D$98/($F$4*$G3^2))*(1-(Y$103*2/($F$4))^$E$98))</f>
        <v>0.11849747567032071</v>
      </c>
      <c r="AE136" s="8">
        <f t="shared" ref="AE136:AE137" si="881">ABS(SQRT(2)*($A$99*2*$D$98/($F$4*$G3^2))*(1-(Z$103*2/($F$4))^$E$98))</f>
        <v>0.11849747283773548</v>
      </c>
      <c r="AF136" s="8">
        <f t="shared" ref="AF136:AF137" si="882">ABS(SQRT(2)*($A$99*2*$D$98/($F$4*$G3^2))*(1-(AA$103*2/($F$4))^$E$98))</f>
        <v>0.11849746842762154</v>
      </c>
      <c r="AG136" s="8">
        <f t="shared" ref="AG136:AG137" si="883">ABS(SQRT(2)*($A$99*2*$D$98/($F$4*$G3^2))*(1-(AB$103*2/($F$4))^$E$98))</f>
        <v>0.11849746168165895</v>
      </c>
      <c r="AH136" s="8">
        <f t="shared" ref="AH136:AH137" si="884">ABS(SQRT(2)*($A$99*2*$D$98/($F$4*$G3^2))*(1-(AC$103*2/($F$4))^$E$98))</f>
        <v>0.11849745152961243</v>
      </c>
      <c r="AI136" s="8">
        <f t="shared" ref="AI136:AI137" si="885">ABS(SQRT(2)*($A$99*2*$D$98/($F$4*$G3^2))*(1-(AD$103*2/($F$4))^$E$98))</f>
        <v>0.11849743648080803</v>
      </c>
      <c r="AJ136" s="8">
        <f t="shared" ref="AJ136:AJ137" si="886">ABS(SQRT(2)*($A$99*2*$D$98/($F$4*$G3^2))*(1-(AE$103*2/($F$4))^$E$98))</f>
        <v>0.11849741448416266</v>
      </c>
      <c r="AK136" s="8">
        <f t="shared" ref="AK136:AK137" si="887">ABS(SQRT(2)*($A$99*2*$D$98/($F$4*$G3^2))*(1-(AF$103*2/($F$4))^$E$98))</f>
        <v>0.11849738274933611</v>
      </c>
      <c r="AL136" s="8">
        <f t="shared" ref="AL136:AL137" si="888">ABS(SQRT(2)*($A$99*2*$D$98/($F$4*$G3^2))*(1-(AG$103*2/($F$4))^$E$98))</f>
        <v>0.11849733752018772</v>
      </c>
      <c r="AM136" s="8">
        <f t="shared" ref="AM136:AM137" si="889">ABS(SQRT(2)*($A$99*2*$D$98/($F$4*$G3^2))*(1-(AH$103*2/($F$4))^$E$98))</f>
        <v>0.11849727379013537</v>
      </c>
      <c r="AN136" s="8">
        <f t="shared" ref="AN136:AN137" si="890">ABS(SQRT(2)*($A$99*2*$D$98/($F$4*$G3^2))*(1-(AI$103*2/($F$4))^$E$98))</f>
        <v>0.11849718494721448</v>
      </c>
      <c r="AO136" s="8">
        <f t="shared" ref="AO136:AO137" si="891">ABS(SQRT(2)*($A$99*2*$D$98/($F$4*$G3^2))*(1-(AJ$103*2/($F$4))^$E$98))</f>
        <v>0.11849706233460014</v>
      </c>
      <c r="AP136" s="8">
        <f t="shared" ref="AP136:AP137" si="892">ABS(SQRT(2)*($A$99*2*$D$98/($F$4*$G3^2))*(1-(AK$103*2/($F$4))^$E$98))</f>
        <v>0.11849689471006275</v>
      </c>
      <c r="AQ136" s="8">
        <f t="shared" ref="AQ136:AQ137" si="893">ABS(SQRT(2)*($A$99*2*$D$98/($F$4*$G3^2))*(1-(AL$103*2/($F$4))^$E$98))</f>
        <v>0.1184966675852544</v>
      </c>
      <c r="AR136" s="8">
        <f t="shared" ref="AR136:AR137" si="894">ABS(SQRT(2)*($A$99*2*$D$98/($F$4*$G3^2))*(1-(AM$103*2/($F$4))^$E$98))</f>
        <v>0.11849636242284649</v>
      </c>
      <c r="AS136" s="8">
        <f t="shared" ref="AS136:AS137" si="895">ABS(SQRT(2)*($A$99*2*$D$98/($F$4*$G3^2))*(1-(AN$103*2/($F$4))^$E$98))</f>
        <v>0.11849595566633271</v>
      </c>
      <c r="AT136" s="8">
        <f t="shared" ref="AT136:AT137" si="896">ABS(SQRT(2)*($A$99*2*$D$98/($F$4*$G3^2))*(1-(AO$103*2/($F$4))^$E$98))</f>
        <v>0.11849541757374836</v>
      </c>
      <c r="AU136" s="8">
        <f t="shared" ref="AU136:AU137" si="897">ABS(SQRT(2)*($A$99*2*$D$98/($F$4*$G3^2))*(1-(AP$103*2/($F$4))^$E$98))</f>
        <v>0.11849471082261076</v>
      </c>
      <c r="AV136" s="8">
        <f t="shared" ref="AV136:AV137" si="898">ABS(SQRT(2)*($A$99*2*$D$98/($F$4*$G3^2))*(1-(AQ$103*2/($F$4))^$E$98))</f>
        <v>0.11849378884902537</v>
      </c>
      <c r="AW136" s="8">
        <f t="shared" ref="AW136:AW137" si="899">ABS(SQRT(2)*($A$99*2*$D$98/($F$4*$G3^2))*(1-(AR$103*2/($F$4))^$E$98))</f>
        <v>0.11849259387909937</v>
      </c>
      <c r="AX136" s="8">
        <f t="shared" ref="AX136:AX137" si="900">ABS(SQRT(2)*($A$99*2*$D$98/($F$4*$G3^2))*(1-(AS$103*2/($F$4))^$E$98))</f>
        <v>0.118491054605525</v>
      </c>
      <c r="AY136" s="8">
        <f t="shared" ref="AY136:AY137" si="901">ABS(SQRT(2)*($A$99*2*$D$98/($F$4*$G3^2))*(1-(AT$103*2/($F$4))^$E$98))</f>
        <v>0.1184890834564076</v>
      </c>
      <c r="AZ136" s="8">
        <f t="shared" ref="AZ136:AZ137" si="902">ABS(SQRT(2)*($A$99*2*$D$98/($F$4*$G3^2))*(1-(AU$103*2/($F$4))^$E$98))</f>
        <v>0.11848657339708217</v>
      </c>
      <c r="BA136" s="8">
        <f t="shared" ref="BA136:BA137" si="903">ABS(SQRT(2)*($A$99*2*$D$98/($F$4*$G3^2))*(1-(AV$103*2/($F$4))^$E$98))</f>
        <v>0.11848339419875178</v>
      </c>
      <c r="BB136" s="8">
        <f t="shared" ref="BB136:BB137" si="904">ABS(SQRT(2)*($A$99*2*$D$98/($F$4*$G3^2))*(1-(AW$103*2/($F$4))^$E$98))</f>
        <v>0.1184793881002532</v>
      </c>
      <c r="BC136" s="8">
        <f t="shared" ref="BC136:BC137" si="905">ABS(SQRT(2)*($A$99*2*$D$98/($F$4*$G3^2))*(1-(AX$103*2/($F$4))^$E$98))</f>
        <v>0.11847436478107171</v>
      </c>
      <c r="BD136" s="8">
        <f t="shared" ref="BD136:BD137" si="906">ABS(SQRT(2)*($A$99*2*$D$98/($F$4*$G3^2))*(1-(AY$103*2/($F$4))^$E$98))</f>
        <v>0.11846809555484666</v>
      </c>
      <c r="BE136" s="8">
        <f t="shared" ref="BE136:BE137" si="907">ABS(SQRT(2)*($A$99*2*$D$98/($F$4*$G3^2))*(1-(AZ$103*2/($F$4))^$E$98))</f>
        <v>0.11846030668299036</v>
      </c>
      <c r="BF136" s="8">
        <f t="shared" ref="BF136:BF137" si="908">ABS(SQRT(2)*($A$99*2*$D$98/($F$4*$G3^2))*(1-(BA$103*2/($F$4))^$E$98))</f>
        <v>0.11845067169764142</v>
      </c>
      <c r="BG136" s="8">
        <f t="shared" ref="BG136:BG137" si="909">ABS(SQRT(2)*($A$99*2*$D$98/($F$4*$G3^2))*(1-(BB$103*2/($F$4))^$E$98))</f>
        <v>0.11843880261194591</v>
      </c>
      <c r="BH136" s="8">
        <f t="shared" ref="BH136:BH137" si="910">ABS(SQRT(2)*($A$99*2*$D$98/($F$4*$G3^2))*(1-(BC$103*2/($F$4))^$E$98))</f>
        <v>0.11842423988355602</v>
      </c>
      <c r="BI136" s="8">
        <f t="shared" ref="BI136:BI137" si="911">ABS(SQRT(2)*($A$99*2*$D$98/($F$4*$G3^2))*(1-(BD$103*2/($F$4))^$E$98))</f>
        <v>0.11840644098421221</v>
      </c>
      <c r="BJ136" s="8">
        <f t="shared" ref="BJ136:BJ137" si="912">ABS(SQRT(2)*($A$99*2*$D$98/($F$4*$G3^2))*(1-(BE$103*2/($F$4))^$E$98))</f>
        <v>0.11838476741427585</v>
      </c>
      <c r="BK136" s="8">
        <f t="shared" ref="BK136:BK137" si="913">ABS(SQRT(2)*($A$99*2*$D$98/($F$4*$G3^2))*(1-(BF$103*2/($F$4))^$E$98))</f>
        <v>0.11835846998605984</v>
      </c>
      <c r="BL136" s="8">
        <f t="shared" ref="BL136:BL137" si="914">ABS(SQRT(2)*($A$99*2*$D$98/($F$4*$G3^2))*(1-(BG$103*2/($F$4))^$E$98))</f>
        <v>0.11832667218370453</v>
      </c>
      <c r="BM136" s="8">
        <f t="shared" ref="BM136:BM137" si="915">ABS(SQRT(2)*($A$99*2*$D$98/($F$4*$G3^2))*(1-(BH$103*2/($F$4))^$E$98))</f>
        <v>0.11828835139011652</v>
      </c>
      <c r="BN136" s="8">
        <f t="shared" ref="BN136:BN137" si="916">ABS(SQRT(2)*($A$99*2*$D$98/($F$4*$G3^2))*(1-(BI$103*2/($F$4))^$E$98))</f>
        <v>0.11824231775306793</v>
      </c>
      <c r="BO136" s="8">
        <f t="shared" ref="BO136:BO137" si="917">ABS(SQRT(2)*($A$99*2*$D$98/($F$4*$G3^2))*(1-(BJ$103*2/($F$4))^$E$98))</f>
        <v>0.1181871904428867</v>
      </c>
      <c r="BP136" s="8">
        <f t="shared" ref="BP136:BP137" si="918">ABS(SQRT(2)*($A$99*2*$D$98/($F$4*$G3^2))*(1-(BK$103*2/($F$4))^$E$98))</f>
        <v>0.11812137103319494</v>
      </c>
      <c r="BQ136" s="8">
        <f t="shared" ref="BQ136:BQ137" si="919">ABS(SQRT(2)*($A$99*2*$D$98/($F$4*$G3^2))*(1-(BL$103*2/($F$4))^$E$98))</f>
        <v>0.11804301371380749</v>
      </c>
      <c r="BR136" s="8">
        <f t="shared" ref="BR136:BR137" si="920">ABS(SQRT(2)*($A$99*2*$D$98/($F$4*$G3^2))*(1-(BM$103*2/($F$4))^$E$98))</f>
        <v>0.11794999202112784</v>
      </c>
      <c r="BS136" s="8">
        <f t="shared" ref="BS136:BS137" si="921">ABS(SQRT(2)*($A$99*2*$D$98/($F$4*$G3^2))*(1-(BN$103*2/($F$4))^$E$98))</f>
        <v>0.11783986174610192</v>
      </c>
      <c r="BT136" s="8">
        <f t="shared" ref="BT136:BT137" si="922">ABS(SQRT(2)*($A$99*2*$D$98/($F$4*$G3^2))*(1-(BO$103*2/($F$4))^$E$98))</f>
        <v>0.11770981965295052</v>
      </c>
      <c r="BU136" s="8">
        <f t="shared" ref="BU136:BU137" si="923">ABS(SQRT(2)*($A$99*2*$D$98/($F$4*$G3^2))*(1-(BP$103*2/($F$4))^$E$98))</f>
        <v>0.11755665761342421</v>
      </c>
      <c r="BV136" s="8">
        <f t="shared" ref="BV136:BV137" si="924">ABS(SQRT(2)*($A$99*2*$D$98/($F$4*$G3^2))*(1-(BQ$103*2/($F$4))^$E$98))</f>
        <v>0.11737671173114275</v>
      </c>
      <c r="BW136" s="8">
        <f t="shared" ref="BW136:BW137" si="925">ABS(SQRT(2)*($A$99*2*$D$98/($F$4*$G3^2))*(1-(BR$103*2/($F$4))^$E$98))</f>
        <v>0.11716580599862017</v>
      </c>
      <c r="BX136" s="8">
        <f t="shared" ref="BX136:BX137" si="926">ABS(SQRT(2)*($A$99*2*$D$98/($F$4*$G3^2))*(1-(BS$103*2/($F$4))^$E$98))</f>
        <v>0.11691918999576059</v>
      </c>
      <c r="BY136" s="8">
        <f t="shared" ref="BY136:BY137" si="927">ABS(SQRT(2)*($A$99*2*$D$98/($F$4*$G3^2))*(1-(BT$103*2/($F$4))^$E$98))</f>
        <v>0.11663147010286515</v>
      </c>
      <c r="BZ136" s="8">
        <f t="shared" ref="BZ136:BZ137" si="928">ABS(SQRT(2)*($A$99*2*$D$98/($F$4*$G3^2))*(1-(BU$103*2/($F$4))^$E$98))</f>
        <v>0.11629653366343434</v>
      </c>
      <c r="CA136" s="8">
        <f t="shared" ref="CA136:CA137" si="929">ABS(SQRT(2)*($A$99*2*$D$98/($F$4*$G3^2))*(1-(BV$103*2/($F$4))^$E$98))</f>
        <v>0.11590746549220524</v>
      </c>
      <c r="CB136" s="8">
        <f t="shared" ref="CB136:CB137" si="930">ABS(SQRT(2)*($A$99*2*$D$98/($F$4*$G3^2))*(1-(BW$103*2/($F$4))^$E$98))</f>
        <v>0.11545645608184485</v>
      </c>
      <c r="CC136" s="8">
        <f t="shared" ref="CC136:CC137" si="931">ABS(SQRT(2)*($A$99*2*$D$98/($F$4*$G3^2))*(1-(BX$103*2/($F$4))^$E$98))</f>
        <v>0.1149347008174452</v>
      </c>
      <c r="CD136" s="8">
        <f t="shared" ref="CD136:CD137" si="932">ABS(SQRT(2)*($A$99*2*$D$98/($F$4*$G3^2))*(1-(BY$103*2/($F$4))^$E$98))</f>
        <v>0.11433228946134667</v>
      </c>
      <c r="CE136" s="8">
        <f t="shared" ref="CE136:CE137" si="933">ABS(SQRT(2)*($A$99*2*$D$98/($F$4*$G3^2))*(1-(BZ$103*2/($F$4))^$E$98))</f>
        <v>0.11363808512176307</v>
      </c>
      <c r="CF136" s="8">
        <f>ABS(SQRT(2)*($A$99*2*$D$98/($F$4*$G3^2))*(1-(CA$103*2/($F$4))^$E$98))</f>
        <v>0.11283959186710642</v>
      </c>
      <c r="CG136" s="8">
        <f t="shared" ref="CG136:CG137" si="934">ABS(SQRT(2)*($A$99*2*$D$98/($F$4*$G3^2))*(1-(CB$103*2/($F$4))^$E$98))</f>
        <v>0.11192281009371655</v>
      </c>
      <c r="CH136" s="8">
        <f t="shared" ref="CH136:CH137" si="935">ABS(SQRT(2)*($A$99*2*$D$98/($F$4*$G3^2))*(1-(CC$103*2/($F$4))^$E$98))</f>
        <v>0.11087207869779725</v>
      </c>
      <c r="CI136" s="8">
        <f t="shared" ref="CI136:CI137" si="936">ABS(SQRT(2)*($A$99*2*$D$98/($F$4*$G3^2))*(1-(CD$103*2/($F$4))^$E$98))</f>
        <v>0.1096699030426477</v>
      </c>
      <c r="CJ136" s="8">
        <f t="shared" ref="CJ136:CJ137" si="937">ABS(SQRT(2)*($A$99*2*$D$98/($F$4*$G3^2))*(1-(CE$103*2/($F$4))^$E$98))</f>
        <v>0.10829676764965852</v>
      </c>
      <c r="CK136" s="8">
        <f t="shared" ref="CK136:CK137" si="938">ABS(SQRT(2)*($A$99*2*$D$98/($F$4*$G3^2))*(1-(CF$103*2/($F$4))^$E$98))</f>
        <v>0.10673093247591257</v>
      </c>
      <c r="CL136" s="8">
        <f t="shared" ref="CL136:CL137" si="939">ABS(SQRT(2)*($A$99*2*$D$98/($F$4*$G3^2))*(1-(CG$103*2/($F$4))^$E$98))</f>
        <v>0.10494821157248881</v>
      </c>
      <c r="CM136" s="8">
        <f t="shared" ref="CM136:CM137" si="940">ABS(SQRT(2)*($A$99*2*$D$98/($F$4*$G3^2))*(1-(CH$103*2/($F$4))^$E$98))</f>
        <v>0.10292173284560896</v>
      </c>
      <c r="CN136" s="8">
        <f t="shared" ref="CN136:CN137" si="941">ABS(SQRT(2)*($A$99*2*$D$98/($F$4*$G3^2))*(1-(CI$103*2/($F$4))^$E$98))</f>
        <v>0.10062167756747965</v>
      </c>
      <c r="CO136" s="8">
        <f t="shared" ref="CO136:CO137" si="942">ABS(SQRT(2)*($A$99*2*$D$98/($F$4*$G3^2))*(1-(CJ$103*2/($F$4))^$E$98))</f>
        <v>9.8014998204962178E-2</v>
      </c>
      <c r="CP136" s="8">
        <f t="shared" ref="CP136:CP137" si="943">ABS(SQRT(2)*($A$99*2*$D$98/($F$4*$G3^2))*(1-(CK$103*2/($F$4))^$E$98))</f>
        <v>9.506511305193098E-2</v>
      </c>
      <c r="CQ136" s="8">
        <f t="shared" ref="CQ136:CQ137" si="944">ABS(SQRT(2)*($A$99*2*$D$98/($F$4*$G3^2))*(1-(CL$103*2/($F$4))^$E$98))</f>
        <v>9.1731576065249024E-2</v>
      </c>
      <c r="CR136" s="8">
        <f t="shared" ref="CR136:CR137" si="945">ABS(SQRT(2)*($A$99*2*$D$98/($F$4*$G3^2))*(1-(CM$103*2/($F$4))^$E$98))</f>
        <v>8.7969720214574679E-2</v>
      </c>
      <c r="CS136" s="8">
        <f t="shared" ref="CS136:CS137" si="946">ABS(SQRT(2)*($A$99*2*$D$98/($F$4*$G3^2))*(1-(CN$103*2/($F$4))^$E$98))</f>
        <v>8.3730272562602723E-2</v>
      </c>
      <c r="CT136" s="8">
        <f t="shared" ref="CT136:CT137" si="947">ABS(SQRT(2)*($A$99*2*$D$98/($F$4*$G3^2))*(1-(CO$103*2/($F$4))^$E$98))</f>
        <v>7.8958939194709199E-2</v>
      </c>
      <c r="CU136" s="8">
        <f t="shared" ref="CU136:CU137" si="948">ABS(SQRT(2)*($A$99*2*$D$98/($F$4*$G3^2))*(1-(CP$103*2/($F$4))^$E$98))</f>
        <v>7.3595958015192586E-2</v>
      </c>
      <c r="CV136" s="8">
        <f t="shared" ref="CV136:CV137" si="949">ABS(SQRT(2)*($A$99*2*$D$98/($F$4*$G3^2))*(1-(CQ$103*2/($F$4))^$E$98))</f>
        <v>6.757561732125629E-2</v>
      </c>
      <c r="CW136" s="8">
        <f t="shared" ref="CW136:CW137" si="950">ABS(SQRT(2)*($A$99*2*$D$98/($F$4*$G3^2))*(1-(CR$103*2/($F$4))^$E$98))</f>
        <v>6.0825737955431419E-2</v>
      </c>
      <c r="CX136" s="8">
        <f t="shared" ref="CX136:CX137" si="951">ABS(SQRT(2)*($A$99*2*$D$98/($F$4*$G3^2))*(1-(CS$103*2/($F$4))^$E$98))</f>
        <v>5.326711672216259E-2</v>
      </c>
      <c r="CY136" s="8">
        <f t="shared" ref="CY136:CY137" si="952">ABS(SQRT(2)*($A$99*2*$D$98/($F$4*$G3^2))*(1-(CT$103*2/($F$4))^$E$98))</f>
        <v>4.4812928634639752E-2</v>
      </c>
      <c r="CZ136" s="8">
        <f t="shared" ref="CZ136:CZ137" si="953">ABS(SQRT(2)*($A$99*2*$D$98/($F$4*$G3^2))*(1-(CU$103*2/($F$4))^$E$98))</f>
        <v>3.5368085433523197E-2</v>
      </c>
      <c r="DA136" s="8">
        <f t="shared" ref="DA136:DA137" si="954">ABS(SQRT(2)*($A$99*2*$D$98/($F$4*$G3^2))*(1-(CV$103*2/($F$4))^$E$98))</f>
        <v>2.4828547689833197E-2</v>
      </c>
      <c r="DB136" s="8">
        <f t="shared" ref="DB136:DB137" si="955">ABS(SQRT(2)*($A$99*2*$D$98/($F$4*$G3^2))*(1-(CW$103*2/($F$4))^$E$98))</f>
        <v>1.3080587669824778E-2</v>
      </c>
      <c r="DC136" s="8">
        <f t="shared" ref="DC136:DC137" si="956">ABS(SQRT(2)*($A$99*2*$D$98/($F$4*$G3^2))*(1-(CX$103*2/($F$4))^$E$98))</f>
        <v>2.7627312458558194E-15</v>
      </c>
      <c r="DD136" s="8"/>
      <c r="DE136" s="8">
        <f t="shared" ref="DE136:DE137" si="957">G141/G136</f>
        <v>0.22219702236902383</v>
      </c>
      <c r="DF136" s="8">
        <f t="shared" ref="DF136:DF137" si="958">H141/H136</f>
        <v>0.22219702236902383</v>
      </c>
      <c r="DG136" s="8">
        <f t="shared" ref="DG136:DG137" si="959">I141/I136</f>
        <v>0.22219702236902347</v>
      </c>
      <c r="DH136" s="8">
        <f t="shared" ref="DH136:DH137" si="960">J141/J136</f>
        <v>0.22219702236899588</v>
      </c>
      <c r="DI136" s="8">
        <f t="shared" ref="DI136:DI137" si="961">K141/K136</f>
        <v>0.2221970223684267</v>
      </c>
      <c r="DJ136" s="8">
        <f t="shared" ref="DJ136:DJ137" si="962">L141/L136</f>
        <v>0.22219702236261157</v>
      </c>
      <c r="DK136" s="8">
        <f t="shared" ref="DK136:DK137" si="963">M141/M136</f>
        <v>0.22219702232442082</v>
      </c>
      <c r="DL136" s="8">
        <f t="shared" ref="DL136:DL137" si="964">N141/N136</f>
        <v>0.22219702213911166</v>
      </c>
      <c r="DM136" s="8">
        <f t="shared" ref="DM136:DM137" si="965">O141/O136</f>
        <v>0.22219702141733408</v>
      </c>
      <c r="DN136" s="8">
        <f t="shared" ref="DN136:DN137" si="966">P141/P136</f>
        <v>0.22219701903729996</v>
      </c>
      <c r="DO136" s="8">
        <f t="shared" ref="DO136:DO137" si="967">Q141/Q136</f>
        <v>0.22219701214907683</v>
      </c>
      <c r="DP136" s="8">
        <f t="shared" ref="DP136:DP137" si="968">R141/R136</f>
        <v>0.22219699419854785</v>
      </c>
      <c r="DQ136" s="8">
        <f t="shared" ref="DQ136:DQ137" si="969">S141/S136</f>
        <v>0.22219695128074801</v>
      </c>
      <c r="DR136" s="8">
        <f t="shared" ref="DR136:DR137" si="970">T141/T136</f>
        <v>0.22219685579570053</v>
      </c>
      <c r="DS136" s="8">
        <f t="shared" ref="DS136:DS137" si="971">U141/U136</f>
        <v>0.22219665593691038</v>
      </c>
      <c r="DT136" s="8">
        <f t="shared" ref="DT136:DT137" si="972">V141/V136</f>
        <v>0.22219625897448039</v>
      </c>
      <c r="DU136" s="8">
        <f t="shared" ref="DU136:DU137" si="973">W141/W136</f>
        <v>0.22219550558135071</v>
      </c>
      <c r="DV136" s="8">
        <f t="shared" ref="DV136:DV137" si="974">X141/X136</f>
        <v>0.22219413157124795</v>
      </c>
      <c r="DW136" s="8">
        <f t="shared" ref="DW136:DW137" si="975">Y141/Y136</f>
        <v>0.22219171234826837</v>
      </c>
      <c r="DX136" s="8">
        <f t="shared" ref="DX136:DX137" si="976">Z141/Z136</f>
        <v>0.22218758408722816</v>
      </c>
      <c r="DY136" s="8">
        <f t="shared" ref="DY136:DY137" si="977">AA141/AA136</f>
        <v>0.22218073414657039</v>
      </c>
      <c r="DZ136" s="8">
        <f t="shared" ref="DZ136:DZ137" si="978">AB141/AB136</f>
        <v>0.22216965143625217</v>
      </c>
      <c r="EA136" s="8">
        <f t="shared" ref="EA136:EA137" si="979">AC141/AC136</f>
        <v>0.22215212539518617</v>
      </c>
      <c r="EB136" s="8">
        <f t="shared" ref="EB136:EB137" si="980">AD141/AD136</f>
        <v>0.22212497984901897</v>
      </c>
      <c r="EC136" s="8">
        <f t="shared" ref="EC136:EC137" si="981">AE141/AE136</f>
        <v>0.22208372529086495</v>
      </c>
      <c r="ED136" s="8">
        <f t="shared" ref="ED136:ED137" si="982">AF141/AF136</f>
        <v>0.22202211002568623</v>
      </c>
      <c r="EE136" s="8">
        <f t="shared" ref="EE136:EE137" si="983">AG141/AG136</f>
        <v>0.22193154711297</v>
      </c>
      <c r="EF136" s="8">
        <f t="shared" ref="EF136:EF137" si="984">AH141/AH136</f>
        <v>0.22180039010088737</v>
      </c>
      <c r="EG136" s="8">
        <f t="shared" ref="EG136:EG137" si="985">AI141/AI136</f>
        <v>0.22161302613594044</v>
      </c>
      <c r="EH136" s="8">
        <f t="shared" ref="EH136:EH137" si="986">AJ141/AJ136</f>
        <v>0.22134875012189448</v>
      </c>
      <c r="EI136" s="8">
        <f t="shared" ref="EI136:EI137" si="987">AK141/AK136</f>
        <v>0.2209803781561768</v>
      </c>
      <c r="EJ136" s="8">
        <f t="shared" ref="EJ136:EJ137" si="988">AL141/AL136</f>
        <v>0.22047255245530975</v>
      </c>
      <c r="EK136" s="8">
        <f t="shared" ref="EK136:EK137" si="989">AM141/AM136</f>
        <v>0.21977968335640935</v>
      </c>
      <c r="EL136" s="8">
        <f t="shared" ref="EL136:EL137" si="990">AN141/AN136</f>
        <v>0.21884346671078914</v>
      </c>
      <c r="EM136" s="8">
        <f t="shared" ref="EM136:EM137" si="991">AO141/AO136</f>
        <v>0.21758990702776121</v>
      </c>
      <c r="EN136" s="8">
        <f t="shared" ref="EN136:EN137" si="992">AP141/AP136</f>
        <v>0.21592576803883229</v>
      </c>
      <c r="EO136" s="8">
        <f t="shared" ref="EO136:EO137" si="993">AQ141/AQ136</f>
        <v>0.21373436288843423</v>
      </c>
      <c r="EP136" s="8">
        <f t="shared" ref="EP136:EP137" si="994">AR141/AR136</f>
        <v>0.21087058586657695</v>
      </c>
      <c r="EQ136" s="8">
        <f t="shared" ref="EQ136:EQ137" si="995">AS141/AS136</f>
        <v>0.20715507642513159</v>
      </c>
      <c r="ER136" s="8">
        <f t="shared" ref="ER136:ER137" si="996">AT141/AT136</f>
        <v>0.20236739409885968</v>
      </c>
      <c r="ES136" s="8">
        <f t="shared" ref="ES136:ES137" si="997">AU141/AU136</f>
        <v>0.19623806981037989</v>
      </c>
      <c r="ET136" s="8">
        <f t="shared" ref="ET136:ET137" si="998">AV141/AV136</f>
        <v>0.18843938478654612</v>
      </c>
      <c r="EU136" s="8">
        <f t="shared" ref="EU136:EU137" si="999">AW141/AW136</f>
        <v>0.17857471284473048</v>
      </c>
      <c r="EV136" s="8">
        <f t="shared" ref="EV136:EV137" si="1000">AX141/AX136</f>
        <v>0.16616624498851104</v>
      </c>
      <c r="EW136" s="8">
        <f t="shared" ref="EW136:EW137" si="1001">AY141/AY136</f>
        <v>0.15064089691648466</v>
      </c>
      <c r="EX136" s="8">
        <f t="shared" ref="EX136:EX137" si="1002">AZ141/AZ136</f>
        <v>0.13131417998376374</v>
      </c>
      <c r="EY136" s="8">
        <f t="shared" ref="EY136:EY137" si="1003">BA141/BA136</f>
        <v>0.10737179409197331</v>
      </c>
      <c r="EZ136" s="8">
        <f t="shared" ref="EZ136:EZ137" si="1004">BB141/BB136</f>
        <v>7.784867657103875E-2</v>
      </c>
      <c r="FA136" s="8">
        <f t="shared" ref="FA136:FA137" si="1005">BC141/BC136</f>
        <v>4.1605213903145387E-2</v>
      </c>
      <c r="FB136" s="8">
        <f t="shared" ref="FB136:FB137" si="1006">BD141/BD136</f>
        <v>2.6997074586568586E-3</v>
      </c>
      <c r="FC136" s="8">
        <f t="shared" ref="FC136:FC137" si="1007">BE141/BE136</f>
        <v>5.6639169665280459E-2</v>
      </c>
      <c r="FD136" s="8">
        <f t="shared" ref="FD136:FD137" si="1008">BF141/BF136</f>
        <v>0.12205260979190929</v>
      </c>
      <c r="FE136" s="8">
        <f t="shared" ref="FE136:FE137" si="1009">BG141/BG136</f>
        <v>0.20108456851193426</v>
      </c>
      <c r="FF136" s="8">
        <f t="shared" ref="FF136:FF137" si="1010">BH141/BH136</f>
        <v>0.29622830001967676</v>
      </c>
      <c r="FG136" s="8">
        <f t="shared" ref="FG136:FG137" si="1011">BI141/BI136</f>
        <v>0.41037480652816954</v>
      </c>
      <c r="FH136" s="8">
        <f t="shared" ref="FH136:FH137" si="1012">BJ141/BJ136</f>
        <v>0.54686793796555722</v>
      </c>
      <c r="FI136" s="8">
        <f t="shared" ref="FI136:FI137" si="1013">BK141/BK136</f>
        <v>0.70956629115810887</v>
      </c>
      <c r="FJ136" s="8">
        <f t="shared" ref="FJ136:FJ137" si="1014">BL141/BL136</f>
        <v>0.90291275732068577</v>
      </c>
      <c r="FK136" s="8">
        <f t="shared" ref="FK136:FK137" si="1015">BM141/BM136</f>
        <v>1.1320127078609277</v>
      </c>
      <c r="FL136" s="8">
        <f t="shared" ref="FL136:FL137" si="1016">BN141/BN136</f>
        <v>1.4027219837765206</v>
      </c>
      <c r="FM136" s="8">
        <f t="shared" ref="FM136:FM137" si="1017">BO141/BO136</f>
        <v>1.7217460728583631</v>
      </c>
      <c r="FN136" s="8">
        <f t="shared" ref="FN136:FN137" si="1018">BP141/BP136</f>
        <v>2.096752133839193</v>
      </c>
      <c r="FO136" s="8">
        <f t="shared" ref="FO136:FO137" si="1019">BQ141/BQ136</f>
        <v>2.5364958735040077</v>
      </c>
      <c r="FP136" s="8">
        <f t="shared" ref="FP136:FP137" si="1020">BR141/BR136</f>
        <v>3.0509657222856426</v>
      </c>
      <c r="FQ136" s="8">
        <f t="shared" ref="FQ136:FQ137" si="1021">BS141/BS136</f>
        <v>3.6515473129715352</v>
      </c>
      <c r="FR136" s="8">
        <f t="shared" ref="FR136:FS137" si="1022">BT141/BT136</f>
        <v>4.3512119811467826</v>
      </c>
      <c r="FS136" s="8">
        <f t="shared" si="1022"/>
        <v>5.1647339214260821</v>
      </c>
      <c r="FT136" s="8">
        <f t="shared" ref="FT136:FT137" si="1023">BV141/BV136</f>
        <v>6.1089418121372177</v>
      </c>
      <c r="FU136" s="8">
        <f t="shared" ref="FU136:FU137" si="1024">BW141/BW136</f>
        <v>7.2030122454951702</v>
      </c>
      <c r="FV136" s="8">
        <f t="shared" ref="FV136:FV137" si="1025">BX141/BX136</f>
        <v>8.4688142818620999</v>
      </c>
      <c r="FW136" s="8">
        <f t="shared" ref="FW136:FW137" si="1026">BY141/BY136</f>
        <v>9.9313170370771395</v>
      </c>
      <c r="FX136" s="8">
        <f t="shared" ref="FX136:FX137" si="1027">BZ141/BZ136</f>
        <v>11.619075619582372</v>
      </c>
      <c r="FY136" s="8">
        <f t="shared" ref="FY136:FY137" si="1028">CA141/CA136</f>
        <v>13.564815248821096</v>
      </c>
      <c r="FZ136" s="8">
        <f t="shared" ref="FZ136:FZ137" si="1029">CB141/CB136</f>
        <v>15.806139415031998</v>
      </c>
      <c r="GA136" s="8">
        <f t="shared" ref="GA136:GA137" si="1030">CC141/CC136</f>
        <v>18.386396061321118</v>
      </c>
      <c r="GB136" s="8">
        <f t="shared" ref="GB136:GB137" si="1031">CD141/CD136</f>
        <v>21.355746813643016</v>
      </c>
      <c r="GC136" s="8">
        <f t="shared" ref="GC136:GD137" si="1032">CE141/CE136</f>
        <v>24.772499465575319</v>
      </c>
      <c r="GD136" s="8">
        <f t="shared" si="1032"/>
        <v>28.70478503447637</v>
      </c>
      <c r="GE136" s="8">
        <f t="shared" ref="GE136:GE137" si="1033">CG141/CG136</f>
        <v>33.232690431436076</v>
      </c>
      <c r="GF136" s="8">
        <f t="shared" ref="GF136:GF137" si="1034">CH141/CH136</f>
        <v>38.451000225072342</v>
      </c>
      <c r="GG136" s="8">
        <f t="shared" ref="GG136:GG137" si="1035">CI141/CI136</f>
        <v>44.472762477377913</v>
      </c>
      <c r="GH136" s="8">
        <f t="shared" ref="GH136:GH137" si="1036">CJ141/CJ136</f>
        <v>51.433984213820686</v>
      </c>
      <c r="GI136" s="8">
        <f t="shared" ref="GI136:GI137" si="1037">CK141/CK136</f>
        <v>59.499897913098714</v>
      </c>
      <c r="GJ136" s="8">
        <f t="shared" ref="GJ136:GJ137" si="1038">CL141/CL136</f>
        <v>68.87344807164321</v>
      </c>
      <c r="GK136" s="8">
        <f t="shared" ref="GK136:GK137" si="1039">CM141/CM136</f>
        <v>79.806971316665084</v>
      </c>
      <c r="GL136" s="8">
        <f t="shared" ref="GL136:GL137" si="1040">CN141/CN136</f>
        <v>92.61856254271774</v>
      </c>
      <c r="GM136" s="8">
        <f t="shared" ref="GM136:GM137" si="1041">CO141/CO136</f>
        <v>107.71547212223355</v>
      </c>
      <c r="GN136" s="8">
        <f t="shared" ref="GN136:GN137" si="1042">CP141/CP136</f>
        <v>125.62832199345742</v>
      </c>
      <c r="GO136" s="8">
        <f t="shared" ref="GO136:GO137" si="1043">CQ141/CQ136</f>
        <v>147.06245318608029</v>
      </c>
      <c r="GP136" s="8">
        <f t="shared" ref="GP136:GP137" si="1044">CR141/CR136</f>
        <v>172.97730776106258</v>
      </c>
      <c r="GQ136" s="8">
        <f t="shared" ref="GQ136:GQ137" si="1045">CS141/CS136</f>
        <v>204.71346989593522</v>
      </c>
      <c r="GR136" s="8">
        <f t="shared" ref="GR136:GR137" si="1046">CT141/CT136</f>
        <v>244.20443434001714</v>
      </c>
      <c r="GS136" s="8">
        <f t="shared" ref="GS136:GS137" si="1047">CU141/CU136</f>
        <v>294.3472378955791</v>
      </c>
      <c r="GT136" s="8">
        <f t="shared" ref="GT136:GT137" si="1048">CV141/CV136</f>
        <v>359.69081517936235</v>
      </c>
      <c r="GU136" s="8">
        <f t="shared" ref="GU136:GU137" si="1049">CW141/CW136</f>
        <v>447.81275399413636</v>
      </c>
      <c r="GV136" s="8">
        <f t="shared" ref="GV136:GV137" si="1050">CX141/CX136</f>
        <v>572.34820518052254</v>
      </c>
      <c r="GW136" s="8">
        <f t="shared" ref="GW136:GW137" si="1051">CY141/CY136</f>
        <v>760.56221052205888</v>
      </c>
      <c r="GX136" s="8">
        <f t="shared" ref="GX136:GX137" si="1052">CZ141/CZ136</f>
        <v>1076.066747383519</v>
      </c>
      <c r="GY136" s="8">
        <f t="shared" ref="GY136:GY137" si="1053">DA141/DA136</f>
        <v>1709.6889823229312</v>
      </c>
      <c r="GZ136" s="8">
        <f t="shared" ref="GZ136:HA137" si="1054">DB141/DB136</f>
        <v>3615.5491624910028</v>
      </c>
      <c r="HA136" s="8">
        <f t="shared" si="1054"/>
        <v>1.9051163503436716E+16</v>
      </c>
      <c r="HC136" s="8">
        <v>3.8999999999999999E-4</v>
      </c>
      <c r="HD136" s="8">
        <f t="shared" ref="HD136:HD137" si="1055">2*HC136</f>
        <v>7.7999999999999999E-4</v>
      </c>
      <c r="HE136" s="8">
        <f t="shared" ref="HE136:HE137" si="1056">HD136/(1.6*10^-3)</f>
        <v>0.48749999999999999</v>
      </c>
      <c r="HF136" s="8">
        <f t="shared" ref="HF136:HF137" si="1057">DJ41</f>
        <v>0.41111111111111109</v>
      </c>
      <c r="HG136" s="8">
        <f t="shared" ref="HG136:HG137" si="1058">HF136-HE136</f>
        <v>-7.6388888888888895E-2</v>
      </c>
    </row>
    <row r="137" spans="7:221" x14ac:dyDescent="0.25">
      <c r="G137" s="8">
        <f t="shared" si="857"/>
        <v>4.897089738378272E-2</v>
      </c>
      <c r="H137" s="8">
        <f t="shared" si="858"/>
        <v>4.897089738378272E-2</v>
      </c>
      <c r="I137" s="8">
        <f t="shared" si="859"/>
        <v>4.897089738378272E-2</v>
      </c>
      <c r="J137" s="8">
        <f t="shared" si="860"/>
        <v>4.897089738378272E-2</v>
      </c>
      <c r="K137" s="8">
        <f t="shared" si="861"/>
        <v>4.897089738378272E-2</v>
      </c>
      <c r="L137" s="8">
        <f t="shared" si="862"/>
        <v>4.8970897383782686E-2</v>
      </c>
      <c r="M137" s="8">
        <f t="shared" si="863"/>
        <v>4.8970897383782429E-2</v>
      </c>
      <c r="N137" s="8">
        <f t="shared" si="864"/>
        <v>4.8970897383780951E-2</v>
      </c>
      <c r="O137" s="8">
        <f t="shared" si="865"/>
        <v>4.8970897383774331E-2</v>
      </c>
      <c r="P137" s="8">
        <f t="shared" si="866"/>
        <v>4.8970897383749677E-2</v>
      </c>
      <c r="Q137" s="8">
        <f t="shared" si="867"/>
        <v>4.8970897383670095E-2</v>
      </c>
      <c r="R137" s="8">
        <f t="shared" si="868"/>
        <v>4.8970897383441223E-2</v>
      </c>
      <c r="S137" s="8">
        <f t="shared" si="869"/>
        <v>4.8970897382842618E-2</v>
      </c>
      <c r="T137" s="8">
        <f t="shared" si="870"/>
        <v>4.8970897381396303E-2</v>
      </c>
      <c r="U137" s="8">
        <f t="shared" si="871"/>
        <v>4.8970897378129159E-2</v>
      </c>
      <c r="V137" s="8">
        <f t="shared" si="872"/>
        <v>4.8970897371163204E-2</v>
      </c>
      <c r="W137" s="8">
        <f t="shared" si="873"/>
        <v>4.8970897357037302E-2</v>
      </c>
      <c r="X137" s="8">
        <f t="shared" si="874"/>
        <v>4.8970897329623377E-2</v>
      </c>
      <c r="Y137" s="8">
        <f t="shared" si="875"/>
        <v>4.8970897278446522E-2</v>
      </c>
      <c r="Z137" s="8">
        <f t="shared" si="876"/>
        <v>4.8970897186150553E-2</v>
      </c>
      <c r="AA137" s="8">
        <f t="shared" si="877"/>
        <v>4.8970897024764121E-2</v>
      </c>
      <c r="AB137" s="8">
        <f t="shared" si="878"/>
        <v>4.8970896750315247E-2</v>
      </c>
      <c r="AC137" s="8">
        <f t="shared" si="879"/>
        <v>4.8970896295210245E-2</v>
      </c>
      <c r="AD137" s="8">
        <f t="shared" si="880"/>
        <v>4.8970895557632524E-2</v>
      </c>
      <c r="AE137" s="8">
        <f t="shared" si="881"/>
        <v>4.8970894387023324E-2</v>
      </c>
      <c r="AF137" s="8">
        <f t="shared" si="882"/>
        <v>4.8970892564476239E-2</v>
      </c>
      <c r="AG137" s="8">
        <f t="shared" si="883"/>
        <v>4.8970889776603944E-2</v>
      </c>
      <c r="AH137" s="8">
        <f t="shared" si="884"/>
        <v>4.8970885581115321E-2</v>
      </c>
      <c r="AI137" s="8">
        <f t="shared" si="885"/>
        <v>4.897087936196657E-2</v>
      </c>
      <c r="AJ137" s="8">
        <f t="shared" si="886"/>
        <v>4.8970870271516191E-2</v>
      </c>
      <c r="AK137" s="8">
        <f t="shared" si="887"/>
        <v>4.8970857156613375E-2</v>
      </c>
      <c r="AL137" s="8">
        <f t="shared" si="888"/>
        <v>4.8970838464975526E-2</v>
      </c>
      <c r="AM137" s="8">
        <f t="shared" si="889"/>
        <v>4.8970812127555934E-2</v>
      </c>
      <c r="AN137" s="8">
        <f t="shared" si="890"/>
        <v>4.8970775411859034E-2</v>
      </c>
      <c r="AO137" s="8">
        <f t="shared" si="891"/>
        <v>4.8970724740319431E-2</v>
      </c>
      <c r="AP137" s="8">
        <f t="shared" si="892"/>
        <v>4.8970655466913676E-2</v>
      </c>
      <c r="AQ137" s="8">
        <f t="shared" si="893"/>
        <v>4.8970561604110223E-2</v>
      </c>
      <c r="AR137" s="8">
        <f t="shared" si="894"/>
        <v>4.8970435491074299E-2</v>
      </c>
      <c r="AS137" s="8">
        <f t="shared" si="895"/>
        <v>4.8970267392719112E-2</v>
      </c>
      <c r="AT137" s="8">
        <f t="shared" si="896"/>
        <v>4.8970045017722522E-2</v>
      </c>
      <c r="AU137" s="8">
        <f t="shared" si="897"/>
        <v>4.8969752941997291E-2</v>
      </c>
      <c r="AV137" s="8">
        <f t="shared" si="898"/>
        <v>4.8969371922301282E-2</v>
      </c>
      <c r="AW137" s="8">
        <f t="shared" si="899"/>
        <v>4.8968878082689009E-2</v>
      </c>
      <c r="AX137" s="8">
        <f t="shared" si="900"/>
        <v>4.8968241954324095E-2</v>
      </c>
      <c r="AY137" s="8">
        <f t="shared" si="901"/>
        <v>4.8967427346780674E-2</v>
      </c>
      <c r="AZ137" s="8">
        <f t="shared" si="902"/>
        <v>4.8966390026345168E-2</v>
      </c>
      <c r="BA137" s="8">
        <f t="shared" si="903"/>
        <v>4.8965076173973936E-2</v>
      </c>
      <c r="BB137" s="8">
        <f t="shared" si="904"/>
        <v>4.8963420592451568E-2</v>
      </c>
      <c r="BC137" s="8">
        <f t="shared" si="905"/>
        <v>4.8961344628912273E-2</v>
      </c>
      <c r="BD137" s="8">
        <f t="shared" si="906"/>
        <v>4.8958753775217231E-2</v>
      </c>
      <c r="BE137" s="8">
        <f t="shared" si="907"/>
        <v>4.8955534904705188E-2</v>
      </c>
      <c r="BF137" s="8">
        <f t="shared" si="908"/>
        <v>4.8951553099535472E-2</v>
      </c>
      <c r="BG137" s="8">
        <f t="shared" si="909"/>
        <v>4.8946648018202116E-2</v>
      </c>
      <c r="BH137" s="8">
        <f t="shared" si="910"/>
        <v>4.8940629747796095E-2</v>
      </c>
      <c r="BI137" s="8">
        <f t="shared" si="911"/>
        <v>4.8933274080210136E-2</v>
      </c>
      <c r="BJ137" s="8">
        <f t="shared" si="912"/>
        <v>4.8924317145695617E-2</v>
      </c>
      <c r="BK137" s="8">
        <f t="shared" si="913"/>
        <v>4.8913449330973691E-2</v>
      </c>
      <c r="BL137" s="8">
        <f t="shared" si="914"/>
        <v>4.8900308402449306E-2</v>
      </c>
      <c r="BM137" s="8">
        <f t="shared" si="915"/>
        <v>4.88844717479563E-2</v>
      </c>
      <c r="BN137" s="8">
        <f t="shared" si="916"/>
        <v>4.8865447642849481E-2</v>
      </c>
      <c r="BO137" s="8">
        <f t="shared" si="917"/>
        <v>4.8842665438131733E-2</v>
      </c>
      <c r="BP137" s="8">
        <f t="shared" si="918"/>
        <v>4.8815464559636666E-2</v>
      </c>
      <c r="BQ137" s="8">
        <f t="shared" si="919"/>
        <v>4.8783082198053079E-2</v>
      </c>
      <c r="BR137" s="8">
        <f t="shared" si="920"/>
        <v>4.8744639559751793E-2</v>
      </c>
      <c r="BS137" s="8">
        <f t="shared" si="921"/>
        <v>4.8699126537929863E-2</v>
      </c>
      <c r="BT137" s="8">
        <f t="shared" si="922"/>
        <v>4.8645384652494843E-2</v>
      </c>
      <c r="BU137" s="8">
        <f t="shared" si="923"/>
        <v>4.8582088095343666E-2</v>
      </c>
      <c r="BV137" s="8">
        <f t="shared" si="924"/>
        <v>4.8507722705217145E-2</v>
      </c>
      <c r="BW137" s="8">
        <f t="shared" si="925"/>
        <v>4.842056268310322E-2</v>
      </c>
      <c r="BX137" s="8">
        <f t="shared" si="926"/>
        <v>4.8318644845186762E-2</v>
      </c>
      <c r="BY137" s="8">
        <f t="shared" si="927"/>
        <v>4.8199740195571807E-2</v>
      </c>
      <c r="BZ137" s="8">
        <f t="shared" si="928"/>
        <v>4.8061322585398872E-2</v>
      </c>
      <c r="CA137" s="8">
        <f t="shared" si="929"/>
        <v>4.7900534208513375E-2</v>
      </c>
      <c r="CB137" s="8">
        <f t="shared" si="930"/>
        <v>4.7714147666476678E-2</v>
      </c>
      <c r="CC137" s="8">
        <f t="shared" si="931"/>
        <v>4.7498524317413561E-2</v>
      </c>
      <c r="CD137" s="8">
        <f t="shared" si="932"/>
        <v>4.7249568603923861E-2</v>
      </c>
      <c r="CE137" s="8">
        <f t="shared" si="933"/>
        <v>4.6962678035014319E-2</v>
      </c>
      <c r="CF137" s="8">
        <f t="shared" ref="CF137" si="1059">ABS(SQRT(2)*($A$99*2*$D$98/($F$4*$G4^2))*(1-(CA$103*2/($F$4))^$E$98))</f>
        <v>4.6632688475691922E-2</v>
      </c>
      <c r="CG137" s="8">
        <f t="shared" si="934"/>
        <v>4.6253814375464476E-2</v>
      </c>
      <c r="CH137" s="8">
        <f t="shared" si="935"/>
        <v>4.581958354347742E-2</v>
      </c>
      <c r="CI137" s="8">
        <f t="shared" si="936"/>
        <v>4.5322766053339084E-2</v>
      </c>
      <c r="CJ137" s="8">
        <f t="shared" si="937"/>
        <v>4.4755296834807848E-2</v>
      </c>
      <c r="CK137" s="8">
        <f t="shared" si="938"/>
        <v>4.410819148239243E-2</v>
      </c>
      <c r="CL137" s="8">
        <f t="shared" si="939"/>
        <v>4.3371454782508118E-2</v>
      </c>
      <c r="CM137" s="8">
        <f t="shared" si="940"/>
        <v>4.2533981431093486E-2</v>
      </c>
      <c r="CN137" s="8">
        <f t="shared" si="941"/>
        <v>4.1583448382478821E-2</v>
      </c>
      <c r="CO137" s="8">
        <f t="shared" si="942"/>
        <v>4.0506198237764975E-2</v>
      </c>
      <c r="CP137" s="8">
        <f t="shared" si="943"/>
        <v>3.928711304697146E-2</v>
      </c>
      <c r="CQ137" s="8">
        <f t="shared" si="944"/>
        <v>3.7909477863699845E-2</v>
      </c>
      <c r="CR137" s="8">
        <f t="shared" si="945"/>
        <v>3.6354833353982381E-2</v>
      </c>
      <c r="CS137" s="8">
        <f t="shared" si="946"/>
        <v>3.4602816722300096E-2</v>
      </c>
      <c r="CT137" s="8">
        <f t="shared" si="947"/>
        <v>3.2630990177405325E-2</v>
      </c>
      <c r="CU137" s="8">
        <f t="shared" si="948"/>
        <v>3.041465611852346E-2</v>
      </c>
      <c r="CV137" s="8">
        <f t="shared" si="949"/>
        <v>2.792665817868244E-2</v>
      </c>
      <c r="CW137" s="8">
        <f t="shared" si="950"/>
        <v>2.5137167216275222E-2</v>
      </c>
      <c r="CX137" s="8">
        <f t="shared" si="951"/>
        <v>2.2013451298444738E-2</v>
      </c>
      <c r="CY137" s="8">
        <f t="shared" si="952"/>
        <v>1.8519628670437851E-2</v>
      </c>
      <c r="CZ137" s="8">
        <f t="shared" si="953"/>
        <v>1.4616402653649888E-2</v>
      </c>
      <c r="DA137" s="8">
        <f t="shared" si="954"/>
        <v>1.0260777361614735E-2</v>
      </c>
      <c r="DB137" s="8">
        <f t="shared" si="955"/>
        <v>5.4057530676316669E-3</v>
      </c>
      <c r="DC137" s="8">
        <f t="shared" si="956"/>
        <v>1.1417409740526598E-15</v>
      </c>
      <c r="DD137" s="8"/>
      <c r="DE137" s="8">
        <f t="shared" si="957"/>
        <v>0.3456398125740372</v>
      </c>
      <c r="DF137" s="8">
        <f t="shared" si="958"/>
        <v>0.3456398125740372</v>
      </c>
      <c r="DG137" s="8">
        <f t="shared" si="959"/>
        <v>0.34563981257403664</v>
      </c>
      <c r="DH137" s="8">
        <f t="shared" si="960"/>
        <v>0.34563981257399368</v>
      </c>
      <c r="DI137" s="8">
        <f t="shared" si="961"/>
        <v>0.34563981257310833</v>
      </c>
      <c r="DJ137" s="8">
        <f t="shared" si="962"/>
        <v>0.34563981256406251</v>
      </c>
      <c r="DK137" s="8">
        <f t="shared" si="963"/>
        <v>0.3456398125046547</v>
      </c>
      <c r="DL137" s="8">
        <f t="shared" si="964"/>
        <v>0.345639812216396</v>
      </c>
      <c r="DM137" s="8">
        <f t="shared" si="965"/>
        <v>0.3456398110936309</v>
      </c>
      <c r="DN137" s="8">
        <f t="shared" si="966"/>
        <v>0.34563980739135564</v>
      </c>
      <c r="DO137" s="8">
        <f t="shared" si="967"/>
        <v>0.34563979667634182</v>
      </c>
      <c r="DP137" s="8">
        <f t="shared" si="968"/>
        <v>0.34563976875329677</v>
      </c>
      <c r="DQ137" s="8">
        <f t="shared" si="969"/>
        <v>0.34563970199227478</v>
      </c>
      <c r="DR137" s="8">
        <f t="shared" si="970"/>
        <v>0.34563955345997871</v>
      </c>
      <c r="DS137" s="8">
        <f t="shared" si="971"/>
        <v>0.34563924256852741</v>
      </c>
      <c r="DT137" s="8">
        <f t="shared" si="972"/>
        <v>0.34563862507141407</v>
      </c>
      <c r="DU137" s="8">
        <f t="shared" si="973"/>
        <v>0.34563745312654565</v>
      </c>
      <c r="DV137" s="8">
        <f t="shared" si="974"/>
        <v>0.3456353157774969</v>
      </c>
      <c r="DW137" s="8">
        <f t="shared" si="975"/>
        <v>0.34563155254175087</v>
      </c>
      <c r="DX137" s="8">
        <f t="shared" si="976"/>
        <v>0.34562513080235502</v>
      </c>
      <c r="DY137" s="8">
        <f t="shared" si="977"/>
        <v>0.34561447533910961</v>
      </c>
      <c r="DZ137" s="8">
        <f t="shared" si="978"/>
        <v>0.34559723556750349</v>
      </c>
      <c r="EA137" s="8">
        <f t="shared" si="979"/>
        <v>0.3455699728369564</v>
      </c>
      <c r="EB137" s="8">
        <f t="shared" si="980"/>
        <v>0.34552774643180739</v>
      </c>
      <c r="EC137" s="8">
        <f t="shared" si="981"/>
        <v>0.34546357267467886</v>
      </c>
      <c r="ED137" s="8">
        <f t="shared" si="982"/>
        <v>0.34536772670662313</v>
      </c>
      <c r="EE137" s="8">
        <f t="shared" si="983"/>
        <v>0.34522685106462009</v>
      </c>
      <c r="EF137" s="8">
        <f t="shared" si="984"/>
        <v>0.34502282904582493</v>
      </c>
      <c r="EG137" s="8">
        <f t="shared" si="985"/>
        <v>0.34473137398924075</v>
      </c>
      <c r="EH137" s="8">
        <f t="shared" si="986"/>
        <v>0.34432027796739145</v>
      </c>
      <c r="EI137" s="8">
        <f t="shared" si="987"/>
        <v>0.34374725490960845</v>
      </c>
      <c r="EJ137" s="8">
        <f t="shared" si="988"/>
        <v>0.34295730381937084</v>
      </c>
      <c r="EK137" s="8">
        <f t="shared" si="989"/>
        <v>0.34187950744330348</v>
      </c>
      <c r="EL137" s="8">
        <f t="shared" si="990"/>
        <v>0.34042317043900544</v>
      </c>
      <c r="EM137" s="8">
        <f t="shared" si="991"/>
        <v>0.33847318870985083</v>
      </c>
      <c r="EN137" s="8">
        <f t="shared" si="992"/>
        <v>0.33588452806040581</v>
      </c>
      <c r="EO137" s="8">
        <f t="shared" si="993"/>
        <v>0.33247567560423114</v>
      </c>
      <c r="EP137" s="8">
        <f t="shared" si="994"/>
        <v>0.32802091134800865</v>
      </c>
      <c r="EQ137" s="8">
        <f t="shared" si="995"/>
        <v>0.32224122999464927</v>
      </c>
      <c r="ER137" s="8">
        <f t="shared" si="996"/>
        <v>0.31479372415378182</v>
      </c>
      <c r="ES137" s="8">
        <f t="shared" si="997"/>
        <v>0.30525921970503545</v>
      </c>
      <c r="ET137" s="8">
        <f t="shared" si="998"/>
        <v>0.29312793189018294</v>
      </c>
      <c r="EU137" s="8">
        <f t="shared" si="999"/>
        <v>0.27778288664735862</v>
      </c>
      <c r="EV137" s="8">
        <f t="shared" si="1000"/>
        <v>0.25848082553768387</v>
      </c>
      <c r="EW137" s="8">
        <f t="shared" si="1001"/>
        <v>0.23433028409230955</v>
      </c>
      <c r="EX137" s="8">
        <f t="shared" si="1002"/>
        <v>0.20426650219696585</v>
      </c>
      <c r="EY137" s="8">
        <f t="shared" si="1003"/>
        <v>0.16702279080973631</v>
      </c>
      <c r="EZ137" s="8">
        <f t="shared" si="1004"/>
        <v>0.12109794133272696</v>
      </c>
      <c r="FA137" s="8">
        <f t="shared" si="1005"/>
        <v>6.4719221627115062E-2</v>
      </c>
      <c r="FB137" s="8">
        <f t="shared" si="1006"/>
        <v>4.1995449356884472E-3</v>
      </c>
      <c r="FC137" s="8">
        <f t="shared" si="1007"/>
        <v>8.8105375034880737E-2</v>
      </c>
      <c r="FD137" s="8">
        <f t="shared" si="1008"/>
        <v>0.18985961523185896</v>
      </c>
      <c r="FE137" s="8">
        <f t="shared" si="1009"/>
        <v>0.31279821768523119</v>
      </c>
      <c r="FF137" s="8">
        <f t="shared" si="1010"/>
        <v>0.46079957780838621</v>
      </c>
      <c r="FG137" s="8">
        <f t="shared" si="1011"/>
        <v>0.63836081015493051</v>
      </c>
      <c r="FH137" s="8">
        <f t="shared" si="1012"/>
        <v>0.85068345905753373</v>
      </c>
      <c r="FI137" s="8">
        <f t="shared" si="1013"/>
        <v>1.1037697862459475</v>
      </c>
      <c r="FJ137" s="8">
        <f t="shared" si="1014"/>
        <v>1.4045309558321784</v>
      </c>
      <c r="FK137" s="8">
        <f t="shared" si="1015"/>
        <v>1.7609086566725547</v>
      </c>
      <c r="FL137" s="8">
        <f t="shared" si="1016"/>
        <v>2.1820119747634776</v>
      </c>
      <c r="FM137" s="8">
        <f t="shared" si="1017"/>
        <v>2.6782716688907882</v>
      </c>
      <c r="FN137" s="8">
        <f t="shared" si="1018"/>
        <v>3.261614430416524</v>
      </c>
      <c r="FO137" s="8">
        <f t="shared" si="1019"/>
        <v>3.9456602476729024</v>
      </c>
      <c r="FP137" s="8">
        <f t="shared" si="1020"/>
        <v>4.7459466791110021</v>
      </c>
      <c r="FQ137" s="8">
        <f t="shared" si="1021"/>
        <v>5.6801847090668343</v>
      </c>
      <c r="FR137" s="8">
        <f t="shared" si="1022"/>
        <v>6.7685519706727746</v>
      </c>
      <c r="FS137" s="8">
        <f t="shared" ref="FS137" si="1060">BU142/BU137</f>
        <v>8.034030544440574</v>
      </c>
      <c r="FT137" s="8">
        <f t="shared" si="1023"/>
        <v>9.5027983744356739</v>
      </c>
      <c r="FU137" s="8">
        <f t="shared" si="1024"/>
        <v>11.204685715214712</v>
      </c>
      <c r="FV137" s="8">
        <f t="shared" si="1025"/>
        <v>13.173711105118826</v>
      </c>
      <c r="FW137" s="8">
        <f t="shared" si="1026"/>
        <v>15.448715391008887</v>
      </c>
      <c r="FX137" s="8">
        <f t="shared" si="1027"/>
        <v>18.074117630461473</v>
      </c>
      <c r="FY137" s="8">
        <f t="shared" si="1028"/>
        <v>21.100823720388377</v>
      </c>
      <c r="FZ137" s="8">
        <f t="shared" si="1029"/>
        <v>24.587327978938671</v>
      </c>
      <c r="GA137" s="8">
        <f t="shared" si="1030"/>
        <v>28.601060539832858</v>
      </c>
      <c r="GB137" s="8">
        <f t="shared" si="1031"/>
        <v>33.22005059900026</v>
      </c>
      <c r="GC137" s="8">
        <f t="shared" si="1032"/>
        <v>38.534999168672726</v>
      </c>
      <c r="GD137" s="8">
        <f t="shared" ref="GD137" si="1061">CF142/CF137</f>
        <v>44.651887831407699</v>
      </c>
      <c r="GE137" s="8">
        <f t="shared" si="1033"/>
        <v>51.695296226678366</v>
      </c>
      <c r="GF137" s="8">
        <f t="shared" si="1034"/>
        <v>59.812667016779216</v>
      </c>
      <c r="GG137" s="8">
        <f t="shared" si="1035"/>
        <v>69.179852742587897</v>
      </c>
      <c r="GH137" s="8">
        <f t="shared" si="1036"/>
        <v>80.008419888165534</v>
      </c>
      <c r="GI137" s="8">
        <f t="shared" si="1037"/>
        <v>92.555396753709132</v>
      </c>
      <c r="GJ137" s="8">
        <f t="shared" si="1038"/>
        <v>107.13647477811169</v>
      </c>
      <c r="GK137" s="8">
        <f t="shared" si="1039"/>
        <v>124.14417760370128</v>
      </c>
      <c r="GL137" s="8">
        <f t="shared" si="1040"/>
        <v>144.07331951089432</v>
      </c>
      <c r="GM137" s="8">
        <f t="shared" si="1041"/>
        <v>167.55740107903003</v>
      </c>
      <c r="GN137" s="8">
        <f t="shared" si="1042"/>
        <v>195.42183421204496</v>
      </c>
      <c r="GO137" s="8">
        <f t="shared" si="1043"/>
        <v>228.76381606723604</v>
      </c>
      <c r="GP137" s="8">
        <f t="shared" si="1044"/>
        <v>269.07581207276411</v>
      </c>
      <c r="GQ137" s="8">
        <f t="shared" si="1045"/>
        <v>318.44317539367705</v>
      </c>
      <c r="GR137" s="8">
        <f t="shared" si="1046"/>
        <v>379.87356452891567</v>
      </c>
      <c r="GS137" s="8">
        <f t="shared" si="1047"/>
        <v>457.8734811709009</v>
      </c>
      <c r="GT137" s="8">
        <f t="shared" si="1048"/>
        <v>559.51904583456383</v>
      </c>
      <c r="GU137" s="8">
        <f t="shared" si="1049"/>
        <v>696.59761732421237</v>
      </c>
      <c r="GV137" s="8">
        <f t="shared" si="1050"/>
        <v>890.31943028081298</v>
      </c>
      <c r="GW137" s="8">
        <f t="shared" si="1051"/>
        <v>1183.0967719232031</v>
      </c>
      <c r="GX137" s="8">
        <f t="shared" si="1052"/>
        <v>1673.8816070410301</v>
      </c>
      <c r="GY137" s="8">
        <f t="shared" si="1053"/>
        <v>2659.5161947245606</v>
      </c>
      <c r="GZ137" s="8">
        <f t="shared" si="1054"/>
        <v>5624.1875860971168</v>
      </c>
      <c r="HA137" s="8">
        <f t="shared" ref="HA137" si="1062">DC142/DC137</f>
        <v>2.9635143227568236E+16</v>
      </c>
      <c r="HC137" s="8">
        <f>0.00037</f>
        <v>3.6999999999999999E-4</v>
      </c>
      <c r="HD137" s="8">
        <f t="shared" si="1055"/>
        <v>7.3999999999999999E-4</v>
      </c>
      <c r="HE137" s="8">
        <f t="shared" si="1056"/>
        <v>0.46249999999999997</v>
      </c>
      <c r="HF137" s="8">
        <f t="shared" si="1057"/>
        <v>0.39080459770114945</v>
      </c>
      <c r="HG137" s="8">
        <f t="shared" si="1058"/>
        <v>-7.1695402298850519E-2</v>
      </c>
    </row>
    <row r="138" spans="7:221" x14ac:dyDescent="0.25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</row>
    <row r="139" spans="7:221" x14ac:dyDescent="0.25">
      <c r="G139" s="10" t="s">
        <v>139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</row>
    <row r="140" spans="7:221" x14ac:dyDescent="0.25">
      <c r="G140" s="8">
        <f>ABS(($A$99*2/($G2*$F$4))*$B$98*$F$98*(1-(B$103^$F$98)/(($F$4/2)^$E$98)))</f>
        <v>5.9242021276595745E-2</v>
      </c>
      <c r="H140" s="8">
        <f t="shared" ref="H140:BS140" si="1063">ABS(($A$99*2/($G2*$F$4))*$B$98*$F$98*(1-(C$103^$F$98)/(($F$4/2)^$E$98)))</f>
        <v>5.9242021276595745E-2</v>
      </c>
      <c r="I140" s="8">
        <f t="shared" si="1063"/>
        <v>5.9242021276595648E-2</v>
      </c>
      <c r="J140" s="8">
        <f t="shared" si="1063"/>
        <v>5.9242021276588286E-2</v>
      </c>
      <c r="K140" s="8">
        <f t="shared" si="1063"/>
        <v>5.9242021276436539E-2</v>
      </c>
      <c r="L140" s="8">
        <f t="shared" si="1063"/>
        <v>5.9242021274886064E-2</v>
      </c>
      <c r="M140" s="8">
        <f t="shared" si="1063"/>
        <v>5.9242021264703355E-2</v>
      </c>
      <c r="N140" s="8">
        <f t="shared" si="1063"/>
        <v>5.9242021215294573E-2</v>
      </c>
      <c r="O140" s="8">
        <f t="shared" si="1063"/>
        <v>5.924202102284671E-2</v>
      </c>
      <c r="P140" s="8">
        <f t="shared" si="1063"/>
        <v>5.9242020388253783E-2</v>
      </c>
      <c r="Q140" s="8">
        <f t="shared" si="1063"/>
        <v>5.9242018551624073E-2</v>
      </c>
      <c r="R140" s="8">
        <f t="shared" si="1063"/>
        <v>5.9242013765389186E-2</v>
      </c>
      <c r="S140" s="8">
        <f t="shared" si="1063"/>
        <v>5.9242002321949983E-2</v>
      </c>
      <c r="T140" s="8">
        <f t="shared" si="1063"/>
        <v>5.9241976862040913E-2</v>
      </c>
      <c r="U140" s="8">
        <f t="shared" si="1063"/>
        <v>5.9241923571871767E-2</v>
      </c>
      <c r="V140" s="8">
        <f t="shared" si="1063"/>
        <v>5.924181772558762E-2</v>
      </c>
      <c r="W140" s="8">
        <f t="shared" si="1063"/>
        <v>5.9241616839327507E-2</v>
      </c>
      <c r="X140" s="8">
        <f t="shared" si="1063"/>
        <v>5.9241250468511156E-2</v>
      </c>
      <c r="Y140" s="8">
        <f t="shared" si="1063"/>
        <v>5.924060539499227E-2</v>
      </c>
      <c r="Z140" s="8">
        <f t="shared" si="1063"/>
        <v>5.923950460915188E-2</v>
      </c>
      <c r="AA140" s="8">
        <f t="shared" si="1063"/>
        <v>5.9237678087347964E-2</v>
      </c>
      <c r="AB140" s="8">
        <f t="shared" si="1063"/>
        <v>5.9234722890597072E-2</v>
      </c>
      <c r="AC140" s="8">
        <f t="shared" si="1063"/>
        <v>5.9230049558880254E-2</v>
      </c>
      <c r="AD140" s="8">
        <f t="shared" si="1063"/>
        <v>5.9222811139716613E-2</v>
      </c>
      <c r="AE140" s="8">
        <f t="shared" si="1063"/>
        <v>5.9211810462054107E-2</v>
      </c>
      <c r="AF140" s="8">
        <f t="shared" si="1063"/>
        <v>5.9195380439256026E-2</v>
      </c>
      <c r="AG140" s="8">
        <f t="shared" si="1063"/>
        <v>5.9171231249933523E-2</v>
      </c>
      <c r="AH140" s="8">
        <f t="shared" si="1063"/>
        <v>5.9136257194265324E-2</v>
      </c>
      <c r="AI140" s="8">
        <f t="shared" si="1063"/>
        <v>5.9086294847692324E-2</v>
      </c>
      <c r="AJ140" s="8">
        <f t="shared" si="1063"/>
        <v>5.9015822824677336E-2</v>
      </c>
      <c r="AK140" s="8">
        <f t="shared" si="1063"/>
        <v>5.8917592013547411E-2</v>
      </c>
      <c r="AL140" s="8">
        <f t="shared" si="1063"/>
        <v>5.8782173540026808E-2</v>
      </c>
      <c r="AM140" s="8">
        <f t="shared" si="1063"/>
        <v>5.8597409952435821E-2</v>
      </c>
      <c r="AN140" s="8">
        <f t="shared" si="1063"/>
        <v>5.8347753185965412E-2</v>
      </c>
      <c r="AO140" s="8">
        <f t="shared" si="1063"/>
        <v>5.8013470747009063E-2</v>
      </c>
      <c r="AP140" s="8">
        <f t="shared" si="1063"/>
        <v>5.7569699251095625E-2</v>
      </c>
      <c r="AQ140" s="8">
        <f t="shared" si="1063"/>
        <v>5.698532193915809E-2</v>
      </c>
      <c r="AR140" s="8">
        <f t="shared" si="1063"/>
        <v>5.6221644076118724E-2</v>
      </c>
      <c r="AS140" s="8">
        <f t="shared" si="1063"/>
        <v>5.5230837192288364E-2</v>
      </c>
      <c r="AT140" s="8">
        <f t="shared" si="1063"/>
        <v>5.3954119950875283E-2</v>
      </c>
      <c r="AU140" s="8">
        <f t="shared" si="1063"/>
        <v>5.2319640002778611E-2</v>
      </c>
      <c r="AV140" s="8">
        <f t="shared" si="1063"/>
        <v>5.0240017511408795E-2</v>
      </c>
      <c r="AW140" s="8">
        <f t="shared" si="1063"/>
        <v>4.7609507083921747E-2</v>
      </c>
      <c r="AX140" s="8">
        <f t="shared" si="1063"/>
        <v>4.4300730619189599E-2</v>
      </c>
      <c r="AY140" s="8">
        <f t="shared" si="1063"/>
        <v>4.0160929065042261E-2</v>
      </c>
      <c r="AZ140" s="8">
        <f t="shared" si="1063"/>
        <v>3.5007676255628735E-2</v>
      </c>
      <c r="BA140" s="8">
        <f t="shared" si="1063"/>
        <v>2.8623992861759588E-2</v>
      </c>
      <c r="BB140" s="8">
        <f t="shared" si="1063"/>
        <v>2.0752793020240176E-2</v>
      </c>
      <c r="BC140" s="8">
        <f t="shared" si="1063"/>
        <v>1.1090590399700468E-2</v>
      </c>
      <c r="BD140" s="8">
        <f t="shared" si="1063"/>
        <v>7.1961570266015928E-4</v>
      </c>
      <c r="BE140" s="8">
        <f t="shared" si="1063"/>
        <v>1.509636016984286E-2</v>
      </c>
      <c r="BF140" s="8">
        <f t="shared" si="1063"/>
        <v>3.2528730627679012E-2</v>
      </c>
      <c r="BG140" s="8">
        <f t="shared" si="1063"/>
        <v>5.3586484916159929E-2</v>
      </c>
      <c r="BH140" s="8">
        <f t="shared" si="1063"/>
        <v>7.8931375339113471E-2</v>
      </c>
      <c r="BI140" s="8">
        <f t="shared" si="1063"/>
        <v>0.10932979569881673</v>
      </c>
      <c r="BJ140" s="8">
        <f t="shared" si="1063"/>
        <v>0.14566687569534856</v>
      </c>
      <c r="BK140" s="8">
        <f t="shared" si="1063"/>
        <v>0.18896215629410287</v>
      </c>
      <c r="BL140" s="8">
        <f t="shared" si="1063"/>
        <v>0.24038698915343151</v>
      </c>
      <c r="BM140" s="8">
        <f t="shared" si="1063"/>
        <v>0.30128381317244418</v>
      </c>
      <c r="BN140" s="8">
        <f t="shared" si="1063"/>
        <v>0.37318747168106364</v>
      </c>
      <c r="BO140" s="8">
        <f t="shared" si="1063"/>
        <v>0.45784874476620824</v>
      </c>
      <c r="BP140" s="8">
        <f t="shared" si="1063"/>
        <v>0.55726028272319084</v>
      </c>
      <c r="BQ140" s="8">
        <f t="shared" si="1063"/>
        <v>0.67368513865736201</v>
      </c>
      <c r="BR140" s="8">
        <f t="shared" si="1063"/>
        <v>0.80968811085073378</v>
      </c>
      <c r="BS140" s="8">
        <f t="shared" si="1063"/>
        <v>0.9681701186698104</v>
      </c>
      <c r="BT140" s="8">
        <f t="shared" ref="BT140:DC140" si="1064">ABS(($A$99*2/($G2*$F$4))*$B$98*$F$98*(1-(BO$103^$F$98)/(($F$4/2)^$E$98)))</f>
        <v>1.152405849538227</v>
      </c>
      <c r="BU140" s="8">
        <f t="shared" si="1064"/>
        <v>1.3660849288474284</v>
      </c>
      <c r="BV140" s="8">
        <f t="shared" si="1064"/>
        <v>1.6133568796474991</v>
      </c>
      <c r="BW140" s="8">
        <f t="shared" si="1064"/>
        <v>1.8988801545630887</v>
      </c>
      <c r="BX140" s="8">
        <f t="shared" si="1064"/>
        <v>2.2278755386346534</v>
      </c>
      <c r="BY140" s="8">
        <f t="shared" si="1064"/>
        <v>2.6061842387068599</v>
      </c>
      <c r="BZ140" s="8">
        <f t="shared" si="1064"/>
        <v>3.040330992594189</v>
      </c>
      <c r="CA140" s="8">
        <f t="shared" si="1064"/>
        <v>3.5375925495619596</v>
      </c>
      <c r="CB140" s="8">
        <f t="shared" si="1064"/>
        <v>4.1060718926891075</v>
      </c>
      <c r="CC140" s="8">
        <f t="shared" si="1064"/>
        <v>4.7547785934427402</v>
      </c>
      <c r="CD140" s="8">
        <f t="shared" si="1064"/>
        <v>5.4937157093114974</v>
      </c>
      <c r="CE140" s="8">
        <f t="shared" si="1064"/>
        <v>6.3339736566327272</v>
      </c>
      <c r="CF140" s="8">
        <f t="shared" si="1064"/>
        <v>7.2878315128275108</v>
      </c>
      <c r="CG140" s="8">
        <f t="shared" si="1064"/>
        <v>8.3688662251370065</v>
      </c>
      <c r="CH140" s="8">
        <f t="shared" si="1064"/>
        <v>9.5920702266672908</v>
      </c>
      <c r="CI140" s="8">
        <f t="shared" si="1064"/>
        <v>10.973977985098658</v>
      </c>
      <c r="CJ140" s="8">
        <f t="shared" si="1064"/>
        <v>12.532802034825774</v>
      </c>
      <c r="CK140" s="8">
        <f t="shared" si="1064"/>
        <v>14.288579069594919</v>
      </c>
      <c r="CL140" s="8">
        <f t="shared" si="1064"/>
        <v>16.263326699886679</v>
      </c>
      <c r="CM140" s="8">
        <f t="shared" si="1064"/>
        <v>18.481211507409711</v>
      </c>
      <c r="CN140" s="8">
        <f t="shared" si="1064"/>
        <v>20.968729058107787</v>
      </c>
      <c r="CO140" s="8">
        <f t="shared" si="1064"/>
        <v>23.754896565091599</v>
      </c>
      <c r="CP140" s="8">
        <f t="shared" si="1064"/>
        <v>26.871458923872943</v>
      </c>
      <c r="CQ140" s="8">
        <f t="shared" si="1064"/>
        <v>30.353108874257362</v>
      </c>
      <c r="CR140" s="8">
        <f t="shared" si="1064"/>
        <v>34.23772207622487</v>
      </c>
      <c r="CS140" s="8">
        <f t="shared" si="1064"/>
        <v>38.566607921151359</v>
      </c>
      <c r="CT140" s="8">
        <f t="shared" si="1064"/>
        <v>43.384776934796491</v>
      </c>
      <c r="CU140" s="8">
        <f t="shared" si="1064"/>
        <v>48.741225664614625</v>
      </c>
      <c r="CV140" s="8">
        <f t="shared" si="1064"/>
        <v>54.689239981195463</v>
      </c>
      <c r="CW140" s="8">
        <f t="shared" si="1064"/>
        <v>61.286717761981684</v>
      </c>
      <c r="CX140" s="8">
        <f t="shared" si="1064"/>
        <v>68.596511964910107</v>
      </c>
      <c r="CY140" s="8">
        <f t="shared" si="1064"/>
        <v>76.68679514023998</v>
      </c>
      <c r="CZ140" s="8">
        <f t="shared" si="1064"/>
        <v>85.631446470675883</v>
      </c>
      <c r="DA140" s="8">
        <f t="shared" si="1064"/>
        <v>95.510462472871396</v>
      </c>
      <c r="DB140" s="8">
        <f t="shared" si="1064"/>
        <v>106.41039253768152</v>
      </c>
      <c r="DC140" s="8">
        <f t="shared" si="1064"/>
        <v>118.42480053191846</v>
      </c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</row>
    <row r="141" spans="7:221" x14ac:dyDescent="0.25">
      <c r="G141" s="8">
        <f t="shared" ref="G141:G142" si="1065">ABS(($A$99*2/($G3*$F$4))*$B$98*$F$98*(1-(B$103^$F$98)/(($F$4/2)^$E$98)))</f>
        <v>2.632978723404255E-2</v>
      </c>
      <c r="H141" s="8">
        <f t="shared" ref="H141:H142" si="1066">ABS(($A$99*2/($G3*$F$4))*$B$98*$F$98*(1-(C$103^$F$98)/(($F$4/2)^$E$98)))</f>
        <v>2.632978723404255E-2</v>
      </c>
      <c r="I141" s="8">
        <f t="shared" ref="I141:I142" si="1067">ABS(($A$99*2/($G3*$F$4))*$B$98*$F$98*(1-(D$103^$F$98)/(($F$4/2)^$E$98)))</f>
        <v>2.6329787234042504E-2</v>
      </c>
      <c r="J141" s="8">
        <f t="shared" ref="J141:J142" si="1068">ABS(($A$99*2/($G3*$F$4))*$B$98*$F$98*(1-(E$103^$F$98)/(($F$4/2)^$E$98)))</f>
        <v>2.6329787234039236E-2</v>
      </c>
      <c r="K141" s="8">
        <f t="shared" ref="K141:K142" si="1069">ABS(($A$99*2/($G3*$F$4))*$B$98*$F$98*(1-(F$103^$F$98)/(($F$4/2)^$E$98)))</f>
        <v>2.632978723397179E-2</v>
      </c>
      <c r="L141" s="8">
        <f t="shared" ref="L141:L142" si="1070">ABS(($A$99*2/($G3*$F$4))*$B$98*$F$98*(1-(G$103^$F$98)/(($F$4/2)^$E$98)))</f>
        <v>2.6329787233282692E-2</v>
      </c>
      <c r="M141" s="8">
        <f t="shared" ref="M141:M142" si="1071">ABS(($A$99*2/($G3*$F$4))*$B$98*$F$98*(1-(H$103^$F$98)/(($F$4/2)^$E$98)))</f>
        <v>2.6329787228757045E-2</v>
      </c>
      <c r="N141" s="8">
        <f t="shared" ref="N141:N142" si="1072">ABS(($A$99*2/($G3*$F$4))*$B$98*$F$98*(1-(I$103^$F$98)/(($F$4/2)^$E$98)))</f>
        <v>2.6329787206797583E-2</v>
      </c>
      <c r="O141" s="8">
        <f t="shared" ref="O141:O142" si="1073">ABS(($A$99*2/($G3*$F$4))*$B$98*$F$98*(1-(J$103^$F$98)/(($F$4/2)^$E$98)))</f>
        <v>2.63297871212652E-2</v>
      </c>
      <c r="P141" s="8">
        <f t="shared" ref="P141:P142" si="1074">ABS(($A$99*2/($G3*$F$4))*$B$98*$F$98*(1-(K$103^$F$98)/(($F$4/2)^$E$98)))</f>
        <v>2.63297868392239E-2</v>
      </c>
      <c r="Q141" s="8">
        <f t="shared" ref="Q141:Q142" si="1075">ABS(($A$99*2/($G3*$F$4))*$B$98*$F$98*(1-(L$103^$F$98)/(($F$4/2)^$E$98)))</f>
        <v>2.6329786022944029E-2</v>
      </c>
      <c r="R141" s="8">
        <f t="shared" ref="R141:R142" si="1076">ABS(($A$99*2/($G3*$F$4))*$B$98*$F$98*(1-(M$103^$F$98)/(($F$4/2)^$E$98)))</f>
        <v>2.6329783895728522E-2</v>
      </c>
      <c r="S141" s="8">
        <f t="shared" ref="S141:S142" si="1077">ABS(($A$99*2/($G3*$F$4))*$B$98*$F$98*(1-(N$103^$F$98)/(($F$4/2)^$E$98)))</f>
        <v>2.6329778809755542E-2</v>
      </c>
      <c r="T141" s="8">
        <f t="shared" ref="T141:T142" si="1078">ABS(($A$99*2/($G3*$F$4))*$B$98*$F$98*(1-(O$103^$F$98)/(($F$4/2)^$E$98)))</f>
        <v>2.6329767494240403E-2</v>
      </c>
      <c r="U141" s="8">
        <f t="shared" ref="U141:U142" si="1079">ABS(($A$99*2/($G3*$F$4))*$B$98*$F$98*(1-(P$103^$F$98)/(($F$4/2)^$E$98)))</f>
        <v>2.6329743809720783E-2</v>
      </c>
      <c r="V141" s="8">
        <f t="shared" ref="V141:V142" si="1080">ABS(($A$99*2/($G3*$F$4))*$B$98*$F$98*(1-(Q$103^$F$98)/(($F$4/2)^$E$98)))</f>
        <v>2.6329696766927826E-2</v>
      </c>
      <c r="W141" s="8">
        <f t="shared" ref="W141:W142" si="1081">ABS(($A$99*2/($G3*$F$4))*$B$98*$F$98*(1-(R$103^$F$98)/(($F$4/2)^$E$98)))</f>
        <v>2.6329607484145555E-2</v>
      </c>
      <c r="X141" s="8">
        <f t="shared" ref="X141:X142" si="1082">ABS(($A$99*2/($G3*$F$4))*$B$98*$F$98*(1-(S$103^$F$98)/(($F$4/2)^$E$98)))</f>
        <v>2.6329444652671622E-2</v>
      </c>
      <c r="Y141" s="8">
        <f t="shared" ref="Y141:Y142" si="1083">ABS(($A$99*2/($G3*$F$4))*$B$98*$F$98*(1-(T$103^$F$98)/(($F$4/2)^$E$98)))</f>
        <v>2.6329157953329893E-2</v>
      </c>
      <c r="Z141" s="8">
        <f t="shared" ref="Z141:Z142" si="1084">ABS(($A$99*2/($G3*$F$4))*$B$98*$F$98*(1-(U$103^$F$98)/(($F$4/2)^$E$98)))</f>
        <v>2.632866871517861E-2</v>
      </c>
      <c r="AA141" s="8">
        <f t="shared" ref="AA141:AA142" si="1085">ABS(($A$99*2/($G3*$F$4))*$B$98*$F$98*(1-(V$103^$F$98)/(($F$4/2)^$E$98)))</f>
        <v>2.6327856927710201E-2</v>
      </c>
      <c r="AB141" s="8">
        <f t="shared" ref="AB141:AB142" si="1086">ABS(($A$99*2/($G3*$F$4))*$B$98*$F$98*(1-(W$103^$F$98)/(($F$4/2)^$E$98)))</f>
        <v>2.6326543506932028E-2</v>
      </c>
      <c r="AC141" s="8">
        <f t="shared" ref="AC141:AC142" si="1087">ABS(($A$99*2/($G3*$F$4))*$B$98*$F$98*(1-(X$103^$F$98)/(($F$4/2)^$E$98)))</f>
        <v>2.6324466470613442E-2</v>
      </c>
      <c r="AD141" s="8">
        <f t="shared" ref="AD141:AD142" si="1088">ABS(($A$99*2/($G3*$F$4))*$B$98*$F$98*(1-(Y$103^$F$98)/(($F$4/2)^$E$98)))</f>
        <v>2.6321249395429604E-2</v>
      </c>
      <c r="AE141" s="8">
        <f t="shared" ref="AE141:AE142" si="1089">ABS(($A$99*2/($G3*$F$4))*$B$98*$F$98*(1-(Z$103^$F$98)/(($F$4/2)^$E$98)))</f>
        <v>2.6316360205357377E-2</v>
      </c>
      <c r="AF141" s="8">
        <f t="shared" ref="AF141:AF142" si="1090">ABS(($A$99*2/($G3*$F$4))*$B$98*$F$98*(1-(AA$103^$F$98)/(($F$4/2)^$E$98)))</f>
        <v>2.6309057973002672E-2</v>
      </c>
      <c r="AG141" s="8">
        <f t="shared" ref="AG141:AG142" si="1091">ABS(($A$99*2/($G3*$F$4))*$B$98*$F$98*(1-(AB$103^$F$98)/(($F$4/2)^$E$98)))</f>
        <v>2.6298324999970452E-2</v>
      </c>
      <c r="AH141" s="8">
        <f t="shared" ref="AH141:AH142" si="1092">ABS(($A$99*2/($G3*$F$4))*$B$98*$F$98*(1-(AC$103^$F$98)/(($F$4/2)^$E$98)))</f>
        <v>2.6282780975229028E-2</v>
      </c>
      <c r="AI141" s="8">
        <f t="shared" ref="AI141:AI142" si="1093">ABS(($A$99*2/($G3*$F$4))*$B$98*$F$98*(1-(AD$103^$F$98)/(($F$4/2)^$E$98)))</f>
        <v>2.6260575487863251E-2</v>
      </c>
      <c r="AJ141" s="8">
        <f t="shared" ref="AJ141:AJ142" si="1094">ABS(($A$99*2/($G3*$F$4))*$B$98*$F$98*(1-(AE$103^$F$98)/(($F$4/2)^$E$98)))</f>
        <v>2.622925458874548E-2</v>
      </c>
      <c r="AK141" s="8">
        <f t="shared" ref="AK141:AK142" si="1095">ABS(($A$99*2/($G3*$F$4))*$B$98*$F$98*(1-(AF$103^$F$98)/(($F$4/2)^$E$98)))</f>
        <v>2.6185596450465514E-2</v>
      </c>
      <c r="AL141" s="8">
        <f t="shared" ref="AL141:AL142" si="1096">ABS(($A$99*2/($G3*$F$4))*$B$98*$F$98*(1-(AG$103^$F$98)/(($F$4/2)^$E$98)))</f>
        <v>2.6125410462234131E-2</v>
      </c>
      <c r="AM141" s="8">
        <f t="shared" ref="AM141:AM142" si="1097">ABS(($A$99*2/($G3*$F$4))*$B$98*$F$98*(1-(AH$103^$F$98)/(($F$4/2)^$E$98)))</f>
        <v>2.6043293312193697E-2</v>
      </c>
      <c r="AN141" s="8">
        <f t="shared" ref="AN141:AN142" si="1098">ABS(($A$99*2/($G3*$F$4))*$B$98*$F$98*(1-(AI$103^$F$98)/(($F$4/2)^$E$98)))</f>
        <v>2.5932334749317956E-2</v>
      </c>
      <c r="AO141" s="8">
        <f t="shared" ref="AO141:AO142" si="1099">ABS(($A$99*2/($G3*$F$4))*$B$98*$F$98*(1-(AJ$103^$F$98)/(($F$4/2)^$E$98)))</f>
        <v>2.5783764776448469E-2</v>
      </c>
      <c r="AP141" s="8">
        <f t="shared" ref="AP141:AP142" si="1100">ABS(($A$99*2/($G3*$F$4))*$B$98*$F$98*(1-(AK$103^$F$98)/(($F$4/2)^$E$98)))</f>
        <v>2.5586533000486942E-2</v>
      </c>
      <c r="AQ141" s="8">
        <f t="shared" ref="AQ141:AQ142" si="1101">ABS(($A$99*2/($G3*$F$4))*$B$98*$F$98*(1-(AL$103^$F$98)/(($F$4/2)^$E$98)))</f>
        <v>2.5326809750736926E-2</v>
      </c>
      <c r="AR141" s="8">
        <f t="shared" ref="AR141:AR142" si="1102">ABS(($A$99*2/($G3*$F$4))*$B$98*$F$98*(1-(AM$103^$F$98)/(($F$4/2)^$E$98)))</f>
        <v>2.4987397367163874E-2</v>
      </c>
      <c r="AS141" s="8">
        <f t="shared" ref="AS141:AS142" si="1103">ABS(($A$99*2/($G3*$F$4))*$B$98*$F$98*(1-(AN$103^$F$98)/(($F$4/2)^$E$98)))</f>
        <v>2.4547038752128159E-2</v>
      </c>
      <c r="AT141" s="8">
        <f t="shared" ref="AT141:AT142" si="1104">ABS(($A$99*2/($G3*$F$4))*$B$98*$F$98*(1-(AO$103^$F$98)/(($F$4/2)^$E$98)))</f>
        <v>2.3979608867055677E-2</v>
      </c>
      <c r="AU141" s="8">
        <f t="shared" ref="AU141:AU142" si="1105">ABS(($A$99*2/($G3*$F$4))*$B$98*$F$98*(1-(AP$103^$F$98)/(($F$4/2)^$E$98)))</f>
        <v>2.3253173334568267E-2</v>
      </c>
      <c r="AV141" s="8">
        <f t="shared" ref="AV141:AV142" si="1106">ABS(($A$99*2/($G3*$F$4))*$B$98*$F$98*(1-(AQ$103^$F$98)/(($F$4/2)^$E$98)))</f>
        <v>2.232889667173724E-2</v>
      </c>
      <c r="AW141" s="8">
        <f t="shared" ref="AW141:AW142" si="1107">ABS(($A$99*2/($G3*$F$4))*$B$98*$F$98*(1-(AR$103^$F$98)/(($F$4/2)^$E$98)))</f>
        <v>2.1159780926187439E-2</v>
      </c>
      <c r="AX141" s="8">
        <f t="shared" ref="AX141:AX142" si="1108">ABS(($A$99*2/($G3*$F$4))*$B$98*$F$98*(1-(AS$103^$F$98)/(($F$4/2)^$E$98)))</f>
        <v>1.9689213608528707E-2</v>
      </c>
      <c r="AY141" s="8">
        <f t="shared" ref="AY141:AY142" si="1109">ABS(($A$99*2/($G3*$F$4))*$B$98*$F$98*(1-(AT$103^$F$98)/(($F$4/2)^$E$98)))</f>
        <v>1.7849301806685446E-2</v>
      </c>
      <c r="AZ141" s="8">
        <f t="shared" ref="AZ141:AZ142" si="1110">ABS(($A$99*2/($G3*$F$4))*$B$98*$F$98*(1-(AU$103^$F$98)/(($F$4/2)^$E$98)))</f>
        <v>1.555896722472388E-2</v>
      </c>
      <c r="BA141" s="8">
        <f t="shared" ref="BA141:BA142" si="1111">ABS(($A$99*2/($G3*$F$4))*$B$98*$F$98*(1-(AV$103^$F$98)/(($F$4/2)^$E$98)))</f>
        <v>1.2721774605226482E-2</v>
      </c>
      <c r="BB141" s="8">
        <f t="shared" ref="BB141:BB142" si="1112">ABS(($A$99*2/($G3*$F$4))*$B$98*$F$98*(1-(AW$103^$F$98)/(($F$4/2)^$E$98)))</f>
        <v>9.2234635645511882E-3</v>
      </c>
      <c r="BC141" s="8">
        <f t="shared" ref="BC141:BC142" si="1113">ABS(($A$99*2/($G3*$F$4))*$B$98*$F$98*(1-(AX$103^$F$98)/(($F$4/2)^$E$98)))</f>
        <v>4.9291512887557629E-3</v>
      </c>
      <c r="BD141" s="8">
        <f t="shared" ref="BD141:BD142" si="1114">ABS(($A$99*2/($G3*$F$4))*$B$98*$F$98*(1-(AY$103^$F$98)/(($F$4/2)^$E$98)))</f>
        <v>3.1982920118229298E-4</v>
      </c>
      <c r="BE141" s="8">
        <f t="shared" ref="BE141:BE142" si="1115">ABS(($A$99*2/($G3*$F$4))*$B$98*$F$98*(1-(AZ$103^$F$98)/(($F$4/2)^$E$98)))</f>
        <v>6.7094934088190476E-3</v>
      </c>
      <c r="BF141" s="8">
        <f t="shared" ref="BF141:BF142" si="1116">ABS(($A$99*2/($G3*$F$4))*$B$98*$F$98*(1-(BA$103^$F$98)/(($F$4/2)^$E$98)))</f>
        <v>1.4457213612301782E-2</v>
      </c>
      <c r="BG141" s="8">
        <f t="shared" ref="BG141:BG142" si="1117">ABS(($A$99*2/($G3*$F$4))*$B$98*$F$98*(1-(BB$103^$F$98)/(($F$4/2)^$E$98)))</f>
        <v>2.3816215518293295E-2</v>
      </c>
      <c r="BH141" s="8">
        <f t="shared" ref="BH141:BH142" si="1118">ABS(($A$99*2/($G3*$F$4))*$B$98*$F$98*(1-(BC$103^$F$98)/(($F$4/2)^$E$98)))</f>
        <v>3.5080611261828203E-2</v>
      </c>
      <c r="BI141" s="8">
        <f t="shared" ref="BI141:BI142" si="1119">ABS(($A$99*2/($G3*$F$4))*$B$98*$F$98*(1-(BD$103^$F$98)/(($F$4/2)^$E$98)))</f>
        <v>4.8591020310585209E-2</v>
      </c>
      <c r="BJ141" s="8">
        <f t="shared" ref="BJ141:BJ142" si="1120">ABS(($A$99*2/($G3*$F$4))*$B$98*$F$98*(1-(BE$103^$F$98)/(($F$4/2)^$E$98)))</f>
        <v>6.4740833642377121E-2</v>
      </c>
      <c r="BK141" s="8">
        <f t="shared" ref="BK141:BK142" si="1121">ABS(($A$99*2/($G3*$F$4))*$B$98*$F$98*(1-(BF$103^$F$98)/(($F$4/2)^$E$98)))</f>
        <v>8.3983180575156829E-2</v>
      </c>
      <c r="BL141" s="8">
        <f t="shared" ref="BL141:BL142" si="1122">ABS(($A$99*2/($G3*$F$4))*$B$98*$F$98*(1-(BG$103^$F$98)/(($F$4/2)^$E$98)))</f>
        <v>0.10683866184596955</v>
      </c>
      <c r="BM141" s="8">
        <f t="shared" ref="BM141:BM142" si="1123">ABS(($A$99*2/($G3*$F$4))*$B$98*$F$98*(1-(BH$103^$F$98)/(($F$4/2)^$E$98)))</f>
        <v>0.13390391696553072</v>
      </c>
      <c r="BN141" s="8">
        <f t="shared" ref="BN141:BN142" si="1124">ABS(($A$99*2/($G3*$F$4))*$B$98*$F$98*(1-(BI$103^$F$98)/(($F$4/2)^$E$98)))</f>
        <v>0.16586109852491715</v>
      </c>
      <c r="BO141" s="8">
        <f t="shared" ref="BO141:BO142" si="1125">ABS(($A$99*2/($G3*$F$4))*$B$98*$F$98*(1-(BJ$103^$F$98)/(($F$4/2)^$E$98)))</f>
        <v>0.20348833100720365</v>
      </c>
      <c r="BP141" s="8">
        <f t="shared" ref="BP141:BP142" si="1126">ABS(($A$99*2/($G3*$F$4))*$B$98*$F$98*(1-(BK$103^$F$98)/(($F$4/2)^$E$98)))</f>
        <v>0.24767123676586253</v>
      </c>
      <c r="BQ141" s="8">
        <f t="shared" ref="BQ141:BQ142" si="1127">ABS(($A$99*2/($G3*$F$4))*$B$98*$F$98*(1-(BL$103^$F$98)/(($F$4/2)^$E$98)))</f>
        <v>0.2994156171810497</v>
      </c>
      <c r="BR141" s="8">
        <f t="shared" ref="BR141:BR142" si="1128">ABS(($A$99*2/($G3*$F$4))*$B$98*$F$98*(1-(BM$103^$F$98)/(($F$4/2)^$E$98)))</f>
        <v>0.35986138260032607</v>
      </c>
      <c r="BS141" s="8">
        <f t="shared" ref="BS141:BS142" si="1129">ABS(($A$99*2/($G3*$F$4))*$B$98*$F$98*(1-(BN$103^$F$98)/(($F$4/2)^$E$98)))</f>
        <v>0.43029783051991566</v>
      </c>
      <c r="BT141" s="8">
        <f t="shared" ref="BT141:BT142" si="1130">ABS(($A$99*2/($G3*$F$4))*$B$98*$F$98*(1-(BO$103^$F$98)/(($F$4/2)^$E$98)))</f>
        <v>0.51218037757254531</v>
      </c>
      <c r="BU141" s="8">
        <f t="shared" ref="BU141:BU142" si="1131">ABS(($A$99*2/($G3*$F$4))*$B$98*$F$98*(1-(BP$103^$F$98)/(($F$4/2)^$E$98)))</f>
        <v>0.6071488572655237</v>
      </c>
      <c r="BV141" s="8">
        <f t="shared" ref="BV141:BV142" si="1132">ABS(($A$99*2/($G3*$F$4))*$B$98*$F$98*(1-(BQ$103^$F$98)/(($F$4/2)^$E$98)))</f>
        <v>0.71704750206555501</v>
      </c>
      <c r="BW141" s="8">
        <f t="shared" ref="BW141:BW142" si="1133">ABS(($A$99*2/($G3*$F$4))*$B$98*$F$98*(1-(BR$103^$F$98)/(($F$4/2)^$E$98)))</f>
        <v>0.84394673536137255</v>
      </c>
      <c r="BX141" s="8">
        <f t="shared" ref="BX141:BX142" si="1134">ABS(($A$99*2/($G3*$F$4))*$B$98*$F$98*(1-(BS$103^$F$98)/(($F$4/2)^$E$98)))</f>
        <v>0.9901669060598457</v>
      </c>
      <c r="BY141" s="8">
        <f t="shared" ref="BY141:BY142" si="1135">ABS(($A$99*2/($G3*$F$4))*$B$98*$F$98*(1-(BT$103^$F$98)/(($F$4/2)^$E$98)))</f>
        <v>1.1583041060919377</v>
      </c>
      <c r="BZ141" s="8">
        <f t="shared" ref="BZ141:BZ142" si="1136">ABS(($A$99*2/($G3*$F$4))*$B$98*$F$98*(1-(BU$103^$F$98)/(($F$4/2)^$E$98)))</f>
        <v>1.3512582189307505</v>
      </c>
      <c r="CA141" s="8">
        <f t="shared" ref="CA141:CA142" si="1137">ABS(($A$99*2/($G3*$F$4))*$B$98*$F$98*(1-(BV$103^$F$98)/(($F$4/2)^$E$98)))</f>
        <v>1.5722633553608707</v>
      </c>
      <c r="CB141" s="8">
        <f t="shared" ref="CB141:CB142" si="1138">ABS(($A$99*2/($G3*$F$4))*$B$98*$F$98*(1-(BW$103^$F$98)/(($F$4/2)^$E$98)))</f>
        <v>1.8249208411951587</v>
      </c>
      <c r="CC141" s="8">
        <f t="shared" ref="CC141:CC142" si="1139">ABS(($A$99*2/($G3*$F$4))*$B$98*$F$98*(1-(BX$103^$F$98)/(($F$4/2)^$E$98)))</f>
        <v>2.1132349304189955</v>
      </c>
      <c r="CD141" s="8">
        <f t="shared" ref="CD141:CD142" si="1140">ABS(($A$99*2/($G3*$F$4))*$B$98*$F$98*(1-(BY$103^$F$98)/(($F$4/2)^$E$98)))</f>
        <v>2.4416514263606652</v>
      </c>
      <c r="CE141" s="8">
        <f t="shared" ref="CE141:CE142" si="1141">ABS(($A$99*2/($G3*$F$4))*$B$98*$F$98*(1-(BZ$103^$F$98)/(($F$4/2)^$E$98)))</f>
        <v>2.8150994029478782</v>
      </c>
      <c r="CF141" s="8">
        <f t="shared" ref="CF141:CF142" si="1142">ABS(($A$99*2/($G3*$F$4))*$B$98*$F$98*(1-(CA$103^$F$98)/(($F$4/2)^$E$98)))</f>
        <v>3.2390362279233376</v>
      </c>
      <c r="CG141" s="8">
        <f t="shared" ref="CG141:CG142" si="1143">ABS(($A$99*2/($G3*$F$4))*$B$98*$F$98*(1-(CB$103^$F$98)/(($F$4/2)^$E$98)))</f>
        <v>3.719496100060891</v>
      </c>
      <c r="CH141" s="8">
        <f t="shared" ref="CH141:CH142" si="1144">ABS(($A$99*2/($G3*$F$4))*$B$98*$F$98*(1-(CC$103^$F$98)/(($F$4/2)^$E$98)))</f>
        <v>4.2631423229632404</v>
      </c>
      <c r="CI141" s="8">
        <f t="shared" ref="CI141:CI142" si="1145">ABS(($A$99*2/($G3*$F$4))*$B$98*$F$98*(1-(CD$103^$F$98)/(($F$4/2)^$E$98)))</f>
        <v>4.8773235489327362</v>
      </c>
      <c r="CJ141" s="8">
        <f t="shared" ref="CJ141:CJ142" si="1146">ABS(($A$99*2/($G3*$F$4))*$B$98*$F$98*(1-(CE$103^$F$98)/(($F$4/2)^$E$98)))</f>
        <v>5.5701342377003433</v>
      </c>
      <c r="CK141" s="8">
        <f t="shared" ref="CK141:CK142" si="1147">ABS(($A$99*2/($G3*$F$4))*$B$98*$F$98*(1-(CF$103^$F$98)/(($F$4/2)^$E$98)))</f>
        <v>6.3504795864866299</v>
      </c>
      <c r="CL141" s="8">
        <f t="shared" ref="CL141:CL142" si="1148">ABS(($A$99*2/($G3*$F$4))*$B$98*$F$98*(1-(CG$103^$F$98)/(($F$4/2)^$E$98)))</f>
        <v>7.2281451999496333</v>
      </c>
      <c r="CM141" s="8">
        <f t="shared" ref="CM141:CM142" si="1149">ABS(($A$99*2/($G3*$F$4))*$B$98*$F$98*(1-(CH$103^$F$98)/(($F$4/2)^$E$98)))</f>
        <v>8.2138717810709814</v>
      </c>
      <c r="CN141" s="8">
        <f t="shared" ref="CN141:CN142" si="1150">ABS(($A$99*2/($G3*$F$4))*$B$98*$F$98*(1-(CI$103^$F$98)/(($F$4/2)^$E$98)))</f>
        <v>9.3194351369367929</v>
      </c>
      <c r="CO141" s="8">
        <f t="shared" ref="CO141:CO142" si="1151">ABS(($A$99*2/($G3*$F$4))*$B$98*$F$98*(1-(CJ$103^$F$98)/(($F$4/2)^$E$98)))</f>
        <v>10.557731806707375</v>
      </c>
      <c r="CP141" s="8">
        <f t="shared" ref="CP141:CP142" si="1152">ABS(($A$99*2/($G3*$F$4))*$B$98*$F$98*(1-(CK$103^$F$98)/(($F$4/2)^$E$98)))</f>
        <v>11.942870632832417</v>
      </c>
      <c r="CQ141" s="8">
        <f t="shared" ref="CQ141:CQ142" si="1153">ABS(($A$99*2/($G3*$F$4))*$B$98*$F$98*(1-(CL$103^$F$98)/(($F$4/2)^$E$98)))</f>
        <v>13.490270610781048</v>
      </c>
      <c r="CR141" s="8">
        <f t="shared" ref="CR141:CR142" si="1154">ABS(($A$99*2/($G3*$F$4))*$B$98*$F$98*(1-(CM$103^$F$98)/(($F$4/2)^$E$98)))</f>
        <v>15.216765367211053</v>
      </c>
      <c r="CS141" s="8">
        <f t="shared" ref="CS141:CS142" si="1155">ABS(($A$99*2/($G3*$F$4))*$B$98*$F$98*(1-(CN$103^$F$98)/(($F$4/2)^$E$98)))</f>
        <v>17.140714631622824</v>
      </c>
      <c r="CT141" s="8">
        <f t="shared" ref="CT141:CT142" si="1156">ABS(($A$99*2/($G3*$F$4))*$B$98*$F$98*(1-(CO$103^$F$98)/(($F$4/2)^$E$98)))</f>
        <v>19.282123082131768</v>
      </c>
      <c r="CU141" s="8">
        <f t="shared" ref="CU141:CU142" si="1157">ABS(($A$99*2/($G3*$F$4))*$B$98*$F$98*(1-(CP$103^$F$98)/(($F$4/2)^$E$98)))</f>
        <v>21.662766962050942</v>
      </c>
      <c r="CV141" s="8">
        <f t="shared" ref="CV141:CV142" si="1158">ABS(($A$99*2/($G3*$F$4))*$B$98*$F$98*(1-(CQ$103^$F$98)/(($F$4/2)^$E$98)))</f>
        <v>24.306328880531314</v>
      </c>
      <c r="CW141" s="8">
        <f t="shared" ref="CW141:CW142" si="1159">ABS(($A$99*2/($G3*$F$4))*$B$98*$F$98*(1-(CR$103^$F$98)/(($F$4/2)^$E$98)))</f>
        <v>27.238541227547412</v>
      </c>
      <c r="CX141" s="8">
        <f t="shared" ref="CX141:CX142" si="1160">ABS(($A$99*2/($G3*$F$4))*$B$98*$F$98*(1-(CS$103^$F$98)/(($F$4/2)^$E$98)))</f>
        <v>30.487338651071155</v>
      </c>
      <c r="CY141" s="8">
        <f t="shared" ref="CY141:CY142" si="1161">ABS(($A$99*2/($G3*$F$4))*$B$98*$F$98*(1-(CT$103^$F$98)/(($F$4/2)^$E$98)))</f>
        <v>34.083020062328877</v>
      </c>
      <c r="CZ141" s="8">
        <f t="shared" ref="CZ141:CZ142" si="1162">ABS(($A$99*2/($G3*$F$4))*$B$98*$F$98*(1-(CU$103^$F$98)/(($F$4/2)^$E$98)))</f>
        <v>38.058420653633725</v>
      </c>
      <c r="DA141" s="8">
        <f t="shared" ref="DA141:DA142" si="1163">ABS(($A$99*2/($G3*$F$4))*$B$98*$F$98*(1-(CV$103^$F$98)/(($F$4/2)^$E$98)))</f>
        <v>42.449094432387284</v>
      </c>
      <c r="DB141" s="8">
        <f t="shared" ref="DB141:DB142" si="1164">ABS(($A$99*2/($G3*$F$4))*$B$98*$F$98*(1-(CW$103^$F$98)/(($F$4/2)^$E$98)))</f>
        <v>47.293507794525112</v>
      </c>
      <c r="DC141" s="8">
        <f t="shared" ref="DC141:DC142" si="1165">ABS(($A$99*2/($G3*$F$4))*$B$98*$F$98*(1-(CX$103^$F$98)/(($F$4/2)^$E$98)))</f>
        <v>52.633244680852641</v>
      </c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</row>
    <row r="142" spans="7:221" x14ac:dyDescent="0.25">
      <c r="G142" s="8">
        <f t="shared" si="1065"/>
        <v>1.6926291793313068E-2</v>
      </c>
      <c r="H142" s="8">
        <f t="shared" si="1066"/>
        <v>1.6926291793313068E-2</v>
      </c>
      <c r="I142" s="8">
        <f t="shared" si="1067"/>
        <v>1.692629179331304E-2</v>
      </c>
      <c r="J142" s="8">
        <f t="shared" si="1068"/>
        <v>1.6926291793310937E-2</v>
      </c>
      <c r="K142" s="8">
        <f t="shared" si="1069"/>
        <v>1.692629179326758E-2</v>
      </c>
      <c r="L142" s="8">
        <f t="shared" si="1070"/>
        <v>1.6926291792824587E-2</v>
      </c>
      <c r="M142" s="8">
        <f t="shared" si="1071"/>
        <v>1.6926291789915244E-2</v>
      </c>
      <c r="N142" s="8">
        <f t="shared" si="1072"/>
        <v>1.6926291775798446E-2</v>
      </c>
      <c r="O142" s="8">
        <f t="shared" si="1073"/>
        <v>1.6926291720813343E-2</v>
      </c>
      <c r="P142" s="8">
        <f t="shared" si="1074"/>
        <v>1.6926291539501079E-2</v>
      </c>
      <c r="Q142" s="8">
        <f t="shared" si="1075"/>
        <v>1.6926291014749732E-2</v>
      </c>
      <c r="R142" s="8">
        <f t="shared" si="1076"/>
        <v>1.692628964725405E-2</v>
      </c>
      <c r="S142" s="8">
        <f t="shared" si="1077"/>
        <v>1.6926286377699992E-2</v>
      </c>
      <c r="T142" s="8">
        <f t="shared" si="1078"/>
        <v>1.6926279103440259E-2</v>
      </c>
      <c r="U142" s="8">
        <f t="shared" si="1079"/>
        <v>1.6926263877677646E-2</v>
      </c>
      <c r="V142" s="8">
        <f t="shared" si="1080"/>
        <v>1.6926233635882176E-2</v>
      </c>
      <c r="W142" s="8">
        <f t="shared" si="1081"/>
        <v>1.6926176239807859E-2</v>
      </c>
      <c r="X142" s="8">
        <f t="shared" si="1082"/>
        <v>1.6926071562431755E-2</v>
      </c>
      <c r="Y142" s="8">
        <f t="shared" si="1083"/>
        <v>1.6925887255712074E-2</v>
      </c>
      <c r="Z142" s="8">
        <f t="shared" si="1084"/>
        <v>1.6925572745471965E-2</v>
      </c>
      <c r="AA142" s="8">
        <f t="shared" si="1085"/>
        <v>1.6925050882099415E-2</v>
      </c>
      <c r="AB142" s="8">
        <f t="shared" si="1086"/>
        <v>1.6924206540170589E-2</v>
      </c>
      <c r="AC142" s="8">
        <f t="shared" si="1087"/>
        <v>1.6922871302537213E-2</v>
      </c>
      <c r="AD142" s="8">
        <f t="shared" si="1088"/>
        <v>1.6920803182776174E-2</v>
      </c>
      <c r="AE142" s="8">
        <f t="shared" si="1089"/>
        <v>1.6917660132015455E-2</v>
      </c>
      <c r="AF142" s="8">
        <f t="shared" si="1090"/>
        <v>1.6912965839787433E-2</v>
      </c>
      <c r="AG142" s="8">
        <f t="shared" si="1091"/>
        <v>1.6906066071409577E-2</v>
      </c>
      <c r="AH142" s="8">
        <f t="shared" si="1092"/>
        <v>1.6896073484075805E-2</v>
      </c>
      <c r="AI142" s="8">
        <f t="shared" si="1093"/>
        <v>1.6881798527912089E-2</v>
      </c>
      <c r="AJ142" s="8">
        <f t="shared" si="1094"/>
        <v>1.6861663664193522E-2</v>
      </c>
      <c r="AK142" s="8">
        <f t="shared" si="1095"/>
        <v>1.6833597718156401E-2</v>
      </c>
      <c r="AL142" s="8">
        <f t="shared" si="1096"/>
        <v>1.6794906725721943E-2</v>
      </c>
      <c r="AM142" s="8">
        <f t="shared" si="1097"/>
        <v>1.6742117129267375E-2</v>
      </c>
      <c r="AN142" s="8">
        <f t="shared" si="1098"/>
        <v>1.6670786624561545E-2</v>
      </c>
      <c r="AO142" s="8">
        <f t="shared" si="1099"/>
        <v>1.65752773562883E-2</v>
      </c>
      <c r="AP142" s="8">
        <f t="shared" si="1100"/>
        <v>1.6448485500313033E-2</v>
      </c>
      <c r="AQ142" s="8">
        <f t="shared" si="1101"/>
        <v>1.6281520554045168E-2</v>
      </c>
      <c r="AR142" s="8">
        <f t="shared" si="1102"/>
        <v>1.606332687889106E-2</v>
      </c>
      <c r="AS142" s="8">
        <f t="shared" si="1103"/>
        <v>1.5780239197796673E-2</v>
      </c>
      <c r="AT142" s="8">
        <f t="shared" si="1104"/>
        <v>1.5415462843107221E-2</v>
      </c>
      <c r="AU142" s="8">
        <f t="shared" si="1105"/>
        <v>1.4948468572222456E-2</v>
      </c>
      <c r="AV142" s="8">
        <f t="shared" si="1106"/>
        <v>1.4354290717545367E-2</v>
      </c>
      <c r="AW142" s="8">
        <f t="shared" si="1107"/>
        <v>1.3602716309691926E-2</v>
      </c>
      <c r="AX142" s="8">
        <f t="shared" si="1108"/>
        <v>1.2657351605482739E-2</v>
      </c>
      <c r="AY142" s="8">
        <f t="shared" si="1109"/>
        <v>1.1474551161440643E-2</v>
      </c>
      <c r="AZ142" s="8">
        <f t="shared" si="1110"/>
        <v>1.0002193215893922E-2</v>
      </c>
      <c r="BA142" s="8">
        <f t="shared" si="1111"/>
        <v>8.1782836747884523E-3</v>
      </c>
      <c r="BB142" s="8">
        <f t="shared" si="1112"/>
        <v>5.9293694343543349E-3</v>
      </c>
      <c r="BC142" s="8">
        <f t="shared" si="1113"/>
        <v>3.168740114200133E-3</v>
      </c>
      <c r="BD142" s="8">
        <f t="shared" si="1114"/>
        <v>2.0560448647433119E-4</v>
      </c>
      <c r="BE142" s="8">
        <f t="shared" si="1115"/>
        <v>4.3132457628122451E-3</v>
      </c>
      <c r="BF142" s="8">
        <f t="shared" si="1116"/>
        <v>9.2939230364797176E-3</v>
      </c>
      <c r="BG142" s="8">
        <f t="shared" si="1117"/>
        <v>1.5310424261759976E-2</v>
      </c>
      <c r="BH142" s="8">
        <f t="shared" si="1118"/>
        <v>2.2551821525460987E-2</v>
      </c>
      <c r="BI142" s="8">
        <f t="shared" si="1119"/>
        <v>3.1237084485376206E-2</v>
      </c>
      <c r="BJ142" s="8">
        <f t="shared" si="1120"/>
        <v>4.1619107341528155E-2</v>
      </c>
      <c r="BK142" s="8">
        <f t="shared" si="1121"/>
        <v>5.3989187512600817E-2</v>
      </c>
      <c r="BL142" s="8">
        <f t="shared" si="1122"/>
        <v>6.8681996900980424E-2</v>
      </c>
      <c r="BM142" s="8">
        <f t="shared" si="1123"/>
        <v>8.6081089477841183E-2</v>
      </c>
      <c r="BN142" s="8">
        <f t="shared" si="1124"/>
        <v>0.10662499190887532</v>
      </c>
      <c r="BO142" s="8">
        <f t="shared" si="1125"/>
        <v>0.13081392707605949</v>
      </c>
      <c r="BP142" s="8">
        <f t="shared" si="1126"/>
        <v>0.15921722363519736</v>
      </c>
      <c r="BQ142" s="8">
        <f t="shared" si="1127"/>
        <v>0.19248146818781767</v>
      </c>
      <c r="BR142" s="8">
        <f t="shared" si="1128"/>
        <v>0.23133946024306679</v>
      </c>
      <c r="BS142" s="8">
        <f t="shared" si="1129"/>
        <v>0.27662003390566009</v>
      </c>
      <c r="BT142" s="8">
        <f t="shared" si="1130"/>
        <v>0.32925881415377911</v>
      </c>
      <c r="BU142" s="8">
        <f t="shared" si="1131"/>
        <v>0.39030997967069381</v>
      </c>
      <c r="BV142" s="8">
        <f t="shared" si="1132"/>
        <v>0.46095910847071392</v>
      </c>
      <c r="BW142" s="8">
        <f t="shared" si="1133"/>
        <v>0.54253718701802522</v>
      </c>
      <c r="BX142" s="8">
        <f t="shared" si="1134"/>
        <v>0.63653586818132935</v>
      </c>
      <c r="BY142" s="8">
        <f t="shared" si="1135"/>
        <v>0.74462406820195992</v>
      </c>
      <c r="BZ142" s="8">
        <f t="shared" si="1136"/>
        <v>0.86866599788405396</v>
      </c>
      <c r="CA142" s="8">
        <f t="shared" si="1137"/>
        <v>1.0107407284462739</v>
      </c>
      <c r="CB142" s="8">
        <f t="shared" si="1138"/>
        <v>1.1731633979111733</v>
      </c>
      <c r="CC142" s="8">
        <f t="shared" si="1139"/>
        <v>1.3585081695550685</v>
      </c>
      <c r="CD142" s="8">
        <f t="shared" si="1140"/>
        <v>1.5696330598032846</v>
      </c>
      <c r="CE142" s="8">
        <f t="shared" si="1141"/>
        <v>1.8097067590379217</v>
      </c>
      <c r="CF142" s="8">
        <f t="shared" si="1142"/>
        <v>2.0822375750935742</v>
      </c>
      <c r="CG142" s="8">
        <f t="shared" si="1143"/>
        <v>2.3911046357534302</v>
      </c>
      <c r="CH142" s="8">
        <f t="shared" si="1144"/>
        <v>2.7405914933335116</v>
      </c>
      <c r="CI142" s="8">
        <f t="shared" si="1145"/>
        <v>3.1354222814567594</v>
      </c>
      <c r="CJ142" s="8">
        <f t="shared" si="1146"/>
        <v>3.5808005813787922</v>
      </c>
      <c r="CK142" s="8">
        <f t="shared" si="1147"/>
        <v>4.0824511627414051</v>
      </c>
      <c r="CL142" s="8">
        <f t="shared" si="1148"/>
        <v>4.6466647713961926</v>
      </c>
      <c r="CM142" s="8">
        <f t="shared" si="1149"/>
        <v>5.2803461449742022</v>
      </c>
      <c r="CN142" s="8">
        <f t="shared" si="1150"/>
        <v>5.9910654451736525</v>
      </c>
      <c r="CO142" s="8">
        <f t="shared" si="1151"/>
        <v>6.7871133043118848</v>
      </c>
      <c r="CP142" s="8">
        <f t="shared" si="1152"/>
        <v>7.6775596925351248</v>
      </c>
      <c r="CQ142" s="8">
        <f t="shared" si="1153"/>
        <v>8.6723168212163877</v>
      </c>
      <c r="CR142" s="8">
        <f t="shared" si="1154"/>
        <v>9.7822063074928192</v>
      </c>
      <c r="CS142" s="8">
        <f t="shared" si="1155"/>
        <v>11.019030834614671</v>
      </c>
      <c r="CT142" s="8">
        <f t="shared" si="1156"/>
        <v>12.395650552798996</v>
      </c>
      <c r="CU142" s="8">
        <f t="shared" si="1157"/>
        <v>13.926064475604177</v>
      </c>
      <c r="CV142" s="8">
        <f t="shared" si="1158"/>
        <v>15.625497137484416</v>
      </c>
      <c r="CW142" s="8">
        <f t="shared" si="1159"/>
        <v>17.510490789137624</v>
      </c>
      <c r="CX142" s="8">
        <f t="shared" si="1160"/>
        <v>19.599003418545742</v>
      </c>
      <c r="CY142" s="8">
        <f t="shared" si="1161"/>
        <v>21.910512897211422</v>
      </c>
      <c r="CZ142" s="8">
        <f t="shared" si="1162"/>
        <v>24.46612756305025</v>
      </c>
      <c r="DA142" s="8">
        <f t="shared" si="1163"/>
        <v>27.288703563677537</v>
      </c>
      <c r="DB142" s="8">
        <f t="shared" si="1164"/>
        <v>30.402969296480428</v>
      </c>
      <c r="DC142" s="8">
        <f t="shared" si="1165"/>
        <v>33.835657294833844</v>
      </c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</row>
    <row r="143" spans="7:221" x14ac:dyDescent="0.25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</row>
    <row r="144" spans="7:221" x14ac:dyDescent="0.25">
      <c r="G144" s="10" t="s">
        <v>154</v>
      </c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</row>
    <row r="145" spans="7:356" x14ac:dyDescent="0.25">
      <c r="G145" s="10" t="s">
        <v>145</v>
      </c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</row>
    <row r="146" spans="7:356" x14ac:dyDescent="0.25">
      <c r="G146" s="10" t="s">
        <v>140</v>
      </c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 t="s">
        <v>146</v>
      </c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 t="s">
        <v>181</v>
      </c>
      <c r="FM146" s="8"/>
      <c r="LQ146" s="8" t="s">
        <v>164</v>
      </c>
      <c r="LR146" s="8" t="s">
        <v>160</v>
      </c>
      <c r="LS146" s="8" t="s">
        <v>165</v>
      </c>
      <c r="LT146" s="8" t="s">
        <v>163</v>
      </c>
      <c r="LU146" s="8" t="s">
        <v>72</v>
      </c>
    </row>
    <row r="147" spans="7:356" x14ac:dyDescent="0.25">
      <c r="G147" s="8">
        <f>ABS(SQRT(2)*($A$99*2*$D$98/($F$5*$G2^2))*(1-(B$103*2/($F$5))^$E$98))</f>
        <v>0.37493343309458654</v>
      </c>
      <c r="H147" s="8">
        <f t="shared" ref="H147:BS147" si="1166">ABS(SQRT(2)*($A$99*2*$D$98/($F$5*$G2^2))*(1-(C$103*2/($F$5))^$E$98))</f>
        <v>0.37493343309458654</v>
      </c>
      <c r="I147" s="8">
        <f t="shared" si="1166"/>
        <v>0.37493343309458654</v>
      </c>
      <c r="J147" s="8">
        <f t="shared" si="1166"/>
        <v>0.37493343309458654</v>
      </c>
      <c r="K147" s="8">
        <f t="shared" si="1166"/>
        <v>0.37493343309458654</v>
      </c>
      <c r="L147" s="8">
        <f t="shared" si="1166"/>
        <v>0.37493343309458654</v>
      </c>
      <c r="M147" s="8">
        <f t="shared" si="1166"/>
        <v>0.37493343309458654</v>
      </c>
      <c r="N147" s="8">
        <f t="shared" si="1166"/>
        <v>0.37493343309458649</v>
      </c>
      <c r="O147" s="8">
        <f t="shared" si="1166"/>
        <v>0.37493343309458632</v>
      </c>
      <c r="P147" s="8">
        <f t="shared" si="1166"/>
        <v>0.37493343309458549</v>
      </c>
      <c r="Q147" s="8">
        <f t="shared" si="1166"/>
        <v>0.37493343309458294</v>
      </c>
      <c r="R147" s="8">
        <f t="shared" si="1166"/>
        <v>0.37493343309457555</v>
      </c>
      <c r="S147" s="8">
        <f t="shared" si="1166"/>
        <v>0.37493343309455623</v>
      </c>
      <c r="T147" s="8">
        <f t="shared" si="1166"/>
        <v>0.3749334330945096</v>
      </c>
      <c r="U147" s="8">
        <f t="shared" si="1166"/>
        <v>0.37493343309440424</v>
      </c>
      <c r="V147" s="8">
        <f t="shared" si="1166"/>
        <v>0.3749334330941797</v>
      </c>
      <c r="W147" s="8">
        <f t="shared" si="1166"/>
        <v>0.37493343309372429</v>
      </c>
      <c r="X147" s="8">
        <f t="shared" si="1166"/>
        <v>0.37493343309284044</v>
      </c>
      <c r="Y147" s="8">
        <f t="shared" si="1166"/>
        <v>0.37493343309119043</v>
      </c>
      <c r="Z147" s="8">
        <f t="shared" si="1166"/>
        <v>0.3749334330882147</v>
      </c>
      <c r="AA147" s="8">
        <f t="shared" si="1166"/>
        <v>0.37493343308301147</v>
      </c>
      <c r="AB147" s="8">
        <f t="shared" si="1166"/>
        <v>0.37493343307416299</v>
      </c>
      <c r="AC147" s="8">
        <f t="shared" si="1166"/>
        <v>0.37493343305949001</v>
      </c>
      <c r="AD147" s="8">
        <f t="shared" si="1166"/>
        <v>0.37493343303570986</v>
      </c>
      <c r="AE147" s="8">
        <f t="shared" si="1166"/>
        <v>0.37493343299796839</v>
      </c>
      <c r="AF147" s="8">
        <f t="shared" si="1166"/>
        <v>0.37493343293920783</v>
      </c>
      <c r="AG147" s="8">
        <f t="shared" si="1166"/>
        <v>0.37493343284932434</v>
      </c>
      <c r="AH147" s="8">
        <f t="shared" si="1166"/>
        <v>0.3749334327140581</v>
      </c>
      <c r="AI147" s="8">
        <f t="shared" si="1166"/>
        <v>0.37493343251354722</v>
      </c>
      <c r="AJ147" s="8">
        <f t="shared" si="1166"/>
        <v>0.3749334322204631</v>
      </c>
      <c r="AK147" s="8">
        <f t="shared" si="1166"/>
        <v>0.37493343179762706</v>
      </c>
      <c r="AL147" s="8">
        <f t="shared" si="1166"/>
        <v>0.37493343119499212</v>
      </c>
      <c r="AM147" s="8">
        <f t="shared" si="1166"/>
        <v>0.37493343034585036</v>
      </c>
      <c r="AN147" s="8">
        <f t="shared" si="1166"/>
        <v>0.37493342916210387</v>
      </c>
      <c r="AO147" s="8">
        <f t="shared" si="1166"/>
        <v>0.37493342752840858</v>
      </c>
      <c r="AP147" s="8">
        <f t="shared" si="1166"/>
        <v>0.37493342529497276</v>
      </c>
      <c r="AQ147" s="8">
        <f t="shared" si="1166"/>
        <v>0.37493342226875292</v>
      </c>
      <c r="AR147" s="8">
        <f t="shared" si="1166"/>
        <v>0.37493341820275711</v>
      </c>
      <c r="AS147" s="8">
        <f t="shared" si="1166"/>
        <v>0.37493341278311748</v>
      </c>
      <c r="AT147" s="8">
        <f t="shared" si="1166"/>
        <v>0.37493340561355093</v>
      </c>
      <c r="AU147" s="8">
        <f t="shared" si="1166"/>
        <v>0.3749333961967713</v>
      </c>
      <c r="AV147" s="8">
        <f t="shared" si="1166"/>
        <v>0.37493338391235931</v>
      </c>
      <c r="AW147" s="8">
        <f t="shared" si="1166"/>
        <v>0.37493336799053345</v>
      </c>
      <c r="AX147" s="8">
        <f t="shared" si="1166"/>
        <v>0.37493334748119239</v>
      </c>
      <c r="AY147" s="8">
        <f t="shared" si="1166"/>
        <v>0.37493332121752476</v>
      </c>
      <c r="AZ147" s="8">
        <f t="shared" si="1166"/>
        <v>0.37493328777339652</v>
      </c>
      <c r="BA147" s="8">
        <f t="shared" si="1166"/>
        <v>0.3749332454136341</v>
      </c>
      <c r="BB147" s="8">
        <f t="shared" si="1166"/>
        <v>0.37493319203622166</v>
      </c>
      <c r="BC147" s="8">
        <f t="shared" si="1166"/>
        <v>0.37493312510532123</v>
      </c>
      <c r="BD147" s="8">
        <f t="shared" si="1166"/>
        <v>0.37493304157390678</v>
      </c>
      <c r="BE147" s="8">
        <f t="shared" si="1166"/>
        <v>0.37493293779467474</v>
      </c>
      <c r="BF147" s="8">
        <f t="shared" si="1166"/>
        <v>0.3749328094177547</v>
      </c>
      <c r="BG147" s="8">
        <f t="shared" si="1166"/>
        <v>0.37493265127359454</v>
      </c>
      <c r="BH147" s="8">
        <f t="shared" si="1166"/>
        <v>0.37493245723923413</v>
      </c>
      <c r="BI147" s="8">
        <f t="shared" si="1166"/>
        <v>0.37493222008600596</v>
      </c>
      <c r="BJ147" s="8">
        <f t="shared" si="1166"/>
        <v>0.37493193130651586</v>
      </c>
      <c r="BK147" s="8">
        <f t="shared" si="1166"/>
        <v>0.37493158091855794</v>
      </c>
      <c r="BL147" s="8">
        <f t="shared" si="1166"/>
        <v>0.37493115724340065</v>
      </c>
      <c r="BM147" s="8">
        <f t="shared" si="1166"/>
        <v>0.37493064665565418</v>
      </c>
      <c r="BN147" s="8">
        <f t="shared" si="1166"/>
        <v>0.37493003330168095</v>
      </c>
      <c r="BO147" s="8">
        <f t="shared" si="1166"/>
        <v>0.37492929878325265</v>
      </c>
      <c r="BP147" s="8">
        <f t="shared" si="1166"/>
        <v>0.374928421802874</v>
      </c>
      <c r="BQ147" s="8">
        <f t="shared" si="1166"/>
        <v>0.37492737776689816</v>
      </c>
      <c r="BR147" s="8">
        <f t="shared" si="1166"/>
        <v>0.37492613834224131</v>
      </c>
      <c r="BS147" s="8">
        <f t="shared" si="1166"/>
        <v>0.37492467096216686</v>
      </c>
      <c r="BT147" s="8">
        <f t="shared" ref="BT147:EE147" si="1167">ABS(SQRT(2)*($A$99*2*$D$98/($F$5*$G2^2))*(1-(BO$103*2/($F$5))^$E$98))</f>
        <v>0.374922938276252</v>
      </c>
      <c r="BU147" s="8">
        <f t="shared" si="1167"/>
        <v>0.3749208975392711</v>
      </c>
      <c r="BV147" s="8">
        <f t="shared" si="1167"/>
        <v>0.37491849993332599</v>
      </c>
      <c r="BW147" s="8">
        <f t="shared" si="1167"/>
        <v>0.37491568981713019</v>
      </c>
      <c r="BX147" s="8">
        <f t="shared" si="1167"/>
        <v>0.37491240389590141</v>
      </c>
      <c r="BY147" s="8">
        <f t="shared" si="1167"/>
        <v>0.37490857030484065</v>
      </c>
      <c r="BZ147" s="8">
        <f t="shared" si="1167"/>
        <v>0.37490410759867454</v>
      </c>
      <c r="CA147" s="8">
        <f t="shared" si="1167"/>
        <v>0.37489892363920529</v>
      </c>
      <c r="CB147" s="8">
        <f t="shared" si="1167"/>
        <v>0.37489291437225303</v>
      </c>
      <c r="CC147" s="8">
        <f t="shared" si="1167"/>
        <v>0.37488596248478567</v>
      </c>
      <c r="CD147" s="8">
        <f t="shared" si="1167"/>
        <v>0.3748779359324107</v>
      </c>
      <c r="CE147" s="8">
        <f t="shared" si="1167"/>
        <v>0.37486868632674802</v>
      </c>
      <c r="CF147" s="8">
        <f t="shared" si="1167"/>
        <v>0.37485804717151844</v>
      </c>
      <c r="CG147" s="8">
        <f t="shared" si="1167"/>
        <v>0.3748458319354574</v>
      </c>
      <c r="CH147" s="8">
        <f t="shared" si="1167"/>
        <v>0.374831831949408</v>
      </c>
      <c r="CI147" s="8">
        <f t="shared" si="1167"/>
        <v>0.37481581411414916</v>
      </c>
      <c r="CJ147" s="8">
        <f t="shared" si="1167"/>
        <v>0.37479751840468384</v>
      </c>
      <c r="CK147" s="8">
        <f t="shared" si="1167"/>
        <v>0.37477665515583325</v>
      </c>
      <c r="CL147" s="8">
        <f t="shared" si="1167"/>
        <v>0.37475290211307183</v>
      </c>
      <c r="CM147" s="8">
        <f t="shared" si="1167"/>
        <v>0.3747259012315754</v>
      </c>
      <c r="CN147" s="8">
        <f t="shared" si="1167"/>
        <v>0.37469525520545316</v>
      </c>
      <c r="CO147" s="8">
        <f t="shared" si="1167"/>
        <v>0.37466052370808633</v>
      </c>
      <c r="CP147" s="8">
        <f t="shared" si="1167"/>
        <v>0.37462121932339743</v>
      </c>
      <c r="CQ147" s="8">
        <f t="shared" si="1167"/>
        <v>0.37457680314673214</v>
      </c>
      <c r="CR147" s="8">
        <f t="shared" si="1167"/>
        <v>0.37452668003283829</v>
      </c>
      <c r="CS147" s="8">
        <f t="shared" si="1167"/>
        <v>0.37447019346717986</v>
      </c>
      <c r="CT147" s="8">
        <f t="shared" si="1167"/>
        <v>0.37440662003552339</v>
      </c>
      <c r="CU147" s="8">
        <f t="shared" si="1167"/>
        <v>0.37433516346537771</v>
      </c>
      <c r="CV147" s="8">
        <f t="shared" si="1167"/>
        <v>0.37425494821145516</v>
      </c>
      <c r="CW147" s="8">
        <f t="shared" si="1167"/>
        <v>0.37416501255584989</v>
      </c>
      <c r="CX147" s="8">
        <f t="shared" si="1167"/>
        <v>0.37406430119209905</v>
      </c>
      <c r="CY147" s="8">
        <f t="shared" si="1167"/>
        <v>0.37395165726069618</v>
      </c>
      <c r="CZ147" s="8">
        <f t="shared" si="1167"/>
        <v>0.37382581380196978</v>
      </c>
      <c r="DA147" s="8">
        <f t="shared" si="1167"/>
        <v>0.37368538459051531</v>
      </c>
      <c r="DB147" s="8">
        <f t="shared" si="1167"/>
        <v>0.3735288543135783</v>
      </c>
      <c r="DC147" s="8">
        <f t="shared" si="1167"/>
        <v>0.37335456805392392</v>
      </c>
      <c r="DD147" s="8">
        <f t="shared" si="1167"/>
        <v>0.37316072003579753</v>
      </c>
      <c r="DE147" s="8">
        <f t="shared" si="1167"/>
        <v>0.3729453415905738</v>
      </c>
      <c r="DF147" s="8">
        <f t="shared" si="1167"/>
        <v>0.37270628829661034</v>
      </c>
      <c r="DG147" s="8">
        <f t="shared" si="1167"/>
        <v>0.37244122624566378</v>
      </c>
      <c r="DH147" s="8">
        <f t="shared" si="1167"/>
        <v>0.37214761738598684</v>
      </c>
      <c r="DI147" s="8">
        <f t="shared" si="1167"/>
        <v>0.3718227038899059</v>
      </c>
      <c r="DJ147" s="8">
        <f t="shared" si="1167"/>
        <v>0.37146349149127295</v>
      </c>
      <c r="DK147" s="8">
        <f t="shared" si="1167"/>
        <v>0.37106673173569776</v>
      </c>
      <c r="DL147" s="8">
        <f t="shared" si="1167"/>
        <v>0.37062890308388569</v>
      </c>
      <c r="DM147" s="8">
        <f t="shared" si="1167"/>
        <v>0.37014619080574102</v>
      </c>
      <c r="DN147" s="8">
        <f t="shared" si="1167"/>
        <v>0.36961446560013</v>
      </c>
      <c r="DO147" s="8">
        <f t="shared" si="1167"/>
        <v>0.36902926087234672</v>
      </c>
      <c r="DP147" s="8">
        <f t="shared" si="1167"/>
        <v>0.3683857485983652</v>
      </c>
      <c r="DQ147" s="8">
        <f t="shared" si="1167"/>
        <v>0.36767871370191357</v>
      </c>
      <c r="DR147" s="8">
        <f t="shared" si="1167"/>
        <v>0.36690252686724512</v>
      </c>
      <c r="DS147" s="8">
        <f t="shared" si="1167"/>
        <v>0.3660511157072241</v>
      </c>
      <c r="DT147" s="8">
        <f t="shared" si="1167"/>
        <v>0.36511793420297523</v>
      </c>
      <c r="DU147" s="8">
        <f t="shared" si="1167"/>
        <v>0.36409593032786813</v>
      </c>
      <c r="DV147" s="8">
        <f t="shared" si="1167"/>
        <v>0.36297751176501974</v>
      </c>
      <c r="DW147" s="8">
        <f t="shared" si="1167"/>
        <v>0.36175450962379213</v>
      </c>
      <c r="DX147" s="8">
        <f t="shared" si="1167"/>
        <v>0.36041814005694178</v>
      </c>
      <c r="DY147" s="8">
        <f t="shared" si="1167"/>
        <v>0.35895896367613445</v>
      </c>
      <c r="DZ147" s="8">
        <f t="shared" si="1167"/>
        <v>0.35736684265947466</v>
      </c>
      <c r="EA147" s="8">
        <f t="shared" si="1167"/>
        <v>0.35563089544050785</v>
      </c>
      <c r="EB147" s="8">
        <f t="shared" si="1167"/>
        <v>0.35373944886383485</v>
      </c>
      <c r="EC147" s="8">
        <f t="shared" si="1167"/>
        <v>0.35167998768802794</v>
      </c>
      <c r="ED147" s="8">
        <f t="shared" si="1167"/>
        <v>0.34943910131195244</v>
      </c>
      <c r="EE147" s="8">
        <f t="shared" si="1167"/>
        <v>0.34700242759587741</v>
      </c>
      <c r="EF147" s="8">
        <f t="shared" ref="EF147:FJ147" si="1168">ABS(SQRT(2)*($A$99*2*$D$98/($F$5*$G2^2))*(1-(EA$103*2/($F$5))^$E$98))</f>
        <v>0.34435459364389687</v>
      </c>
      <c r="EG147" s="8">
        <f t="shared" si="1168"/>
        <v>0.34147915340917856</v>
      </c>
      <c r="EH147" s="8">
        <f t="shared" si="1168"/>
        <v>0.3383585219784066</v>
      </c>
      <c r="EI147" s="8">
        <f t="shared" si="1168"/>
        <v>0.33497390638648522</v>
      </c>
      <c r="EJ147" s="8">
        <f t="shared" si="1168"/>
        <v>0.33130523280711899</v>
      </c>
      <c r="EK147" s="8">
        <f t="shared" si="1168"/>
        <v>0.32733106995927685</v>
      </c>
      <c r="EL147" s="8">
        <f t="shared" si="1168"/>
        <v>0.32302854856378377</v>
      </c>
      <c r="EM147" s="8">
        <f t="shared" si="1168"/>
        <v>0.31837327667835341</v>
      </c>
      <c r="EN147" s="8">
        <f t="shared" si="1168"/>
        <v>0.31333925073328628</v>
      </c>
      <c r="EO147" s="8">
        <f t="shared" si="1168"/>
        <v>0.3078987620837953</v>
      </c>
      <c r="EP147" s="8">
        <f t="shared" si="1168"/>
        <v>0.30202229888848786</v>
      </c>
      <c r="EQ147" s="8">
        <f t="shared" si="1168"/>
        <v>0.29567844311692754</v>
      </c>
      <c r="ER147" s="8">
        <f t="shared" si="1168"/>
        <v>0.2888337624824136</v>
      </c>
      <c r="ES147" s="8">
        <f t="shared" si="1168"/>
        <v>0.28145269708914472</v>
      </c>
      <c r="ET147" s="8">
        <f t="shared" si="1168"/>
        <v>0.27349744057578568</v>
      </c>
      <c r="EU147" s="8">
        <f t="shared" si="1168"/>
        <v>0.2649278155301098</v>
      </c>
      <c r="EV147" s="8">
        <f t="shared" si="1168"/>
        <v>0.25570114294185542</v>
      </c>
      <c r="EW147" s="8">
        <f t="shared" si="1168"/>
        <v>0.24577210545320588</v>
      </c>
      <c r="EX147" s="8">
        <f t="shared" si="1168"/>
        <v>0.23509260415837058</v>
      </c>
      <c r="EY147" s="8">
        <f t="shared" si="1168"/>
        <v>0.22361160869560734</v>
      </c>
      <c r="EZ147" s="8">
        <f t="shared" si="1168"/>
        <v>0.21127500036668992</v>
      </c>
      <c r="FA147" s="8">
        <f t="shared" si="1168"/>
        <v>0.19802540801026741</v>
      </c>
      <c r="FB147" s="8">
        <f t="shared" si="1168"/>
        <v>0.18380203634679287</v>
      </c>
      <c r="FC147" s="8">
        <f t="shared" si="1168"/>
        <v>0.16854048650371703</v>
      </c>
      <c r="FD147" s="8">
        <f t="shared" si="1168"/>
        <v>0.15217256842042812</v>
      </c>
      <c r="FE147" s="8">
        <f t="shared" si="1168"/>
        <v>0.13462610482298074</v>
      </c>
      <c r="FF147" s="8">
        <f t="shared" si="1168"/>
        <v>0.11582472644899523</v>
      </c>
      <c r="FG147" s="8">
        <f t="shared" si="1168"/>
        <v>9.568765819320213E-2</v>
      </c>
      <c r="FH147" s="8">
        <f t="shared" si="1168"/>
        <v>7.4129495833959419E-2</v>
      </c>
      <c r="FI147" s="8">
        <f t="shared" si="1168"/>
        <v>5.1059972990698033E-2</v>
      </c>
      <c r="FJ147" s="8">
        <f t="shared" si="1168"/>
        <v>2.6383717951607755E-2</v>
      </c>
      <c r="FK147" s="8"/>
      <c r="FL147" s="8">
        <f>G152/G147</f>
        <v>9.875423216401058E-2</v>
      </c>
      <c r="FM147" s="8">
        <f t="shared" ref="FM147:HX147" si="1169">H152/H147</f>
        <v>9.875423216401058E-2</v>
      </c>
      <c r="FN147" s="8">
        <f t="shared" si="1169"/>
        <v>9.875423216401058E-2</v>
      </c>
      <c r="FO147" s="8">
        <f t="shared" si="1169"/>
        <v>9.8754232164010525E-2</v>
      </c>
      <c r="FP147" s="8">
        <f t="shared" si="1169"/>
        <v>9.875423216400947E-2</v>
      </c>
      <c r="FQ147" s="8">
        <f t="shared" si="1169"/>
        <v>9.8754232163998576E-2</v>
      </c>
      <c r="FR147" s="8">
        <f t="shared" si="1169"/>
        <v>9.8754232163927091E-2</v>
      </c>
      <c r="FS147" s="8">
        <f t="shared" si="1169"/>
        <v>9.8754232163580286E-2</v>
      </c>
      <c r="FT147" s="8">
        <f t="shared" si="1169"/>
        <v>9.8754232162229408E-2</v>
      </c>
      <c r="FU147" s="8">
        <f t="shared" si="1169"/>
        <v>9.8754232157774999E-2</v>
      </c>
      <c r="FV147" s="8">
        <f t="shared" si="1169"/>
        <v>9.8754232144883117E-2</v>
      </c>
      <c r="FW147" s="8">
        <f t="shared" si="1169"/>
        <v>9.8754232111287282E-2</v>
      </c>
      <c r="FX147" s="8">
        <f t="shared" si="1169"/>
        <v>9.8754232030963215E-2</v>
      </c>
      <c r="FY147" s="8">
        <f t="shared" si="1169"/>
        <v>9.8754231852255334E-2</v>
      </c>
      <c r="FZ147" s="8">
        <f t="shared" si="1169"/>
        <v>9.8754231478203697E-2</v>
      </c>
      <c r="GA147" s="8">
        <f t="shared" si="1169"/>
        <v>9.8754230735256854E-2</v>
      </c>
      <c r="GB147" s="8">
        <f t="shared" si="1169"/>
        <v>9.8754229325221585E-2</v>
      </c>
      <c r="GC147" s="8">
        <f t="shared" si="1169"/>
        <v>9.8754226753652183E-2</v>
      </c>
      <c r="GD147" s="8">
        <f t="shared" si="1169"/>
        <v>9.8754222225883648E-2</v>
      </c>
      <c r="GE147" s="8">
        <f t="shared" si="1169"/>
        <v>9.8754214499514201E-2</v>
      </c>
      <c r="GF147" s="8">
        <f t="shared" si="1169"/>
        <v>9.8754201679304585E-2</v>
      </c>
      <c r="GG147" s="8">
        <f t="shared" si="1169"/>
        <v>9.8754180937129565E-2</v>
      </c>
      <c r="GH147" s="8">
        <f t="shared" si="1169"/>
        <v>9.8754148135748371E-2</v>
      </c>
      <c r="GI147" s="8">
        <f t="shared" si="1169"/>
        <v>9.8754097330698828E-2</v>
      </c>
      <c r="GJ147" s="8">
        <f t="shared" si="1169"/>
        <v>9.8754020119513883E-2</v>
      </c>
      <c r="GK147" s="8">
        <f t="shared" si="1169"/>
        <v>9.8753904801654566E-2</v>
      </c>
      <c r="GL147" s="8">
        <f t="shared" si="1169"/>
        <v>9.8753735305991894E-2</v>
      </c>
      <c r="GM147" s="8">
        <f t="shared" si="1169"/>
        <v>9.8753489835294098E-2</v>
      </c>
      <c r="GN147" s="8">
        <f t="shared" si="1169"/>
        <v>9.8753139168926349E-2</v>
      </c>
      <c r="GO147" s="8">
        <f t="shared" si="1169"/>
        <v>9.8752644555782476E-2</v>
      </c>
      <c r="GP147" s="8">
        <f t="shared" si="1169"/>
        <v>9.8751955119282989E-2</v>
      </c>
      <c r="GQ147" s="8">
        <f t="shared" si="1169"/>
        <v>9.8751004685022917E-2</v>
      </c>
      <c r="GR147" s="8">
        <f t="shared" si="1169"/>
        <v>9.8749707929271041E-2</v>
      </c>
      <c r="GS147" s="8">
        <f t="shared" si="1169"/>
        <v>9.8747955732941803E-2</v>
      </c>
      <c r="GT147" s="8">
        <f t="shared" si="1169"/>
        <v>9.8745609610811039E-2</v>
      </c>
      <c r="GU147" s="8">
        <f t="shared" si="1169"/>
        <v>9.8742495069556901E-2</v>
      </c>
      <c r="GV147" s="8">
        <f t="shared" si="1169"/>
        <v>9.8738393730605833E-2</v>
      </c>
      <c r="GW147" s="8">
        <f t="shared" si="1169"/>
        <v>9.8733034034672373E-2</v>
      </c>
      <c r="GX147" s="8">
        <f t="shared" si="1169"/>
        <v>9.8726080324231261E-2</v>
      </c>
      <c r="GY147" s="8">
        <f t="shared" si="1169"/>
        <v>9.8717120077866885E-2</v>
      </c>
      <c r="GZ147" s="8">
        <f t="shared" si="1169"/>
        <v>9.8705649046435057E-2</v>
      </c>
      <c r="HA147" s="8">
        <f t="shared" si="1169"/>
        <v>9.8691054015161983E-2</v>
      </c>
      <c r="HB147" s="8">
        <f t="shared" si="1169"/>
        <v>9.8672592888114918E-2</v>
      </c>
      <c r="HC147" s="8">
        <f t="shared" si="1169"/>
        <v>9.8649371761824436E-2</v>
      </c>
      <c r="HD147" s="8">
        <f t="shared" si="1169"/>
        <v>9.8620318623133654E-2</v>
      </c>
      <c r="HE147" s="8">
        <f t="shared" si="1169"/>
        <v>9.8584153272509759E-2</v>
      </c>
      <c r="HF147" s="8">
        <f t="shared" si="1169"/>
        <v>9.8539353037989039E-2</v>
      </c>
      <c r="HG147" s="8">
        <f t="shared" si="1169"/>
        <v>9.8484113806545759E-2</v>
      </c>
      <c r="HH147" s="8">
        <f t="shared" si="1169"/>
        <v>9.8416305858888165E-2</v>
      </c>
      <c r="HI147" s="8">
        <f t="shared" si="1169"/>
        <v>9.8333423950394003E-2</v>
      </c>
      <c r="HJ147" s="8">
        <f t="shared" si="1169"/>
        <v>9.8232531035007148E-2</v>
      </c>
      <c r="HK147" s="8">
        <f t="shared" si="1169"/>
        <v>9.8110194980324694E-2</v>
      </c>
      <c r="HL147" s="8">
        <f t="shared" si="1169"/>
        <v>9.7962417570707325E-2</v>
      </c>
      <c r="HM147" s="8">
        <f t="shared" si="1169"/>
        <v>9.7784555040934473E-2</v>
      </c>
      <c r="HN147" s="8">
        <f t="shared" si="1169"/>
        <v>9.7571229325591077E-2</v>
      </c>
      <c r="HO147" s="8">
        <f t="shared" si="1169"/>
        <v>9.7316229148890737E-2</v>
      </c>
      <c r="HP147" s="8">
        <f t="shared" si="1169"/>
        <v>9.7012400015890426E-2</v>
      </c>
      <c r="HQ147" s="8">
        <f t="shared" si="1169"/>
        <v>9.6651522098899975E-2</v>
      </c>
      <c r="HR147" s="8">
        <f t="shared" si="1169"/>
        <v>9.6224174942188767E-2</v>
      </c>
      <c r="HS147" s="8">
        <f t="shared" si="1169"/>
        <v>9.5719587833697148E-2</v>
      </c>
      <c r="HT147" s="8">
        <f t="shared" si="1169"/>
        <v>9.5125474614188299E-2</v>
      </c>
      <c r="HU147" s="8">
        <f t="shared" si="1169"/>
        <v>9.4427851611959809E-2</v>
      </c>
      <c r="HV147" s="8">
        <f t="shared" si="1169"/>
        <v>9.3610837304647102E-2</v>
      </c>
      <c r="HW147" s="8">
        <f t="shared" si="1169"/>
        <v>9.2656432218582399E-2</v>
      </c>
      <c r="HX147" s="8">
        <f t="shared" si="1169"/>
        <v>9.1544277480344549E-2</v>
      </c>
      <c r="HY147" s="8">
        <f t="shared" ref="HY147:IP147" si="1170">BT152/BT147</f>
        <v>9.0251390334262813E-2</v>
      </c>
      <c r="HZ147" s="8">
        <f t="shared" si="1170"/>
        <v>8.8751874833378736E-2</v>
      </c>
      <c r="IA147" s="8">
        <f t="shared" si="1170"/>
        <v>8.7016605799329225E-2</v>
      </c>
      <c r="IB147" s="8">
        <f t="shared" si="1170"/>
        <v>8.5012884028347738E-2</v>
      </c>
      <c r="IC147" s="8">
        <f t="shared" si="1170"/>
        <v>8.2704060595552534E-2</v>
      </c>
      <c r="ID147" s="8">
        <f t="shared" si="1170"/>
        <v>8.0049127977303208E-2</v>
      </c>
      <c r="IE147" s="8">
        <f t="shared" si="1170"/>
        <v>7.7002275570923609E-2</v>
      </c>
      <c r="IF147" s="8">
        <f t="shared" si="1170"/>
        <v>7.3512407041691069E-2</v>
      </c>
      <c r="IG147" s="8">
        <f t="shared" si="1170"/>
        <v>6.9522616767677209E-2</v>
      </c>
      <c r="IH147" s="8">
        <f t="shared" si="1170"/>
        <v>6.4969622482645775E-2</v>
      </c>
      <c r="II147" s="8">
        <f t="shared" si="1170"/>
        <v>5.9783151034406103E-2</v>
      </c>
      <c r="IJ147" s="8">
        <f t="shared" si="1170"/>
        <v>5.3885273979187007E-2</v>
      </c>
      <c r="IK147" s="8">
        <f t="shared" si="1170"/>
        <v>4.7189689519836236E-2</v>
      </c>
      <c r="IL147" s="8">
        <f t="shared" si="1170"/>
        <v>3.9600947064815005E-2</v>
      </c>
      <c r="IM147" s="8">
        <f t="shared" si="1170"/>
        <v>3.1013610433334587E-2</v>
      </c>
      <c r="IN147" s="8">
        <f t="shared" si="1170"/>
        <v>2.1311355456642145E-2</v>
      </c>
      <c r="IO147" s="8">
        <f t="shared" si="1170"/>
        <v>1.0365997422765508E-2</v>
      </c>
      <c r="IP147" s="8">
        <f t="shared" si="1170"/>
        <v>1.9635565222991423E-3</v>
      </c>
      <c r="IQ147" s="8">
        <f>CL152/CL147</f>
        <v>1.5832435274674449E-2</v>
      </c>
      <c r="IR147" s="8">
        <f t="shared" ref="IR147" si="1171">CM152/CM147</f>
        <v>3.1411017644777037E-2</v>
      </c>
      <c r="IS147" s="8">
        <f t="shared" ref="IS147" si="1172">CN152/CN147</f>
        <v>4.8886238334401567E-2</v>
      </c>
      <c r="IT147" s="8">
        <f t="shared" ref="IT147" si="1173">CO152/CO147</f>
        <v>6.8462992670620476E-2</v>
      </c>
      <c r="IU147" s="8">
        <f t="shared" ref="IU147" si="1174">CP152/CP147</f>
        <v>9.036564733358772E-2</v>
      </c>
      <c r="IV147" s="8">
        <f t="shared" ref="IV147" si="1175">CQ152/CQ147</f>
        <v>0.11483966497771221</v>
      </c>
      <c r="IW147" s="8">
        <f t="shared" ref="IW147" si="1176">CR152/CR147</f>
        <v>0.14215335139766055</v>
      </c>
      <c r="IX147" s="8">
        <f t="shared" ref="IX147" si="1177">CS152/CS147</f>
        <v>0.17259973474734064</v>
      </c>
      <c r="IY147" s="8">
        <f t="shared" ref="IY147" si="1178">CT152/CT147</f>
        <v>0.20649858729862253</v>
      </c>
      <c r="IZ147" s="8">
        <f t="shared" ref="IZ147" si="1179">CU152/CU147</f>
        <v>0.24419860134728719</v>
      </c>
      <c r="JA147" s="8">
        <f t="shared" ref="JA147" si="1180">CV152/CV147</f>
        <v>0.28607973216062649</v>
      </c>
      <c r="JB147" s="8">
        <f t="shared" ref="JB147" si="1181">CW152/CW147</f>
        <v>0.3325557223417403</v>
      </c>
      <c r="JC147" s="8">
        <f t="shared" ref="JC147" si="1182">CX152/CX147</f>
        <v>0.38407682369287865</v>
      </c>
      <c r="JD147" s="8">
        <f t="shared" ref="JD147" si="1183">CY152/CY147</f>
        <v>0.44113273463204827</v>
      </c>
      <c r="JE147" s="8">
        <f t="shared" ref="JE147" si="1184">CZ152/CZ147</f>
        <v>0.50425577349919304</v>
      </c>
      <c r="JF147" s="8">
        <f t="shared" ref="JF147" si="1185">DA152/DA147</f>
        <v>0.57402431073277682</v>
      </c>
      <c r="JG147" s="8">
        <f t="shared" ref="JG147" si="1186">DB152/DB147</f>
        <v>0.65106648596807215</v>
      </c>
      <c r="JH147" s="8">
        <f t="shared" ref="JH147" si="1187">DC152/DC147</f>
        <v>0.73606423967715784</v>
      </c>
      <c r="JI147" s="8">
        <f t="shared" ref="JI147" si="1188">DD152/DD147</f>
        <v>0.82975769312716574</v>
      </c>
      <c r="JJ147" s="8">
        <f t="shared" ref="JJ147" si="1189">DE152/DE147</f>
        <v>0.93294991527868187</v>
      </c>
      <c r="JK147" s="8">
        <f t="shared" ref="JK147" si="1190">DF152/DF147</f>
        <v>1.0465121209063073</v>
      </c>
      <c r="JL147" s="8">
        <f t="shared" ref="JL147" si="1191">DG152/DG147</f>
        <v>1.1713893508432345</v>
      </c>
      <c r="JM147" s="8">
        <f t="shared" ref="JM147" si="1192">DH152/DH147</f>
        <v>1.3086066930091582</v>
      </c>
      <c r="JN147" s="8">
        <f t="shared" ref="JN147" si="1193">DI152/DI147</f>
        <v>1.4592761119851052</v>
      </c>
      <c r="JO147" s="8">
        <f t="shared" ref="JO147" si="1194">DJ152/DJ147</f>
        <v>1.6246039656066562</v>
      </c>
      <c r="JP147" s="8">
        <f t="shared" ref="JP147" si="1195">DK152/DK147</f>
        <v>1.8058992996634793</v>
      </c>
      <c r="JQ147" s="8">
        <f t="shared" ref="JQ147" si="1196">DL152/DL147</f>
        <v>2.0045830266924778</v>
      </c>
      <c r="JR147" s="8">
        <f t="shared" ref="JR147" si="1197">DM152/DM147</f>
        <v>2.2221981124878556</v>
      </c>
      <c r="JS147" s="8">
        <f t="shared" ref="JS147" si="1198">DN152/DN147</f>
        <v>2.4604209148772265</v>
      </c>
      <c r="JT147" s="8">
        <f t="shared" ref="JT147" si="1199">DO152/DO147</f>
        <v>2.7210738442107321</v>
      </c>
      <c r="JU147" s="8">
        <f t="shared" ref="JU147" si="1200">DP152/DP147</f>
        <v>3.0061395447180645</v>
      </c>
      <c r="JV147" s="8">
        <f t="shared" ref="JV147" si="1201">DQ152/DQ147</f>
        <v>3.3177768314432954</v>
      </c>
      <c r="JW147" s="8">
        <f t="shared" ref="JW147" si="1202">DR152/DR147</f>
        <v>3.6583386601620158</v>
      </c>
      <c r="JX147" s="8">
        <f t="shared" ref="JX147" si="1203">DS152/DS147</f>
        <v>4.0303924591290468</v>
      </c>
      <c r="JY147" s="8">
        <f t="shared" ref="JY147" si="1204">DT152/DT147</f>
        <v>4.4367432137234832</v>
      </c>
      <c r="JZ147" s="8">
        <f t="shared" ref="JZ147" si="1205">DU152/DU147</f>
        <v>4.8804597706014707</v>
      </c>
      <c r="KA147" s="8">
        <f t="shared" ref="KA147" si="1206">DV152/DV147</f>
        <v>5.3649049200719148</v>
      </c>
      <c r="KB147" s="8">
        <f t="shared" ref="KB147" si="1207">DW152/DW147</f>
        <v>5.8937699282045637</v>
      </c>
      <c r="KC147" s="8">
        <f t="shared" ref="KC147" si="1208">DX152/DX147</f>
        <v>6.4711143289442372</v>
      </c>
      <c r="KD147" s="8">
        <f t="shared" ref="KD147" si="1209">DY152/DY147</f>
        <v>7.101411958071278</v>
      </c>
      <c r="KE147" s="8">
        <f t="shared" ref="KE147" si="1210">DZ152/DZ147</f>
        <v>7.7896044240440396</v>
      </c>
      <c r="KF147" s="8">
        <f t="shared" ref="KF147" si="1211">EA152/EA147</f>
        <v>8.5411634771570526</v>
      </c>
      <c r="KG147" s="8">
        <f t="shared" ref="KG147" si="1212">EB152/EB147</f>
        <v>9.36216407320582</v>
      </c>
      <c r="KH147" s="8">
        <f t="shared" ref="KH147" si="1213">EC152/EC147</f>
        <v>10.259370351076916</v>
      </c>
      <c r="KI147" s="8">
        <f t="shared" ref="KI147" si="1214">ED152/ED147</f>
        <v>11.240337282162063</v>
      </c>
      <c r="KJ147" s="8">
        <f t="shared" ref="KJ147" si="1215">EE152/EE147</f>
        <v>12.313531439234264</v>
      </c>
      <c r="KK147" s="8">
        <f t="shared" ref="KK147" si="1216">EF152/EF147</f>
        <v>13.488475222207574</v>
      </c>
      <c r="KL147" s="8">
        <f t="shared" ref="KL147" si="1217">EG152/EG147</f>
        <v>14.775920034698711</v>
      </c>
      <c r="KM147" s="8">
        <f t="shared" ref="KM147" si="1218">EH152/EH147</f>
        <v>16.188055420482357</v>
      </c>
      <c r="KN147" s="8">
        <f t="shared" ref="KN147" si="1219">EI152/EI147</f>
        <v>17.738763170887967</v>
      </c>
      <c r="KO147" s="8">
        <f t="shared" ref="KO147" si="1220">EJ152/EJ147</f>
        <v>19.443928083204437</v>
      </c>
      <c r="KP147" s="8">
        <f t="shared" ref="KP147" si="1221">EK152/EK147</f>
        <v>21.321820642816942</v>
      </c>
      <c r="KQ147" s="8">
        <f t="shared" ref="KQ147" si="1222">EL152/EL147</f>
        <v>23.393571787563747</v>
      </c>
      <c r="KR147" s="8">
        <f t="shared" ref="KR147" si="1223">EM152/EM147</f>
        <v>25.683766630475461</v>
      </c>
      <c r="KS147" s="8">
        <f t="shared" ref="KS147" si="1224">EN152/EN147</f>
        <v>28.221193363165671</v>
      </c>
      <c r="KT147" s="8">
        <f t="shared" ref="KT147" si="1225">EO152/EO147</f>
        <v>31.03979673140029</v>
      </c>
      <c r="KU147" s="8">
        <f t="shared" ref="KU147" si="1226">EP152/EP147</f>
        <v>34.179904287463962</v>
      </c>
      <c r="KV147" s="8">
        <f t="shared" ref="KV147" si="1227">EQ152/EQ147</f>
        <v>37.689820902676985</v>
      </c>
      <c r="KW147" s="8">
        <f t="shared" ref="KW147" si="1228">ER152/ER147</f>
        <v>41.627927223586433</v>
      </c>
      <c r="KX147" s="8">
        <f t="shared" ref="KX147" si="1229">ES152/ES147</f>
        <v>46.065478055467416</v>
      </c>
      <c r="KY147" s="8">
        <f t="shared" ref="KY147" si="1230">ET152/ET147</f>
        <v>51.090388880455073</v>
      </c>
      <c r="KZ147" s="8">
        <f t="shared" ref="KZ147" si="1231">EU152/EU147</f>
        <v>56.812442817097804</v>
      </c>
      <c r="LA147" s="8">
        <f t="shared" ref="LA147" si="1232">EV152/EV147</f>
        <v>63.370580887375908</v>
      </c>
      <c r="LB147" s="8">
        <f t="shared" ref="LB147" si="1233">EW152/EW147</f>
        <v>70.943317233241814</v>
      </c>
      <c r="LC147" s="8">
        <f t="shared" ref="LC147" si="1234">EX152/EX147</f>
        <v>79.763961930509339</v>
      </c>
      <c r="LD147" s="8">
        <f t="shared" ref="LD147" si="1235">EY152/EY147</f>
        <v>90.143455808290426</v>
      </c>
      <c r="LE147" s="8">
        <f t="shared" ref="LE147" si="1236">EZ152/EZ147</f>
        <v>102.50566124686664</v>
      </c>
      <c r="LF147" s="8">
        <f t="shared" ref="LF147" si="1237">FA152/FA147</f>
        <v>117.44382810025293</v>
      </c>
      <c r="LG147" s="8">
        <f t="shared" ref="LG147" si="1238">FB152/FB147</f>
        <v>135.81470423701535</v>
      </c>
      <c r="LH147" s="8">
        <f t="shared" ref="LH147" si="1239">FC152/FC147</f>
        <v>158.90322968164432</v>
      </c>
      <c r="LI147" s="8">
        <f t="shared" ref="LI147" si="1240">FD152/FD147</f>
        <v>188.72839788534066</v>
      </c>
      <c r="LJ147" s="8">
        <f t="shared" ref="LJ147" si="1241">FE152/FE147</f>
        <v>228.65497902240193</v>
      </c>
      <c r="LK147" s="8">
        <f t="shared" ref="LK147" si="1242">FF152/FF147</f>
        <v>284.73931203834019</v>
      </c>
      <c r="LL147" s="8">
        <f t="shared" ref="LL147" si="1243">FG152/FG147</f>
        <v>369.09378562452821</v>
      </c>
      <c r="LM147" s="8">
        <f>FH152/FH147</f>
        <v>509.98028209121742</v>
      </c>
      <c r="LN147" s="8">
        <f t="shared" ref="LN147" si="1244">FI152/FI147</f>
        <v>792.18395399706526</v>
      </c>
      <c r="LO147" s="8">
        <f t="shared" ref="LO147" si="1245">FJ152/FJ147</f>
        <v>1639.6296622625212</v>
      </c>
      <c r="LP147" s="8"/>
      <c r="LQ147" s="8">
        <f>0.00069</f>
        <v>6.8999999999999997E-4</v>
      </c>
      <c r="LR147" s="8">
        <f>2*LQ147</f>
        <v>1.3799999999999999E-3</v>
      </c>
      <c r="LS147" s="8">
        <f>LR147/(1.6*10^-3)</f>
        <v>0.86249999999999993</v>
      </c>
      <c r="LT147" s="8">
        <f>FR52</f>
        <v>0.75155279503105588</v>
      </c>
      <c r="LU147" s="8">
        <f>LT147-LS147</f>
        <v>-0.11094720496894406</v>
      </c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</row>
    <row r="148" spans="7:356" x14ac:dyDescent="0.25">
      <c r="G148" s="8">
        <f t="shared" ref="G148:G149" si="1246">ABS(SQRT(2)*($A$99*2*$D$98/($F$5*$G3^2))*(1-(B$103*2/($F$5))^$E$98))</f>
        <v>7.4060925055720803E-2</v>
      </c>
      <c r="H148" s="8">
        <f t="shared" ref="H148:H149" si="1247">ABS(SQRT(2)*($A$99*2*$D$98/($F$5*$G3^2))*(1-(C$103*2/($F$5))^$E$98))</f>
        <v>7.4060925055720803E-2</v>
      </c>
      <c r="I148" s="8">
        <f t="shared" ref="I148:I149" si="1248">ABS(SQRT(2)*($A$99*2*$D$98/($F$5*$G3^2))*(1-(D$103*2/($F$5))^$E$98))</f>
        <v>7.4060925055720803E-2</v>
      </c>
      <c r="J148" s="8">
        <f t="shared" ref="J148:J149" si="1249">ABS(SQRT(2)*($A$99*2*$D$98/($F$5*$G3^2))*(1-(E$103*2/($F$5))^$E$98))</f>
        <v>7.4060925055720803E-2</v>
      </c>
      <c r="K148" s="8">
        <f t="shared" ref="K148:K149" si="1250">ABS(SQRT(2)*($A$99*2*$D$98/($F$5*$G3^2))*(1-(F$103*2/($F$5))^$E$98))</f>
        <v>7.4060925055720803E-2</v>
      </c>
      <c r="L148" s="8">
        <f t="shared" ref="L148:L149" si="1251">ABS(SQRT(2)*($A$99*2*$D$98/($F$5*$G3^2))*(1-(G$103*2/($F$5))^$E$98))</f>
        <v>7.4060925055720803E-2</v>
      </c>
      <c r="M148" s="8">
        <f t="shared" ref="M148:M149" si="1252">ABS(SQRT(2)*($A$99*2*$D$98/($F$5*$G3^2))*(1-(H$103*2/($F$5))^$E$98))</f>
        <v>7.4060925055720803E-2</v>
      </c>
      <c r="N148" s="8">
        <f t="shared" ref="N148:N149" si="1253">ABS(SQRT(2)*($A$99*2*$D$98/($F$5*$G3^2))*(1-(I$103*2/($F$5))^$E$98))</f>
        <v>7.4060925055720789E-2</v>
      </c>
      <c r="O148" s="8">
        <f t="shared" ref="O148:O149" si="1254">ABS(SQRT(2)*($A$99*2*$D$98/($F$5*$G3^2))*(1-(J$103*2/($F$5))^$E$98))</f>
        <v>7.4060925055720747E-2</v>
      </c>
      <c r="P148" s="8">
        <f t="shared" ref="P148:P149" si="1255">ABS(SQRT(2)*($A$99*2*$D$98/($F$5*$G3^2))*(1-(K$103*2/($F$5))^$E$98))</f>
        <v>7.4060925055720594E-2</v>
      </c>
      <c r="Q148" s="8">
        <f t="shared" ref="Q148:Q149" si="1256">ABS(SQRT(2)*($A$99*2*$D$98/($F$5*$G3^2))*(1-(L$103*2/($F$5))^$E$98))</f>
        <v>7.4060925055720081E-2</v>
      </c>
      <c r="R148" s="8">
        <f t="shared" ref="R148:R149" si="1257">ABS(SQRT(2)*($A$99*2*$D$98/($F$5*$G3^2))*(1-(M$103*2/($F$5))^$E$98))</f>
        <v>7.4060925055718638E-2</v>
      </c>
      <c r="S148" s="8">
        <f t="shared" ref="S148:S149" si="1258">ABS(SQRT(2)*($A$99*2*$D$98/($F$5*$G3^2))*(1-(N$103*2/($F$5))^$E$98))</f>
        <v>7.4060925055714821E-2</v>
      </c>
      <c r="T148" s="8">
        <f t="shared" ref="T148:T149" si="1259">ABS(SQRT(2)*($A$99*2*$D$98/($F$5*$G3^2))*(1-(O$103*2/($F$5))^$E$98))</f>
        <v>7.4060925055705606E-2</v>
      </c>
      <c r="U148" s="8">
        <f t="shared" ref="U148:U149" si="1260">ABS(SQRT(2)*($A$99*2*$D$98/($F$5*$G3^2))*(1-(P$103*2/($F$5))^$E$98))</f>
        <v>7.406092505568479E-2</v>
      </c>
      <c r="V148" s="8">
        <f t="shared" ref="V148:V149" si="1261">ABS(SQRT(2)*($A$99*2*$D$98/($F$5*$G3^2))*(1-(Q$103*2/($F$5))^$E$98))</f>
        <v>7.4060925055640436E-2</v>
      </c>
      <c r="W148" s="8">
        <f t="shared" ref="W148:W149" si="1262">ABS(SQRT(2)*($A$99*2*$D$98/($F$5*$G3^2))*(1-(R$103*2/($F$5))^$E$98))</f>
        <v>7.4060925055550481E-2</v>
      </c>
      <c r="X148" s="8">
        <f t="shared" ref="X148:X149" si="1263">ABS(SQRT(2)*($A$99*2*$D$98/($F$5*$G3^2))*(1-(S$103*2/($F$5))^$E$98))</f>
        <v>7.4060925055375884E-2</v>
      </c>
      <c r="Y148" s="8">
        <f t="shared" ref="Y148:Y149" si="1264">ABS(SQRT(2)*($A$99*2*$D$98/($F$5*$G3^2))*(1-(T$103*2/($F$5))^$E$98))</f>
        <v>7.4060925055049964E-2</v>
      </c>
      <c r="Z148" s="8">
        <f t="shared" ref="Z148:Z149" si="1265">ABS(SQRT(2)*($A$99*2*$D$98/($F$5*$G3^2))*(1-(U$103*2/($F$5))^$E$98))</f>
        <v>7.4060925054462171E-2</v>
      </c>
      <c r="AA148" s="8">
        <f t="shared" ref="AA148:AA149" si="1266">ABS(SQRT(2)*($A$99*2*$D$98/($F$5*$G3^2))*(1-(V$103*2/($F$5))^$E$98))</f>
        <v>7.4060925053434368E-2</v>
      </c>
      <c r="AB148" s="8">
        <f t="shared" ref="AB148:AB149" si="1267">ABS(SQRT(2)*($A$99*2*$D$98/($F$5*$G3^2))*(1-(W$103*2/($F$5))^$E$98))</f>
        <v>7.406092505168653E-2</v>
      </c>
      <c r="AC148" s="8">
        <f t="shared" ref="AC148:AC149" si="1268">ABS(SQRT(2)*($A$99*2*$D$98/($F$5*$G3^2))*(1-(X$103*2/($F$5))^$E$98))</f>
        <v>7.4060925048788154E-2</v>
      </c>
      <c r="AD148" s="8">
        <f t="shared" ref="AD148:AD149" si="1269">ABS(SQRT(2)*($A$99*2*$D$98/($F$5*$G3^2))*(1-(Y$103*2/($F$5))^$E$98))</f>
        <v>7.4060925044090842E-2</v>
      </c>
      <c r="AE148" s="8">
        <f t="shared" ref="AE148:AE149" si="1270">ABS(SQRT(2)*($A$99*2*$D$98/($F$5*$G3^2))*(1-(Z$103*2/($F$5))^$E$98))</f>
        <v>7.4060925036635736E-2</v>
      </c>
      <c r="AF148" s="8">
        <f t="shared" ref="AF148:AF149" si="1271">ABS(SQRT(2)*($A$99*2*$D$98/($F$5*$G3^2))*(1-(AA$103*2/($F$5))^$E$98))</f>
        <v>7.4060925025028715E-2</v>
      </c>
      <c r="AG148" s="8">
        <f t="shared" ref="AG148:AG149" si="1272">ABS(SQRT(2)*($A$99*2*$D$98/($F$5*$G3^2))*(1-(AB$103*2/($F$5))^$E$98))</f>
        <v>7.4060925007273945E-2</v>
      </c>
      <c r="AH148" s="8">
        <f t="shared" ref="AH148:AH149" si="1273">ABS(SQRT(2)*($A$99*2*$D$98/($F$5*$G3^2))*(1-(AC$103*2/($F$5))^$E$98))</f>
        <v>7.4060924980554693E-2</v>
      </c>
      <c r="AI148" s="8">
        <f t="shared" ref="AI148:AI149" si="1274">ABS(SQRT(2)*($A$99*2*$D$98/($F$5*$G3^2))*(1-(AD$103*2/($F$5))^$E$98))</f>
        <v>7.4060924940947612E-2</v>
      </c>
      <c r="AJ148" s="8">
        <f t="shared" ref="AJ148:AJ149" si="1275">ABS(SQRT(2)*($A$99*2*$D$98/($F$5*$G3^2))*(1-(AE$103*2/($F$5))^$E$98))</f>
        <v>7.4060924883054435E-2</v>
      </c>
      <c r="AK148" s="8">
        <f t="shared" ref="AK148:AK149" si="1276">ABS(SQRT(2)*($A$99*2*$D$98/($F$5*$G3^2))*(1-(AF$103*2/($F$5))^$E$98))</f>
        <v>7.4060924799531275E-2</v>
      </c>
      <c r="AL148" s="8">
        <f t="shared" ref="AL148:AL149" si="1277">ABS(SQRT(2)*($A$99*2*$D$98/($F$5*$G3^2))*(1-(AG$103*2/($F$5))^$E$98))</f>
        <v>7.4060924680492274E-2</v>
      </c>
      <c r="AM148" s="8">
        <f t="shared" ref="AM148:AM149" si="1278">ABS(SQRT(2)*($A$99*2*$D$98/($F$5*$G3^2))*(1-(AH$103*2/($F$5))^$E$98))</f>
        <v>7.406092451276057E-2</v>
      </c>
      <c r="AN148" s="8">
        <f t="shared" ref="AN148:AN149" si="1279">ABS(SQRT(2)*($A$99*2*$D$98/($F$5*$G3^2))*(1-(AI$103*2/($F$5))^$E$98))</f>
        <v>7.4060924278934098E-2</v>
      </c>
      <c r="AO148" s="8">
        <f t="shared" ref="AO148:AO149" si="1280">ABS(SQRT(2)*($A$99*2*$D$98/($F$5*$G3^2))*(1-(AJ$103*2/($F$5))^$E$98))</f>
        <v>7.4060923956228861E-2</v>
      </c>
      <c r="AP148" s="8">
        <f t="shared" ref="AP148:AP149" si="1281">ABS(SQRT(2)*($A$99*2*$D$98/($F$5*$G3^2))*(1-(AK$103*2/($F$5))^$E$98))</f>
        <v>7.4060923515056346E-2</v>
      </c>
      <c r="AQ148" s="8">
        <f t="shared" ref="AQ148:AQ149" si="1282">ABS(SQRT(2)*($A$99*2*$D$98/($F$5*$G3^2))*(1-(AL$103*2/($F$5))^$E$98))</f>
        <v>7.4060922917284541E-2</v>
      </c>
      <c r="AR148" s="8">
        <f t="shared" ref="AR148:AR149" si="1283">ABS(SQRT(2)*($A$99*2*$D$98/($F$5*$G3^2))*(1-(AM$103*2/($F$5))^$E$98))</f>
        <v>7.4060922114124864E-2</v>
      </c>
      <c r="AS148" s="8">
        <f t="shared" ref="AS148:AS149" si="1284">ABS(SQRT(2)*($A$99*2*$D$98/($F$5*$G3^2))*(1-(AN$103*2/($F$5))^$E$98))</f>
        <v>7.4060921043578767E-2</v>
      </c>
      <c r="AT148" s="8">
        <f t="shared" ref="AT148:AT149" si="1285">ABS(SQRT(2)*($A$99*2*$D$98/($F$5*$G3^2))*(1-(AO$103*2/($F$5))^$E$98))</f>
        <v>7.4060919627368091E-2</v>
      </c>
      <c r="AU148" s="8">
        <f t="shared" ref="AU148:AU149" si="1286">ABS(SQRT(2)*($A$99*2*$D$98/($F$5*$G3^2))*(1-(AP$103*2/($F$5))^$E$98))</f>
        <v>7.4060917767263465E-2</v>
      </c>
      <c r="AV148" s="8">
        <f t="shared" ref="AV148:AV149" si="1287">ABS(SQRT(2)*($A$99*2*$D$98/($F$5*$G3^2))*(1-(AQ$103*2/($F$5))^$E$98))</f>
        <v>7.4060915340712949E-2</v>
      </c>
      <c r="AW148" s="8">
        <f t="shared" ref="AW148:AW149" si="1288">ABS(SQRT(2)*($A$99*2*$D$98/($F$5*$G3^2))*(1-(AR$103*2/($F$5))^$E$98))</f>
        <v>7.4060912195660925E-2</v>
      </c>
      <c r="AX148" s="8">
        <f t="shared" ref="AX148:AX149" si="1289">ABS(SQRT(2)*($A$99*2*$D$98/($F$5*$G3^2))*(1-(AS$103*2/($F$5))^$E$98))</f>
        <v>7.4060908144433057E-2</v>
      </c>
      <c r="AY148" s="8">
        <f t="shared" ref="AY148:AY149" si="1290">ABS(SQRT(2)*($A$99*2*$D$98/($F$5*$G3^2))*(1-(AT$103*2/($F$5))^$E$98))</f>
        <v>7.4060902956548103E-2</v>
      </c>
      <c r="AZ148" s="8">
        <f t="shared" ref="AZ148:AZ149" si="1291">ABS(SQRT(2)*($A$99*2*$D$98/($F$5*$G3^2))*(1-(AU$103*2/($F$5))^$E$98))</f>
        <v>7.4060896350300554E-2</v>
      </c>
      <c r="BA148" s="8">
        <f t="shared" ref="BA148:BA149" si="1292">ABS(SQRT(2)*($A$99*2*$D$98/($F$5*$G3^2))*(1-(AV$103*2/($F$5))^$E$98))</f>
        <v>7.4060887982940082E-2</v>
      </c>
      <c r="BB148" s="8">
        <f t="shared" ref="BB148:BB149" si="1293">ABS(SQRT(2)*($A$99*2*$D$98/($F$5*$G3^2))*(1-(AW$103*2/($F$5))^$E$98))</f>
        <v>7.4060877439253672E-2</v>
      </c>
      <c r="BC148" s="8">
        <f t="shared" ref="BC148:BC149" si="1294">ABS(SQRT(2)*($A$99*2*$D$98/($F$5*$G3^2))*(1-(AX$103*2/($F$5))^$E$98))</f>
        <v>7.4060864218335062E-2</v>
      </c>
      <c r="BD148" s="8">
        <f t="shared" ref="BD148:BD149" si="1295">ABS(SQRT(2)*($A$99*2*$D$98/($F$5*$G3^2))*(1-(AY$103*2/($F$5))^$E$98))</f>
        <v>7.4060847718302583E-2</v>
      </c>
      <c r="BE148" s="8">
        <f t="shared" ref="BE148:BE149" si="1296">ABS(SQRT(2)*($A$99*2*$D$98/($F$5*$G3^2))*(1-(AZ$103*2/($F$5))^$E$98))</f>
        <v>7.4060827218701192E-2</v>
      </c>
      <c r="BF148" s="8">
        <f t="shared" ref="BF148:BF149" si="1297">ABS(SQRT(2)*($A$99*2*$D$98/($F$5*$G3^2))*(1-(BA$103*2/($F$5))^$E$98))</f>
        <v>7.4060801860297232E-2</v>
      </c>
      <c r="BG148" s="8">
        <f t="shared" ref="BG148:BG149" si="1298">ABS(SQRT(2)*($A$99*2*$D$98/($F$5*$G3^2))*(1-(BB$103*2/($F$5))^$E$98))</f>
        <v>7.4060770621944605E-2</v>
      </c>
      <c r="BH148" s="8">
        <f t="shared" ref="BH148:BH149" si="1299">ABS(SQRT(2)*($A$99*2*$D$98/($F$5*$G3^2))*(1-(BC$103*2/($F$5))^$E$98))</f>
        <v>7.4060732294169707E-2</v>
      </c>
      <c r="BI148" s="8">
        <f t="shared" ref="BI148:BI149" si="1300">ABS(SQRT(2)*($A$99*2*$D$98/($F$5*$G3^2))*(1-(BD$103*2/($F$5))^$E$98))</f>
        <v>7.4060685449087602E-2</v>
      </c>
      <c r="BJ148" s="8">
        <f t="shared" ref="BJ148:BJ149" si="1301">ABS(SQRT(2)*($A$99*2*$D$98/($F$5*$G3^2))*(1-(BE$103*2/($F$5))^$E$98))</f>
        <v>7.4060628406225362E-2</v>
      </c>
      <c r="BK148" s="8">
        <f t="shared" ref="BK148:BK149" si="1302">ABS(SQRT(2)*($A$99*2*$D$98/($F$5*$G3^2))*(1-(BF$103*2/($F$5))^$E$98))</f>
        <v>7.4060559193789219E-2</v>
      </c>
      <c r="BL148" s="8">
        <f t="shared" ref="BL148:BL149" si="1303">ABS(SQRT(2)*($A$99*2*$D$98/($F$5*$G3^2))*(1-(BG$103*2/($F$5))^$E$98))</f>
        <v>7.4060475504869272E-2</v>
      </c>
      <c r="BM148" s="8">
        <f t="shared" ref="BM148:BM149" si="1304">ABS(SQRT(2)*($A$99*2*$D$98/($F$5*$G3^2))*(1-(BH$103*2/($F$5))^$E$98))</f>
        <v>7.4060374648030461E-2</v>
      </c>
      <c r="BN148" s="8">
        <f t="shared" ref="BN148:BN149" si="1305">ABS(SQRT(2)*($A$99*2*$D$98/($F$5*$G3^2))*(1-(BI$103*2/($F$5))^$E$98))</f>
        <v>7.406025349169007E-2</v>
      </c>
      <c r="BO148" s="8">
        <f t="shared" ref="BO148:BO149" si="1306">ABS(SQRT(2)*($A$99*2*$D$98/($F$5*$G3^2))*(1-(BJ$103*2/($F$5))^$E$98))</f>
        <v>7.4060108401630159E-2</v>
      </c>
      <c r="BP148" s="8">
        <f t="shared" ref="BP148:BP149" si="1307">ABS(SQRT(2)*($A$99*2*$D$98/($F$5*$G3^2))*(1-(BK$103*2/($F$5))^$E$98))</f>
        <v>7.4059935170938077E-2</v>
      </c>
      <c r="BQ148" s="8">
        <f t="shared" ref="BQ148:BQ149" si="1308">ABS(SQRT(2)*($A$99*2*$D$98/($F$5*$G3^2))*(1-(BL$103*2/($F$5))^$E$98))</f>
        <v>7.4059728941609518E-2</v>
      </c>
      <c r="BR148" s="8">
        <f t="shared" ref="BR148:BR149" si="1309">ABS(SQRT(2)*($A$99*2*$D$98/($F$5*$G3^2))*(1-(BM$103*2/($F$5))^$E$98))</f>
        <v>7.4059484116985944E-2</v>
      </c>
      <c r="BS148" s="8">
        <f t="shared" ref="BS148:BS149" si="1310">ABS(SQRT(2)*($A$99*2*$D$98/($F$5*$G3^2))*(1-(BN$103*2/($F$5))^$E$98))</f>
        <v>7.4059194264131725E-2</v>
      </c>
      <c r="BT148" s="8">
        <f t="shared" ref="BT148:BT149" si="1311">ABS(SQRT(2)*($A$99*2*$D$98/($F$5*$G3^2))*(1-(BO$103*2/($F$5))^$E$98))</f>
        <v>7.4058852005185596E-2</v>
      </c>
      <c r="BU148" s="8">
        <f t="shared" ref="BU148:BU149" si="1312">ABS(SQRT(2)*($A$99*2*$D$98/($F$5*$G3^2))*(1-(BP$103*2/($F$5))^$E$98))</f>
        <v>7.4058448896646145E-2</v>
      </c>
      <c r="BV148" s="8">
        <f t="shared" ref="BV148:BV149" si="1313">ABS(SQRT(2)*($A$99*2*$D$98/($F$5*$G3^2))*(1-(BQ$103*2/($F$5))^$E$98))</f>
        <v>7.4057975295471798E-2</v>
      </c>
      <c r="BW148" s="8">
        <f t="shared" ref="BW148:BW149" si="1314">ABS(SQRT(2)*($A$99*2*$D$98/($F$5*$G3^2))*(1-(BR$103*2/($F$5))^$E$98))</f>
        <v>7.4057420210791161E-2</v>
      </c>
      <c r="BX148" s="8">
        <f t="shared" ref="BX148:BX149" si="1315">ABS(SQRT(2)*($A$99*2*$D$98/($F$5*$G3^2))*(1-(BS$103*2/($F$5))^$E$98))</f>
        <v>7.4056771139931143E-2</v>
      </c>
      <c r="BY148" s="8">
        <f t="shared" ref="BY148:BY149" si="1316">ABS(SQRT(2)*($A$99*2*$D$98/($F$5*$G3^2))*(1-(BT$103*2/($F$5))^$E$98))</f>
        <v>7.4056013887375927E-2</v>
      </c>
      <c r="BZ148" s="8">
        <f t="shared" ref="BZ148:BZ149" si="1317">ABS(SQRT(2)*($A$99*2*$D$98/($F$5*$G3^2))*(1-(BU$103*2/($F$5))^$E$98))</f>
        <v>7.4055132365170279E-2</v>
      </c>
      <c r="CA148" s="8">
        <f t="shared" ref="CA148:CA149" si="1318">ABS(SQRT(2)*($A$99*2*$D$98/($F$5*$G3^2))*(1-(BV$103*2/($F$5))^$E$98))</f>
        <v>7.4054108373176358E-2</v>
      </c>
      <c r="CB148" s="8">
        <f t="shared" ref="CB148:CB149" si="1319">ABS(SQRT(2)*($A$99*2*$D$98/($F$5*$G3^2))*(1-(BW$103*2/($F$5))^$E$98))</f>
        <v>7.4052921357482079E-2</v>
      </c>
      <c r="CC148" s="8">
        <f t="shared" ref="CC148:CC149" si="1320">ABS(SQRT(2)*($A$99*2*$D$98/($F$5*$G3^2))*(1-(BX$103*2/($F$5))^$E$98))</f>
        <v>7.4051548145142851E-2</v>
      </c>
      <c r="CD148" s="8">
        <f t="shared" ref="CD148:CD149" si="1321">ABS(SQRT(2)*($A$99*2*$D$98/($F$5*$G3^2))*(1-(BY$103*2/($F$5))^$E$98))</f>
        <v>7.404996265331569E-2</v>
      </c>
      <c r="CE148" s="8">
        <f t="shared" ref="CE148:CE149" si="1322">ABS(SQRT(2)*($A$99*2*$D$98/($F$5*$G3^2))*(1-(BZ$103*2/($F$5))^$E$98))</f>
        <v>7.4048135570715656E-2</v>
      </c>
      <c r="CF148" s="8">
        <f t="shared" ref="CF148:CF149" si="1323">ABS(SQRT(2)*($A$99*2*$D$98/($F$5*$G3^2))*(1-(CA$103*2/($F$5))^$E$98))</f>
        <v>7.4046034009188827E-2</v>
      </c>
      <c r="CG148" s="8">
        <f t="shared" ref="CG148:CG149" si="1324">ABS(SQRT(2)*($A$99*2*$D$98/($F$5*$G3^2))*(1-(CB$103*2/($F$5))^$E$98))</f>
        <v>7.4043621123053321E-2</v>
      </c>
      <c r="CH148" s="8">
        <f t="shared" ref="CH148:CH149" si="1325">ABS(SQRT(2)*($A$99*2*$D$98/($F$5*$G3^2))*(1-(CC$103*2/($F$5))^$E$98))</f>
        <v>7.4040855693710231E-2</v>
      </c>
      <c r="CI148" s="8">
        <f t="shared" ref="CI148:CI149" si="1326">ABS(SQRT(2)*($A$99*2*$D$98/($F$5*$G3^2))*(1-(CD$103*2/($F$5))^$E$98))</f>
        <v>7.403769167686898E-2</v>
      </c>
      <c r="CJ148" s="8">
        <f t="shared" ref="CJ148:CJ149" si="1327">ABS(SQRT(2)*($A$99*2*$D$98/($F$5*$G3^2))*(1-(CE$103*2/($F$5))^$E$98))</f>
        <v>7.4034077709567173E-2</v>
      </c>
      <c r="CK148" s="8">
        <f t="shared" ref="CK148:CK149" si="1328">ABS(SQRT(2)*($A$99*2*$D$98/($F$5*$G3^2))*(1-(CF$103*2/($F$5))^$E$98))</f>
        <v>7.4029956573991751E-2</v>
      </c>
      <c r="CL148" s="8">
        <f t="shared" ref="CL148:CL149" si="1329">ABS(SQRT(2)*($A$99*2*$D$98/($F$5*$G3^2))*(1-(CG$103*2/($F$5))^$E$98))</f>
        <v>7.4025264614927783E-2</v>
      </c>
      <c r="CM148" s="8">
        <f t="shared" ref="CM148:CM149" si="1330">ABS(SQRT(2)*($A$99*2*$D$98/($F$5*$G3^2))*(1-(CH$103*2/($F$5))^$E$98))</f>
        <v>7.4019931107471695E-2</v>
      </c>
      <c r="CN148" s="8">
        <f t="shared" ref="CN148:CN149" si="1331">ABS(SQRT(2)*($A$99*2*$D$98/($F$5*$G3^2))*(1-(CI$103*2/($F$5))^$E$98))</f>
        <v>7.4013877571447548E-2</v>
      </c>
      <c r="CO148" s="8">
        <f t="shared" ref="CO148:CO149" si="1332">ABS(SQRT(2)*($A$99*2*$D$98/($F$5*$G3^2))*(1-(CJ$103*2/($F$5))^$E$98))</f>
        <v>7.4007017028757796E-2</v>
      </c>
      <c r="CP148" s="8">
        <f t="shared" ref="CP148:CP149" si="1333">ABS(SQRT(2)*($A$99*2*$D$98/($F$5*$G3^2))*(1-(CK$103*2/($F$5))^$E$98))</f>
        <v>7.3999253199683437E-2</v>
      </c>
      <c r="CQ148" s="8">
        <f t="shared" ref="CQ148:CQ149" si="1334">ABS(SQRT(2)*($A$99*2*$D$98/($F$5*$G3^2))*(1-(CL$103*2/($F$5))^$E$98))</f>
        <v>7.3990479633922399E-2</v>
      </c>
      <c r="CR148" s="8">
        <f t="shared" ref="CR148:CR149" si="1335">ABS(SQRT(2)*($A$99*2*$D$98/($F$5*$G3^2))*(1-(CM$103*2/($F$5))^$E$98))</f>
        <v>7.3980578771918673E-2</v>
      </c>
      <c r="CS148" s="8">
        <f t="shared" ref="CS148:CS149" si="1336">ABS(SQRT(2)*($A$99*2*$D$98/($F$5*$G3^2))*(1-(CN$103*2/($F$5))^$E$98))</f>
        <v>7.3969420931788613E-2</v>
      </c>
      <c r="CT148" s="8">
        <f t="shared" ref="CT148:CT149" si="1337">ABS(SQRT(2)*($A$99*2*$D$98/($F$5*$G3^2))*(1-(CO$103*2/($F$5))^$E$98))</f>
        <v>7.3956863216893515E-2</v>
      </c>
      <c r="CU148" s="8">
        <f t="shared" ref="CU148:CU149" si="1338">ABS(SQRT(2)*($A$99*2*$D$98/($F$5*$G3^2))*(1-(CP$103*2/($F$5))^$E$98))</f>
        <v>7.3942748338840042E-2</v>
      </c>
      <c r="CV148" s="8">
        <f t="shared" ref="CV148:CV149" si="1339">ABS(SQRT(2)*($A$99*2*$D$98/($F$5*$G3^2))*(1-(CQ$103*2/($F$5))^$E$98))</f>
        <v>7.3926903350410897E-2</v>
      </c>
      <c r="CW148" s="8">
        <f t="shared" ref="CW148:CW149" si="1340">ABS(SQRT(2)*($A$99*2*$D$98/($F$5*$G3^2))*(1-(CR$103*2/($F$5))^$E$98))</f>
        <v>7.3909138282637024E-2</v>
      </c>
      <c r="CX148" s="8">
        <f t="shared" ref="CX148:CX149" si="1341">ABS(SQRT(2)*($A$99*2*$D$98/($F$5*$G3^2))*(1-(CS$103*2/($F$5))^$E$98))</f>
        <v>7.3889244679920807E-2</v>
      </c>
      <c r="CY148" s="8">
        <f t="shared" ref="CY148:CY149" si="1342">ABS(SQRT(2)*($A$99*2*$D$98/($F$5*$G3^2))*(1-(CT$103*2/($F$5))^$E$98))</f>
        <v>7.3866994026804189E-2</v>
      </c>
      <c r="CZ148" s="8">
        <f t="shared" ref="CZ148:CZ149" si="1343">ABS(SQRT(2)*($A$99*2*$D$98/($F$5*$G3^2))*(1-(CU$103*2/($F$5))^$E$98))</f>
        <v>7.3842136059648358E-2</v>
      </c>
      <c r="DA148" s="8">
        <f t="shared" ref="DA148:DA149" si="1344">ABS(SQRT(2)*($A$99*2*$D$98/($F$5*$G3^2))*(1-(CV$103*2/($F$5))^$E$98))</f>
        <v>7.3814396956151176E-2</v>
      </c>
      <c r="DB148" s="8">
        <f t="shared" ref="DB148:DB149" si="1345">ABS(SQRT(2)*($A$99*2*$D$98/($F$5*$G3^2))*(1-(CW$103*2/($F$5))^$E$98))</f>
        <v>7.378347739527473E-2</v>
      </c>
      <c r="DC148" s="8">
        <f t="shared" ref="DC148:DC149" si="1346">ABS(SQRT(2)*($A$99*2*$D$98/($F$5*$G3^2))*(1-(CX$103*2/($F$5))^$E$98))</f>
        <v>7.3749050479787442E-2</v>
      </c>
      <c r="DD148" s="8">
        <f t="shared" ref="DD148:DD149" si="1347">ABS(SQRT(2)*($A$99*2*$D$98/($F$5*$G3^2))*(1-(CY$103*2/($F$5))^$E$98))</f>
        <v>7.3710759513243962E-2</v>
      </c>
      <c r="DE148" s="8">
        <f t="shared" ref="DE148:DE149" si="1348">ABS(SQRT(2)*($A$99*2*$D$98/($F$5*$G3^2))*(1-(CZ$103*2/($F$5))^$E$98))</f>
        <v>7.3668215622829394E-2</v>
      </c>
      <c r="DF148" s="8">
        <f t="shared" ref="DF148:DF149" si="1349">ABS(SQRT(2)*($A$99*2*$D$98/($F$5*$G3^2))*(1-(DA$103*2/($F$5))^$E$98))</f>
        <v>7.3620995219083538E-2</v>
      </c>
      <c r="DG148" s="8">
        <f t="shared" ref="DG148:DG149" si="1350">ABS(SQRT(2)*($A$99*2*$D$98/($F$5*$G3^2))*(1-(DB$103*2/($F$5))^$E$98))</f>
        <v>7.3568637283094082E-2</v>
      </c>
      <c r="DH148" s="8">
        <f t="shared" ref="DH148:DH149" si="1351">ABS(SQRT(2)*($A$99*2*$D$98/($F$5*$G3^2))*(1-(DC$103*2/($F$5))^$E$98))</f>
        <v>7.3510640471306038E-2</v>
      </c>
      <c r="DI148" s="8">
        <f t="shared" ref="DI148:DI149" si="1352">ABS(SQRT(2)*($A$99*2*$D$98/($F$5*$G3^2))*(1-(DD$103*2/($F$5))^$E$98))</f>
        <v>7.3446460027635732E-2</v>
      </c>
      <c r="DJ148" s="8">
        <f t="shared" ref="DJ148:DJ149" si="1353">ABS(SQRT(2)*($A$99*2*$D$98/($F$5*$G3^2))*(1-(DE$103*2/($F$5))^$E$98))</f>
        <v>7.3375504492103311E-2</v>
      </c>
      <c r="DK148" s="8">
        <f t="shared" ref="DK148:DK149" si="1354">ABS(SQRT(2)*($A$99*2*$D$98/($F$5*$G3^2))*(1-(DF$103*2/($F$5))^$E$98))</f>
        <v>7.3297132194705739E-2</v>
      </c>
      <c r="DL148" s="8">
        <f t="shared" ref="DL148:DL149" si="1355">ABS(SQRT(2)*($A$99*2*$D$98/($F$5*$G3^2))*(1-(DG$103*2/($F$5))^$E$98))</f>
        <v>7.3210647522742867E-2</v>
      </c>
      <c r="DM148" s="8">
        <f t="shared" ref="DM148:DM149" si="1356">ABS(SQRT(2)*($A$99*2*$D$98/($F$5*$G3^2))*(1-(DH$103*2/($F$5))^$E$98))</f>
        <v>7.3115296949282177E-2</v>
      </c>
      <c r="DN148" s="8">
        <f t="shared" ref="DN148:DN149" si="1357">ABS(SQRT(2)*($A$99*2*$D$98/($F$5*$G3^2))*(1-(DI$103*2/($F$5))^$E$98))</f>
        <v>7.3010264809902234E-2</v>
      </c>
      <c r="DO148" s="8">
        <f t="shared" ref="DO148:DO149" si="1358">ABS(SQRT(2)*($A$99*2*$D$98/($F$5*$G3^2))*(1-(DJ$103*2/($F$5))^$E$98))</f>
        <v>7.2894668814290714E-2</v>
      </c>
      <c r="DP148" s="8">
        <f t="shared" ref="DP148:DP149" si="1359">ABS(SQRT(2)*($A$99*2*$D$98/($F$5*$G3^2))*(1-(DK$103*2/($F$5))^$E$98))</f>
        <v>7.276755527868943E-2</v>
      </c>
      <c r="DQ148" s="8">
        <f t="shared" ref="DQ148:DQ149" si="1360">ABS(SQRT(2)*($A$99*2*$D$98/($F$5*$G3^2))*(1-(DL$103*2/($F$5))^$E$98))</f>
        <v>7.2627894064575524E-2</v>
      </c>
      <c r="DR148" s="8">
        <f t="shared" ref="DR148:DR149" si="1361">ABS(SQRT(2)*($A$99*2*$D$98/($F$5*$G3^2))*(1-(DM$103*2/($F$5))^$E$98))</f>
        <v>7.2474573208344717E-2</v>
      </c>
      <c r="DS148" s="8">
        <f t="shared" ref="DS148:DS149" si="1362">ABS(SQRT(2)*($A$99*2*$D$98/($F$5*$G3^2))*(1-(DN$103*2/($F$5))^$E$98))</f>
        <v>7.2306393226118343E-2</v>
      </c>
      <c r="DT148" s="8">
        <f t="shared" ref="DT148:DT149" si="1363">ABS(SQRT(2)*($A$99*2*$D$98/($F$5*$G3^2))*(1-(DO$103*2/($F$5))^$E$98))</f>
        <v>7.2122061077130914E-2</v>
      </c>
      <c r="DU148" s="8">
        <f t="shared" ref="DU148:DU149" si="1364">ABS(SQRT(2)*($A$99*2*$D$98/($F$5*$G3^2))*(1-(DP$103*2/($F$5))^$E$98))</f>
        <v>7.1920183768467788E-2</v>
      </c>
      <c r="DV148" s="8">
        <f t="shared" ref="DV148:DV149" si="1365">ABS(SQRT(2)*($A$99*2*$D$98/($F$5*$G3^2))*(1-(DQ$103*2/($F$5))^$E$98))</f>
        <v>7.1699261583213783E-2</v>
      </c>
      <c r="DW148" s="8">
        <f t="shared" ref="DW148:DW149" si="1366">ABS(SQRT(2)*($A$99*2*$D$98/($F$5*$G3^2))*(1-(DR$103*2/($F$5))^$E$98))</f>
        <v>7.1457680913341662E-2</v>
      </c>
      <c r="DX148" s="8">
        <f t="shared" ref="DX148:DX149" si="1367">ABS(SQRT(2)*($A$99*2*$D$98/($F$5*$G3^2))*(1-(DS$103*2/($F$5))^$E$98))</f>
        <v>7.1193706677914428E-2</v>
      </c>
      <c r="DY148" s="8">
        <f t="shared" ref="DY148:DY149" si="1368">ABS(SQRT(2)*($A$99*2*$D$98/($F$5*$G3^2))*(1-(DT$103*2/($F$5))^$E$98))</f>
        <v>7.0905474306396932E-2</v>
      </c>
      <c r="DZ148" s="8">
        <f t="shared" ref="DZ148:DZ149" si="1369">ABS(SQRT(2)*($A$99*2*$D$98/($F$5*$G3^2))*(1-(DU$103*2/($F$5))^$E$98))</f>
        <v>7.0590981266069081E-2</v>
      </c>
      <c r="EA148" s="8">
        <f t="shared" ref="EA148:EA149" si="1370">ABS(SQRT(2)*($A$99*2*$D$98/($F$5*$G3^2))*(1-(DV$103*2/($F$5))^$E$98))</f>
        <v>7.0248078111705262E-2</v>
      </c>
      <c r="EB148" s="8">
        <f t="shared" ref="EB148:EB149" si="1371">ABS(SQRT(2)*($A$99*2*$D$98/($F$5*$G3^2))*(1-(DW$103*2/($F$5))^$E$98))</f>
        <v>6.9874459034831582E-2</v>
      </c>
      <c r="EC148" s="8">
        <f t="shared" ref="EC148:EC149" si="1372">ABS(SQRT(2)*($A$99*2*$D$98/($F$5*$G3^2))*(1-(DX$103*2/($F$5))^$E$98))</f>
        <v>6.9467651888993176E-2</v>
      </c>
      <c r="ED148" s="8">
        <f t="shared" ref="ED148:ED149" si="1373">ABS(SQRT(2)*($A$99*2*$D$98/($F$5*$G3^2))*(1-(DY$103*2/($F$5))^$E$98))</f>
        <v>6.9025007666558502E-2</v>
      </c>
      <c r="EE148" s="8">
        <f t="shared" ref="EE148:EE149" si="1374">ABS(SQRT(2)*($A$99*2*$D$98/($F$5*$G3^2))*(1-(DZ$103*2/($F$5))^$E$98))</f>
        <v>6.8543689401654798E-2</v>
      </c>
      <c r="EF148" s="8">
        <f t="shared" ref="EF148:EF149" si="1375">ABS(SQRT(2)*($A$99*2*$D$98/($F$5*$G3^2))*(1-(EA$103*2/($F$5))^$E$98))</f>
        <v>6.8020660472868519E-2</v>
      </c>
      <c r="EG148" s="8">
        <f t="shared" ref="EG148:EG149" si="1376">ABS(SQRT(2)*($A$99*2*$D$98/($F$5*$G3^2))*(1-(EB$103*2/($F$5))^$E$98))</f>
        <v>6.7452672278356274E-2</v>
      </c>
      <c r="EH148" s="8">
        <f t="shared" ref="EH148:EH149" si="1377">ABS(SQRT(2)*($A$99*2*$D$98/($F$5*$G3^2))*(1-(EC$103*2/($F$5))^$E$98))</f>
        <v>6.68362512549939E-2</v>
      </c>
      <c r="EI148" s="8">
        <f t="shared" ref="EI148:EI149" si="1378">ABS(SQRT(2)*($A$99*2*$D$98/($F$5*$G3^2))*(1-(ED$103*2/($F$5))^$E$98))</f>
        <v>6.6167685212145222E-2</v>
      </c>
      <c r="EJ148" s="8">
        <f t="shared" ref="EJ148:EJ149" si="1379">ABS(SQRT(2)*($A$99*2*$D$98/($F$5*$G3^2))*(1-(EE$103*2/($F$5))^$E$98))</f>
        <v>6.5443008949554377E-2</v>
      </c>
      <c r="EK148" s="8">
        <f t="shared" ref="EK148:EK149" si="1380">ABS(SQRT(2)*($A$99*2*$D$98/($F$5*$G3^2))*(1-(EF$103*2/($F$5))^$E$98))</f>
        <v>6.46579891277584E-2</v>
      </c>
      <c r="EL148" s="8">
        <f t="shared" ref="EL148:EL149" si="1381">ABS(SQRT(2)*($A$99*2*$D$98/($F$5*$G3^2))*(1-(EG$103*2/($F$5))^$E$98))</f>
        <v>6.3808108358278284E-2</v>
      </c>
      <c r="EM148" s="8">
        <f t="shared" ref="EM148:EM149" si="1382">ABS(SQRT(2)*($A$99*2*$D$98/($F$5*$G3^2))*(1-(EH$103*2/($F$5))^$E$98))</f>
        <v>6.2888548479674747E-2</v>
      </c>
      <c r="EN148" s="8">
        <f t="shared" ref="EN148:EN149" si="1383">ABS(SQRT(2)*($A$99*2*$D$98/($F$5*$G3^2))*(1-(EI$103*2/($F$5))^$E$98))</f>
        <v>6.1894172984352847E-2</v>
      </c>
      <c r="EO148" s="8">
        <f t="shared" ref="EO148:EO149" si="1384">ABS(SQRT(2)*($A$99*2*$D$98/($F$5*$G3^2))*(1-(EJ$103*2/($F$5))^$E$98))</f>
        <v>6.0819508559762037E-2</v>
      </c>
      <c r="EP148" s="8">
        <f t="shared" ref="EP148:EP149" si="1385">ABS(SQRT(2)*($A$99*2*$D$98/($F$5*$G3^2))*(1-(EK$103*2/($F$5))^$E$98))</f>
        <v>5.9658725706367974E-2</v>
      </c>
      <c r="EQ148" s="8">
        <f t="shared" ref="EQ148:EQ149" si="1386">ABS(SQRT(2)*($A$99*2*$D$98/($F$5*$G3^2))*(1-(EL$103*2/($F$5))^$E$98))</f>
        <v>5.8405618393467168E-2</v>
      </c>
      <c r="ER148" s="8">
        <f t="shared" ref="ER148:ER149" si="1387">ABS(SQRT(2)*($A$99*2*$D$98/($F$5*$G3^2))*(1-(EM$103*2/($F$5))^$E$98))</f>
        <v>5.7053582712575532E-2</v>
      </c>
      <c r="ES148" s="8">
        <f t="shared" ref="ES148:ES149" si="1388">ABS(SQRT(2)*($A$99*2*$D$98/($F$5*$G3^2))*(1-(EN$103*2/($F$5))^$E$98))</f>
        <v>5.5595594486744643E-2</v>
      </c>
      <c r="ET148" s="8">
        <f t="shared" ref="ET148:ET149" si="1389">ABS(SQRT(2)*($A$99*2*$D$98/($F$5*$G3^2))*(1-(EO$103*2/($F$5))^$E$98))</f>
        <v>5.4024185792747793E-2</v>
      </c>
      <c r="EU148" s="8">
        <f t="shared" ref="EU148:EU149" si="1390">ABS(SQRT(2)*($A$99*2*$D$98/($F$5*$G3^2))*(1-(EP$103*2/($F$5))^$E$98))</f>
        <v>5.2331420351626634E-2</v>
      </c>
      <c r="EV148" s="8">
        <f t="shared" ref="EV148:EV149" si="1391">ABS(SQRT(2)*($A$99*2*$D$98/($F$5*$G3^2))*(1-(EQ$103*2/($F$5))^$E$98))</f>
        <v>5.0508867741601071E-2</v>
      </c>
      <c r="EW148" s="8">
        <f t="shared" ref="EW148:EW149" si="1392">ABS(SQRT(2)*($A$99*2*$D$98/($F$5*$G3^2))*(1-(ER$103*2/($F$5))^$E$98))</f>
        <v>4.8547576385818449E-2</v>
      </c>
      <c r="EX148" s="8">
        <f t="shared" ref="EX148:EX149" si="1393">ABS(SQRT(2)*($A$99*2*$D$98/($F$5*$G3^2))*(1-(ES$103*2/($F$5))^$E$98))</f>
        <v>4.6438045265850984E-2</v>
      </c>
      <c r="EY148" s="8">
        <f t="shared" ref="EY148:EY149" si="1394">ABS(SQRT(2)*($A$99*2*$D$98/($F$5*$G3^2))*(1-(ET$103*2/($F$5))^$E$98))</f>
        <v>4.4170194310243431E-2</v>
      </c>
      <c r="EZ148" s="8">
        <f t="shared" ref="EZ148:EZ149" si="1395">ABS(SQRT(2)*($A$99*2*$D$98/($F$5*$G3^2))*(1-(EU$103*2/($F$5))^$E$98))</f>
        <v>4.1733333405765911E-2</v>
      </c>
      <c r="FA148" s="8">
        <f t="shared" ref="FA148:FA149" si="1396">ABS(SQRT(2)*($A$99*2*$D$98/($F$5*$G3^2))*(1-(EV$103*2/($F$5))^$E$98))</f>
        <v>3.9116129977336773E-2</v>
      </c>
      <c r="FB148" s="8">
        <f t="shared" ref="FB148:FB149" si="1397">ABS(SQRT(2)*($A$99*2*$D$98/($F$5*$G3^2))*(1-(EW$103*2/($F$5))^$E$98))</f>
        <v>3.6306575080847975E-2</v>
      </c>
      <c r="FC148" s="8">
        <f t="shared" ref="FC148:FC149" si="1398">ABS(SQRT(2)*($A$99*2*$D$98/($F$5*$G3^2))*(1-(EX$103*2/($F$5))^$E$98))</f>
        <v>3.3291947951351514E-2</v>
      </c>
      <c r="FD148" s="8">
        <f t="shared" ref="FD148:FD149" si="1399">ABS(SQRT(2)*($A$99*2*$D$98/($F$5*$G3^2))*(1-(EY$103*2/($F$5))^$E$98))</f>
        <v>3.0058778947245061E-2</v>
      </c>
      <c r="FE148" s="8">
        <f t="shared" ref="FE148:FE149" si="1400">ABS(SQRT(2)*($A$99*2*$D$98/($F$5*$G3^2))*(1-(EZ$103*2/($F$5))^$E$98))</f>
        <v>2.6592810829230762E-2</v>
      </c>
      <c r="FF148" s="8">
        <f t="shared" ref="FF148:FF149" si="1401">ABS(SQRT(2)*($A$99*2*$D$98/($F$5*$G3^2))*(1-(FA$103*2/($F$5))^$E$98))</f>
        <v>2.2878958310912641E-2</v>
      </c>
      <c r="FG148" s="8">
        <f t="shared" ref="FG148:FG149" si="1402">ABS(SQRT(2)*($A$99*2*$D$98/($F$5*$G3^2))*(1-(FB$103*2/($F$5))^$E$98))</f>
        <v>1.8901265815941162E-2</v>
      </c>
      <c r="FH148" s="8">
        <f t="shared" ref="FH148:FH149" si="1403">ABS(SQRT(2)*($A$99*2*$D$98/($F$5*$G3^2))*(1-(FC$103*2/($F$5))^$E$98))</f>
        <v>1.464286337460927E-2</v>
      </c>
      <c r="FI148" s="8">
        <f t="shared" ref="FI148:FI149" si="1404">ABS(SQRT(2)*($A$99*2*$D$98/($F$5*$G3^2))*(1-(FD$103*2/($F$5))^$E$98))</f>
        <v>1.0085920590755167E-2</v>
      </c>
      <c r="FJ148" s="8">
        <f t="shared" ref="FJ148:FJ149" si="1405">ABS(SQRT(2)*($A$99*2*$D$98/($F$5*$G3^2))*(1-(FE$103*2/($F$5))^$E$98))</f>
        <v>5.2115986077249888E-3</v>
      </c>
      <c r="FK148" s="8"/>
      <c r="FL148" s="8">
        <f t="shared" ref="FL148:FL149" si="1406">G153/G148</f>
        <v>0.22219702236902386</v>
      </c>
      <c r="FM148" s="8">
        <f t="shared" ref="FM148:FM149" si="1407">H153/H148</f>
        <v>0.22219702236902386</v>
      </c>
      <c r="FN148" s="8">
        <f t="shared" ref="FN148:FN149" si="1408">I153/I148</f>
        <v>0.22219702236902386</v>
      </c>
      <c r="FO148" s="8">
        <f t="shared" ref="FO148:FO149" si="1409">J153/J148</f>
        <v>0.22219702236902372</v>
      </c>
      <c r="FP148" s="8">
        <f t="shared" ref="FP148:FP149" si="1410">K153/K148</f>
        <v>0.22219702236902134</v>
      </c>
      <c r="FQ148" s="8">
        <f t="shared" ref="FQ148:FQ149" si="1411">L153/L148</f>
        <v>0.22219702236899683</v>
      </c>
      <c r="FR148" s="8">
        <f t="shared" ref="FR148:FR149" si="1412">M153/M148</f>
        <v>0.22219702236883604</v>
      </c>
      <c r="FS148" s="8">
        <f t="shared" ref="FS148:FS149" si="1413">N153/N148</f>
        <v>0.22219702236805569</v>
      </c>
      <c r="FT148" s="8">
        <f t="shared" ref="FT148:FT149" si="1414">O153/O148</f>
        <v>0.22219702236501626</v>
      </c>
      <c r="FU148" s="8">
        <f t="shared" ref="FU148:FU149" si="1415">P153/P148</f>
        <v>0.22219702235499378</v>
      </c>
      <c r="FV148" s="8">
        <f t="shared" ref="FV148:FV149" si="1416">Q153/Q148</f>
        <v>0.22219702232598709</v>
      </c>
      <c r="FW148" s="8">
        <f t="shared" ref="FW148:FW149" si="1417">R153/R148</f>
        <v>0.22219702225039642</v>
      </c>
      <c r="FX148" s="8">
        <f t="shared" ref="FX148:FX149" si="1418">S153/S148</f>
        <v>0.22219702206966727</v>
      </c>
      <c r="FY148" s="8">
        <f t="shared" ref="FY148:FY149" si="1419">T153/T148</f>
        <v>0.22219702166757455</v>
      </c>
      <c r="FZ148" s="8">
        <f t="shared" ref="FZ148:FZ149" si="1420">U153/U148</f>
        <v>0.22219702082595835</v>
      </c>
      <c r="GA148" s="8">
        <f t="shared" ref="GA148:GA149" si="1421">V153/V148</f>
        <v>0.22219701915432796</v>
      </c>
      <c r="GB148" s="8">
        <f t="shared" ref="GB148:GB149" si="1422">W153/W148</f>
        <v>0.2221970159817486</v>
      </c>
      <c r="GC148" s="8">
        <f t="shared" ref="GC148:GC149" si="1423">X153/X148</f>
        <v>0.2221970101957175</v>
      </c>
      <c r="GD148" s="8">
        <f t="shared" ref="GD148:GD149" si="1424">Y153/Y148</f>
        <v>0.22219700000823822</v>
      </c>
      <c r="GE148" s="8">
        <f t="shared" ref="GE148:GE149" si="1425">Z153/Z148</f>
        <v>0.22219698262390697</v>
      </c>
      <c r="GF148" s="8">
        <f t="shared" ref="GF148:GF149" si="1426">AA153/AA148</f>
        <v>0.22219695377843535</v>
      </c>
      <c r="GG148" s="8">
        <f t="shared" ref="GG148:GG149" si="1427">AB153/AB148</f>
        <v>0.22219690710854156</v>
      </c>
      <c r="GH148" s="8">
        <f t="shared" ref="GH148:GH149" si="1428">AC153/AC148</f>
        <v>0.22219683330543388</v>
      </c>
      <c r="GI148" s="8">
        <f t="shared" ref="GI148:GI149" si="1429">AD153/AD148</f>
        <v>0.2221967189940724</v>
      </c>
      <c r="GJ148" s="8">
        <f t="shared" ref="GJ148:GJ149" si="1430">AE153/AE148</f>
        <v>0.22219654526890625</v>
      </c>
      <c r="GK148" s="8">
        <f t="shared" ref="GK148:GK149" si="1431">AF153/AF148</f>
        <v>0.22219628580372283</v>
      </c>
      <c r="GL148" s="8">
        <f t="shared" ref="GL148:GL149" si="1432">AG153/AG148</f>
        <v>0.22219590443848181</v>
      </c>
      <c r="GM148" s="8">
        <f t="shared" ref="GM148:GM149" si="1433">AH153/AH148</f>
        <v>0.22219535212941174</v>
      </c>
      <c r="GN148" s="8">
        <f t="shared" ref="GN148:GN149" si="1434">AI153/AI148</f>
        <v>0.22219456313008434</v>
      </c>
      <c r="GO148" s="8">
        <f t="shared" ref="GO148:GO149" si="1435">AJ153/AJ148</f>
        <v>0.22219345025051065</v>
      </c>
      <c r="GP148" s="8">
        <f t="shared" ref="GP148:GP149" si="1436">AK153/AK148</f>
        <v>0.22219189901838682</v>
      </c>
      <c r="GQ148" s="8">
        <f t="shared" ref="GQ148:GQ149" si="1437">AL153/AL148</f>
        <v>0.2221897605413016</v>
      </c>
      <c r="GR148" s="8">
        <f t="shared" ref="GR148:GR149" si="1438">AM153/AM148</f>
        <v>0.22218684284085988</v>
      </c>
      <c r="GS148" s="8">
        <f t="shared" ref="GS148:GS149" si="1439">AN153/AN148</f>
        <v>0.22218290039911912</v>
      </c>
      <c r="GT148" s="8">
        <f t="shared" ref="GT148:GT149" si="1440">AO153/AO148</f>
        <v>0.22217762162432489</v>
      </c>
      <c r="GU148" s="8">
        <f t="shared" ref="GU148:GU149" si="1441">AP153/AP148</f>
        <v>0.22217061390650308</v>
      </c>
      <c r="GV148" s="8">
        <f t="shared" ref="GV148:GV149" si="1442">AQ153/AQ148</f>
        <v>0.22216138589386317</v>
      </c>
      <c r="GW148" s="8">
        <f t="shared" ref="GW148:GW149" si="1443">AR153/AR148</f>
        <v>0.22214932657801287</v>
      </c>
      <c r="GX148" s="8">
        <f t="shared" ref="GX148:GX149" si="1444">AS153/AS148</f>
        <v>0.22213368072952036</v>
      </c>
      <c r="GY148" s="8">
        <f t="shared" ref="GY148:GY149" si="1445">AT153/AT148</f>
        <v>0.22211352017520053</v>
      </c>
      <c r="GZ148" s="8">
        <f t="shared" ref="GZ148:GZ149" si="1446">AU153/AU148</f>
        <v>0.22208771035447897</v>
      </c>
      <c r="HA148" s="8">
        <f t="shared" ref="HA148:HA149" si="1447">AV153/AV148</f>
        <v>0.22205487153411452</v>
      </c>
      <c r="HB148" s="8">
        <f t="shared" ref="HB148:HB149" si="1448">AW153/AW148</f>
        <v>0.22201333399825859</v>
      </c>
      <c r="HC148" s="8">
        <f t="shared" ref="HC148:HC149" si="1449">AX153/AX148</f>
        <v>0.22196108646410506</v>
      </c>
      <c r="HD148" s="8">
        <f t="shared" ref="HD148:HD149" si="1450">AY153/AY148</f>
        <v>0.22189571690205076</v>
      </c>
      <c r="HE148" s="8">
        <f t="shared" ref="HE148:HE149" si="1451">AZ153/AZ148</f>
        <v>0.22181434486314699</v>
      </c>
      <c r="HF148" s="8">
        <f t="shared" ref="HF148:HF149" si="1452">BA153/BA148</f>
        <v>0.22171354433547538</v>
      </c>
      <c r="HG148" s="8">
        <f t="shared" ref="HG148:HG149" si="1453">BB153/BB148</f>
        <v>0.22158925606472799</v>
      </c>
      <c r="HH148" s="8">
        <f t="shared" ref="HH148:HH149" si="1454">BC153/BC148</f>
        <v>0.2214366881824984</v>
      </c>
      <c r="HI148" s="8">
        <f t="shared" ref="HI148:HI149" si="1455">BD153/BD148</f>
        <v>0.22125020388838654</v>
      </c>
      <c r="HJ148" s="8">
        <f t="shared" ref="HJ148:HJ149" si="1456">BE153/BE148</f>
        <v>0.22102319482876612</v>
      </c>
      <c r="HK148" s="8">
        <f t="shared" ref="HK148:HK149" si="1457">BF153/BF148</f>
        <v>0.22074793870573065</v>
      </c>
      <c r="HL148" s="8">
        <f t="shared" ref="HL148:HL149" si="1458">BG153/BG148</f>
        <v>0.22041543953409154</v>
      </c>
      <c r="HM148" s="8">
        <f t="shared" ref="HM148:HM149" si="1459">BH153/BH148</f>
        <v>0.22001524884210263</v>
      </c>
      <c r="HN148" s="8">
        <f t="shared" ref="HN148:HN149" si="1460">BI153/BI148</f>
        <v>0.21953526598258</v>
      </c>
      <c r="HO148" s="8">
        <f t="shared" ref="HO148:HO149" si="1461">BJ153/BJ148</f>
        <v>0.21896151558500418</v>
      </c>
      <c r="HP148" s="8">
        <f t="shared" ref="HP148:HP149" si="1462">BK153/BK148</f>
        <v>0.21827790003575356</v>
      </c>
      <c r="HQ148" s="8">
        <f t="shared" ref="HQ148:HQ149" si="1463">BL153/BL148</f>
        <v>0.21746592472252499</v>
      </c>
      <c r="HR148" s="8">
        <f t="shared" ref="HR148:HR149" si="1464">BM153/BM148</f>
        <v>0.21650439361992477</v>
      </c>
      <c r="HS148" s="8">
        <f t="shared" ref="HS148:HS149" si="1465">BN153/BN148</f>
        <v>0.21536907262581861</v>
      </c>
      <c r="HT148" s="8">
        <f t="shared" ref="HT148:HT149" si="1466">BO153/BO148</f>
        <v>0.21403231788192373</v>
      </c>
      <c r="HU148" s="8">
        <f t="shared" ref="HU148:HU149" si="1467">BP153/BP148</f>
        <v>0.21246266612690962</v>
      </c>
      <c r="HV148" s="8">
        <f t="shared" ref="HV148:HV149" si="1468">BQ153/BQ148</f>
        <v>0.21062438393545604</v>
      </c>
      <c r="HW148" s="8">
        <f t="shared" ref="HW148:HW149" si="1469">BR153/BR148</f>
        <v>0.20847697249181044</v>
      </c>
      <c r="HX148" s="8">
        <f t="shared" ref="HX148:HX149" si="1470">BS153/BS148</f>
        <v>0.20597462433077529</v>
      </c>
      <c r="HY148" s="8">
        <f t="shared" ref="HY148:HY149" si="1471">BT153/BT148</f>
        <v>0.20306562825209135</v>
      </c>
      <c r="HZ148" s="8">
        <f t="shared" ref="HZ148:HZ149" si="1472">BU153/BU148</f>
        <v>0.19969171837510222</v>
      </c>
      <c r="IA148" s="8">
        <f t="shared" ref="IA148:IA149" si="1473">BV153/BV148</f>
        <v>0.19578736304849079</v>
      </c>
      <c r="IB148" s="8">
        <f t="shared" ref="IB148:IB149" si="1474">BW153/BW148</f>
        <v>0.19127898906378243</v>
      </c>
      <c r="IC148" s="8">
        <f t="shared" ref="IC148:IC149" si="1475">BX153/BX148</f>
        <v>0.18608413633999324</v>
      </c>
      <c r="ID148" s="8">
        <f t="shared" ref="ID148:ID149" si="1476">BY153/BY148</f>
        <v>0.18011053794893228</v>
      </c>
      <c r="IE148" s="8">
        <f t="shared" ref="IE148:IE149" si="1477">BZ153/BZ148</f>
        <v>0.17325512003457816</v>
      </c>
      <c r="IF148" s="8">
        <f t="shared" ref="IF148:IF149" si="1478">CA153/CA148</f>
        <v>0.16540291584380493</v>
      </c>
      <c r="IG148" s="8">
        <f t="shared" ref="IG148:IG149" si="1479">CB153/CB148</f>
        <v>0.15642588772727375</v>
      </c>
      <c r="IH148" s="8">
        <f t="shared" ref="IH148:IH149" si="1480">CC153/CC148</f>
        <v>0.14618165058595303</v>
      </c>
      <c r="II148" s="8">
        <f t="shared" ref="II148:II149" si="1481">CD153/CD148</f>
        <v>0.13451208982741378</v>
      </c>
      <c r="IJ148" s="8">
        <f t="shared" ref="IJ148:IJ149" si="1482">CE153/CE148</f>
        <v>0.1212418664531708</v>
      </c>
      <c r="IK148" s="8">
        <f t="shared" ref="IK148:IK149" si="1483">CF153/CF148</f>
        <v>0.10617680141963157</v>
      </c>
      <c r="IL148" s="8">
        <f t="shared" ref="IL148:IL149" si="1484">CG153/CG148</f>
        <v>8.910213089583377E-2</v>
      </c>
      <c r="IM148" s="8">
        <f t="shared" ref="IM148:IM149" si="1485">CH153/CH148</f>
        <v>6.9780623475002829E-2</v>
      </c>
      <c r="IN148" s="8">
        <f t="shared" ref="IN148:IN149" si="1486">CI153/CI148</f>
        <v>4.795054977744484E-2</v>
      </c>
      <c r="IO148" s="8">
        <f t="shared" ref="IO148:IO149" si="1487">CJ153/CJ148</f>
        <v>2.33234942012224E-2</v>
      </c>
      <c r="IP148" s="8">
        <f t="shared" ref="IP148:IQ149" si="1488">CK153/CK148</f>
        <v>4.4180021751730721E-3</v>
      </c>
      <c r="IQ148" s="8">
        <f t="shared" si="1488"/>
        <v>3.5622979368017511E-2</v>
      </c>
      <c r="IR148" s="8">
        <f t="shared" ref="IR148:IR149" si="1489">CM153/CM148</f>
        <v>7.0674789700748336E-2</v>
      </c>
      <c r="IS148" s="8">
        <f t="shared" ref="IS148:IS149" si="1490">CN153/CN148</f>
        <v>0.10999403625240355</v>
      </c>
      <c r="IT148" s="8">
        <f t="shared" ref="IT148:IT149" si="1491">CO153/CO148</f>
        <v>0.15404173350889611</v>
      </c>
      <c r="IU148" s="8">
        <f t="shared" ref="IU148:IU149" si="1492">CP153/CP148</f>
        <v>0.20332270650057244</v>
      </c>
      <c r="IV148" s="8">
        <f t="shared" ref="IV148:IV149" si="1493">CQ153/CQ148</f>
        <v>0.25838924619985254</v>
      </c>
      <c r="IW148" s="8">
        <f t="shared" ref="IW148:IW149" si="1494">CR153/CR148</f>
        <v>0.31984504064473634</v>
      </c>
      <c r="IX148" s="8">
        <f t="shared" ref="IX148:IX149" si="1495">CS153/CS148</f>
        <v>0.38834940318151656</v>
      </c>
      <c r="IY148" s="8">
        <f t="shared" ref="IY148:IY149" si="1496">CT153/CT148</f>
        <v>0.46462182142190073</v>
      </c>
      <c r="IZ148" s="8">
        <f t="shared" ref="IZ148:IZ149" si="1497">CU153/CU148</f>
        <v>0.54944685303139629</v>
      </c>
      <c r="JA148" s="8">
        <f t="shared" ref="JA148:JA149" si="1498">CV153/CV148</f>
        <v>0.64367939736140978</v>
      </c>
      <c r="JB148" s="8">
        <f t="shared" ref="JB148:JB149" si="1499">CW153/CW148</f>
        <v>0.74825037526891569</v>
      </c>
      <c r="JC148" s="8">
        <f t="shared" ref="JC148:JC149" si="1500">CX153/CX148</f>
        <v>0.86417285330897708</v>
      </c>
      <c r="JD148" s="8">
        <f t="shared" ref="JD148:JD149" si="1501">CY153/CY148</f>
        <v>0.9925486529221087</v>
      </c>
      <c r="JE148" s="8">
        <f t="shared" ref="JE148:JE149" si="1502">CZ153/CZ148</f>
        <v>1.1345754903731846</v>
      </c>
      <c r="JF148" s="8">
        <f t="shared" ref="JF148:JF149" si="1503">DA153/DA148</f>
        <v>1.2915546991487481</v>
      </c>
      <c r="JG148" s="8">
        <f t="shared" ref="JG148:JG149" si="1504">DB153/DB148</f>
        <v>1.4648995934281626</v>
      </c>
      <c r="JH148" s="8">
        <f t="shared" ref="JH148:JH149" si="1505">DC153/DC148</f>
        <v>1.6561445392736054</v>
      </c>
      <c r="JI148" s="8">
        <f t="shared" ref="JI148:JI149" si="1506">DD153/DD148</f>
        <v>1.8669548095361235</v>
      </c>
      <c r="JJ148" s="8">
        <f t="shared" ref="JJ148:JJ149" si="1507">DE153/DE148</f>
        <v>2.0991373093770345</v>
      </c>
      <c r="JK148" s="8">
        <f t="shared" ref="JK148:JK149" si="1508">DF153/DF148</f>
        <v>2.3546522720391914</v>
      </c>
      <c r="JL148" s="8">
        <f t="shared" ref="JL148:JL149" si="1509">DG153/DG148</f>
        <v>2.6356260393972781</v>
      </c>
      <c r="JM148" s="8">
        <f t="shared" ref="JM148:JM149" si="1510">DH153/DH148</f>
        <v>2.944365059270607</v>
      </c>
      <c r="JN148" s="8">
        <f t="shared" ref="JN148:JN149" si="1511">DI153/DI148</f>
        <v>3.2833712519664875</v>
      </c>
      <c r="JO148" s="8">
        <f t="shared" ref="JO148:JO149" si="1512">DJ153/DJ148</f>
        <v>3.655358922614977</v>
      </c>
      <c r="JP148" s="8">
        <f t="shared" ref="JP148:JP149" si="1513">DK153/DK148</f>
        <v>4.063273424242829</v>
      </c>
      <c r="JQ148" s="8">
        <f t="shared" ref="JQ148:JQ149" si="1514">DL153/DL148</f>
        <v>4.5103118100580755</v>
      </c>
      <c r="JR148" s="8">
        <f t="shared" ref="JR148:JR149" si="1515">DM153/DM148</f>
        <v>4.9999457530976761</v>
      </c>
      <c r="JS148" s="8">
        <f t="shared" ref="JS148:JS149" si="1516">DN153/DN148</f>
        <v>5.5359470584737602</v>
      </c>
      <c r="JT148" s="8">
        <f t="shared" ref="JT148:JT149" si="1517">DO153/DO148</f>
        <v>6.1224161494741489</v>
      </c>
      <c r="JU148" s="8">
        <f t="shared" ref="JU148:JU149" si="1518">DP153/DP148</f>
        <v>6.7638139756156477</v>
      </c>
      <c r="JV148" s="8">
        <f t="shared" ref="JV148:JV149" si="1519">DQ153/DQ148</f>
        <v>7.4649978707474167</v>
      </c>
      <c r="JW148" s="8">
        <f t="shared" ref="JW148:JW149" si="1520">DR153/DR148</f>
        <v>8.2312619853645366</v>
      </c>
      <c r="JX148" s="8">
        <f t="shared" ref="JX148:JX149" si="1521">DS153/DS148</f>
        <v>9.068383033040357</v>
      </c>
      <c r="JY148" s="8">
        <f t="shared" ref="JY148:JY149" si="1522">DT153/DT148</f>
        <v>9.9826722308778386</v>
      </c>
      <c r="JZ148" s="8">
        <f t="shared" ref="JZ148:JZ149" si="1523">DU153/DU148</f>
        <v>10.981034483853312</v>
      </c>
      <c r="KA148" s="8">
        <f t="shared" ref="KA148:KA149" si="1524">DV153/DV148</f>
        <v>12.07103607016181</v>
      </c>
      <c r="KB148" s="8">
        <f t="shared" ref="KB148:KB149" si="1525">DW153/DW148</f>
        <v>13.26098233846027</v>
      </c>
      <c r="KC148" s="8">
        <f t="shared" ref="KC148:KC149" si="1526">DX153/DX148</f>
        <v>14.560007240124536</v>
      </c>
      <c r="KD148" s="8">
        <f t="shared" ref="KD148:KD149" si="1527">DY153/DY148</f>
        <v>15.978176905660378</v>
      </c>
      <c r="KE148" s="8">
        <f t="shared" ref="KE148:KE149" si="1528">DZ153/DZ148</f>
        <v>17.52660995409909</v>
      </c>
      <c r="KF148" s="8">
        <f t="shared" ref="KF148:KF149" si="1529">EA153/EA148</f>
        <v>19.217617823603369</v>
      </c>
      <c r="KG148" s="8">
        <f t="shared" ref="KG148:KG149" si="1530">EB153/EB148</f>
        <v>21.064869164713098</v>
      </c>
      <c r="KH148" s="8">
        <f t="shared" ref="KH148:KH149" si="1531">EC153/EC148</f>
        <v>23.083583289923066</v>
      </c>
      <c r="KI148" s="8">
        <f t="shared" ref="KI148:KI149" si="1532">ED153/ED148</f>
        <v>25.290758884864648</v>
      </c>
      <c r="KJ148" s="8">
        <f t="shared" ref="KJ148:KJ149" si="1533">EE153/EE148</f>
        <v>27.705445738277103</v>
      </c>
      <c r="KK148" s="8">
        <f t="shared" ref="KK148:KK149" si="1534">EF153/EF148</f>
        <v>30.349069249967052</v>
      </c>
      <c r="KL148" s="8">
        <f t="shared" ref="KL148:KL149" si="1535">EG153/EG148</f>
        <v>33.2458200780721</v>
      </c>
      <c r="KM148" s="8">
        <f t="shared" ref="KM148:KM149" si="1536">EH153/EH148</f>
        <v>36.42312469608531</v>
      </c>
      <c r="KN148" s="8">
        <f t="shared" ref="KN148:KN149" si="1537">EI153/EI148</f>
        <v>39.912217134497944</v>
      </c>
      <c r="KO148" s="8">
        <f t="shared" ref="KO148:KO149" si="1538">EJ153/EJ148</f>
        <v>43.748838187209984</v>
      </c>
      <c r="KP148" s="8">
        <f t="shared" ref="KP148:KP149" si="1539">EK153/EK148</f>
        <v>47.974096446338123</v>
      </c>
      <c r="KQ148" s="8">
        <f t="shared" ref="KQ148:KQ149" si="1540">EL153/EL148</f>
        <v>52.635536522018434</v>
      </c>
      <c r="KR148" s="8">
        <f t="shared" ref="KR148:KR149" si="1541">EM153/EM148</f>
        <v>57.788474918569804</v>
      </c>
      <c r="KS148" s="8">
        <f t="shared" ref="KS148:KS149" si="1542">EN153/EN148</f>
        <v>63.497685067122767</v>
      </c>
      <c r="KT148" s="8">
        <f t="shared" ref="KT148:KT149" si="1543">EO153/EO148</f>
        <v>69.839542645650667</v>
      </c>
      <c r="KU148" s="8">
        <f t="shared" ref="KU148:KU149" si="1544">EP153/EP148</f>
        <v>76.904784646793928</v>
      </c>
      <c r="KV148" s="8">
        <f t="shared" ref="KV148:KV149" si="1545">EQ153/EQ148</f>
        <v>84.802097031023237</v>
      </c>
      <c r="KW148" s="8">
        <f t="shared" ref="KW148:KW149" si="1546">ER153/ER148</f>
        <v>93.6628362530695</v>
      </c>
      <c r="KX148" s="8">
        <f t="shared" ref="KX148:KX149" si="1547">ES153/ES148</f>
        <v>103.64732562480171</v>
      </c>
      <c r="KY148" s="8">
        <f t="shared" ref="KY148:KY149" si="1548">ET153/ET148</f>
        <v>114.95337498102391</v>
      </c>
      <c r="KZ148" s="8">
        <f t="shared" ref="KZ148:KZ149" si="1549">EU153/EU148</f>
        <v>127.82799633847007</v>
      </c>
      <c r="LA148" s="8">
        <f t="shared" ref="LA148:LA149" si="1550">EV153/EV148</f>
        <v>142.5838069965958</v>
      </c>
      <c r="LB148" s="8">
        <f t="shared" ref="LB148:LB149" si="1551">EW153/EW148</f>
        <v>159.62246377479408</v>
      </c>
      <c r="LC148" s="8">
        <f t="shared" ref="LC148:LC149" si="1552">EX153/EX148</f>
        <v>179.46891434364602</v>
      </c>
      <c r="LD148" s="8">
        <f t="shared" ref="LD148:LD149" si="1553">EY153/EY148</f>
        <v>202.82277556865347</v>
      </c>
      <c r="LE148" s="8">
        <f t="shared" ref="LE148:LE149" si="1554">EZ153/EZ148</f>
        <v>230.63773780545</v>
      </c>
      <c r="LF148" s="8">
        <f t="shared" ref="LF148:LF149" si="1555">FA153/FA148</f>
        <v>264.2486132255691</v>
      </c>
      <c r="LG148" s="8">
        <f t="shared" ref="LG148:LG149" si="1556">FB153/FB148</f>
        <v>305.58308453328465</v>
      </c>
      <c r="LH148" s="8">
        <f t="shared" ref="LH148:LH149" si="1557">FC153/FC148</f>
        <v>357.53226678369975</v>
      </c>
      <c r="LI148" s="8">
        <f t="shared" ref="LI148:LI149" si="1558">FD153/FD148</f>
        <v>424.63889524201653</v>
      </c>
      <c r="LJ148" s="8">
        <f t="shared" ref="LJ148:LJ149" si="1559">FE153/FE148</f>
        <v>514.47370280040457</v>
      </c>
      <c r="LK148" s="8">
        <f t="shared" ref="LK148:LK149" si="1560">FF153/FF148</f>
        <v>640.66345208626558</v>
      </c>
      <c r="LL148" s="8">
        <f t="shared" ref="LL148:LM149" si="1561">FG153/FG148</f>
        <v>830.4610176551887</v>
      </c>
      <c r="LM148" s="8">
        <f t="shared" si="1561"/>
        <v>1147.4556347052394</v>
      </c>
      <c r="LN148" s="8">
        <f t="shared" ref="LN148:LN149" si="1562">FI153/FI148</f>
        <v>1782.4138964933975</v>
      </c>
      <c r="LO148" s="8">
        <f t="shared" ref="LO148:LO149" si="1563">FJ153/FJ148</f>
        <v>3689.1667400906731</v>
      </c>
      <c r="LQ148" s="8">
        <v>6.4999999999999997E-4</v>
      </c>
      <c r="LR148" s="8">
        <f t="shared" ref="LR148:LR149" si="1564">2*LQ148</f>
        <v>1.2999999999999999E-3</v>
      </c>
      <c r="LS148" s="8">
        <f t="shared" ref="LS148:LS149" si="1565">LR148/(1.6*10^-3)</f>
        <v>0.81249999999999989</v>
      </c>
      <c r="LT148" s="8">
        <f t="shared" ref="LT148:LT149" si="1566">FR53</f>
        <v>0.57309941520467833</v>
      </c>
      <c r="LU148" s="8">
        <f t="shared" ref="LU148:LU149" si="1567">LT148-LS148</f>
        <v>-0.23940058479532156</v>
      </c>
    </row>
    <row r="149" spans="7:356" x14ac:dyDescent="0.25">
      <c r="G149" s="8">
        <f t="shared" si="1246"/>
        <v>3.0606810864864206E-2</v>
      </c>
      <c r="H149" s="8">
        <f t="shared" si="1247"/>
        <v>3.0606810864864206E-2</v>
      </c>
      <c r="I149" s="8">
        <f t="shared" si="1248"/>
        <v>3.0606810864864206E-2</v>
      </c>
      <c r="J149" s="8">
        <f t="shared" si="1249"/>
        <v>3.0606810864864206E-2</v>
      </c>
      <c r="K149" s="8">
        <f t="shared" si="1250"/>
        <v>3.0606810864864206E-2</v>
      </c>
      <c r="L149" s="8">
        <f t="shared" si="1251"/>
        <v>3.0606810864864206E-2</v>
      </c>
      <c r="M149" s="8">
        <f t="shared" si="1252"/>
        <v>3.0606810864864206E-2</v>
      </c>
      <c r="N149" s="8">
        <f t="shared" si="1253"/>
        <v>3.0606810864864203E-2</v>
      </c>
      <c r="O149" s="8">
        <f t="shared" si="1254"/>
        <v>3.0606810864864185E-2</v>
      </c>
      <c r="P149" s="8">
        <f t="shared" si="1255"/>
        <v>3.0606810864864119E-2</v>
      </c>
      <c r="Q149" s="8">
        <f t="shared" si="1256"/>
        <v>3.0606810864863911E-2</v>
      </c>
      <c r="R149" s="8">
        <f t="shared" si="1257"/>
        <v>3.0606810864863308E-2</v>
      </c>
      <c r="S149" s="8">
        <f t="shared" si="1258"/>
        <v>3.0606810864861732E-2</v>
      </c>
      <c r="T149" s="8">
        <f t="shared" si="1259"/>
        <v>3.0606810864857927E-2</v>
      </c>
      <c r="U149" s="8">
        <f t="shared" si="1260"/>
        <v>3.0606810864849326E-2</v>
      </c>
      <c r="V149" s="8">
        <f t="shared" si="1261"/>
        <v>3.0606810864830993E-2</v>
      </c>
      <c r="W149" s="8">
        <f t="shared" si="1262"/>
        <v>3.0606810864793815E-2</v>
      </c>
      <c r="X149" s="8">
        <f t="shared" si="1263"/>
        <v>3.0606810864721664E-2</v>
      </c>
      <c r="Y149" s="8">
        <f t="shared" si="1264"/>
        <v>3.060681086458697E-2</v>
      </c>
      <c r="Z149" s="8">
        <f t="shared" si="1265"/>
        <v>3.0606810864344056E-2</v>
      </c>
      <c r="AA149" s="8">
        <f t="shared" si="1266"/>
        <v>3.0606810863919302E-2</v>
      </c>
      <c r="AB149" s="8">
        <f t="shared" si="1267"/>
        <v>3.0606810863196977E-2</v>
      </c>
      <c r="AC149" s="8">
        <f t="shared" si="1268"/>
        <v>3.0606810861999185E-2</v>
      </c>
      <c r="AD149" s="8">
        <f t="shared" si="1269"/>
        <v>3.0606810860057947E-2</v>
      </c>
      <c r="AE149" s="8">
        <f t="shared" si="1270"/>
        <v>3.0606810856977008E-2</v>
      </c>
      <c r="AF149" s="8">
        <f t="shared" si="1271"/>
        <v>3.0606810852180231E-2</v>
      </c>
      <c r="AG149" s="8">
        <f t="shared" si="1272"/>
        <v>3.0606810844842802E-2</v>
      </c>
      <c r="AH149" s="8">
        <f t="shared" si="1273"/>
        <v>3.0606810833800659E-2</v>
      </c>
      <c r="AI149" s="8">
        <f t="shared" si="1274"/>
        <v>3.0606810817432425E-2</v>
      </c>
      <c r="AJ149" s="8">
        <f t="shared" si="1275"/>
        <v>3.0606810793507189E-2</v>
      </c>
      <c r="AK149" s="8">
        <f t="shared" si="1276"/>
        <v>3.0606810758989959E-2</v>
      </c>
      <c r="AL149" s="8">
        <f t="shared" si="1277"/>
        <v>3.0606810709795273E-2</v>
      </c>
      <c r="AM149" s="8">
        <f t="shared" si="1278"/>
        <v>3.0606810640477582E-2</v>
      </c>
      <c r="AN149" s="8">
        <f t="shared" si="1279"/>
        <v>3.0606810543845214E-2</v>
      </c>
      <c r="AO149" s="8">
        <f t="shared" si="1280"/>
        <v>3.0606810410482334E-2</v>
      </c>
      <c r="AP149" s="8">
        <f t="shared" si="1281"/>
        <v>3.060681022816104E-2</v>
      </c>
      <c r="AQ149" s="8">
        <f t="shared" si="1282"/>
        <v>3.0606809981122689E-2</v>
      </c>
      <c r="AR149" s="8">
        <f t="shared" si="1283"/>
        <v>3.0606809649204661E-2</v>
      </c>
      <c r="AS149" s="8">
        <f t="shared" si="1284"/>
        <v>3.0606809206785102E-2</v>
      </c>
      <c r="AT149" s="8">
        <f t="shared" si="1285"/>
        <v>3.060680862151436E-2</v>
      </c>
      <c r="AU149" s="8">
        <f t="shared" si="1286"/>
        <v>3.0606807852797655E-2</v>
      </c>
      <c r="AV149" s="8">
        <f t="shared" si="1287"/>
        <v>3.0606806849988514E-2</v>
      </c>
      <c r="AW149" s="8">
        <f t="shared" si="1288"/>
        <v>3.0606805550247626E-2</v>
      </c>
      <c r="AX149" s="8">
        <f t="shared" si="1289"/>
        <v>3.0606803876015703E-2</v>
      </c>
      <c r="AY149" s="8">
        <f t="shared" si="1290"/>
        <v>3.0606801732042836E-2</v>
      </c>
      <c r="AZ149" s="8">
        <f t="shared" si="1291"/>
        <v>3.0606799001909917E-2</v>
      </c>
      <c r="BA149" s="8">
        <f t="shared" si="1292"/>
        <v>3.0606795543970132E-2</v>
      </c>
      <c r="BB149" s="8">
        <f t="shared" si="1293"/>
        <v>3.0606791186630341E-2</v>
      </c>
      <c r="BC149" s="8">
        <f t="shared" si="1294"/>
        <v>3.0606785722883365E-2</v>
      </c>
      <c r="BD149" s="8">
        <f t="shared" si="1295"/>
        <v>3.0606778903992389E-2</v>
      </c>
      <c r="BE149" s="8">
        <f t="shared" si="1296"/>
        <v>3.0606770432218346E-2</v>
      </c>
      <c r="BF149" s="8">
        <f t="shared" si="1297"/>
        <v>3.0606759952469767E-2</v>
      </c>
      <c r="BG149" s="8">
        <f t="shared" si="1298"/>
        <v>3.0606747042742407E-2</v>
      </c>
      <c r="BH149" s="8">
        <f t="shared" si="1299"/>
        <v>3.0606731203202786E-2</v>
      </c>
      <c r="BI149" s="8">
        <f t="shared" si="1300"/>
        <v>3.0606711843755588E-2</v>
      </c>
      <c r="BJ149" s="8">
        <f t="shared" si="1301"/>
        <v>3.0606688269919659E-2</v>
      </c>
      <c r="BK149" s="8">
        <f t="shared" si="1302"/>
        <v>3.0606659666821055E-2</v>
      </c>
      <c r="BL149" s="8">
        <f t="shared" si="1303"/>
        <v>3.0606625081093932E-2</v>
      </c>
      <c r="BM149" s="8">
        <f t="shared" si="1304"/>
        <v>3.0606583400461566E-2</v>
      </c>
      <c r="BN149" s="8">
        <f t="shared" si="1305"/>
        <v>3.0606533330749461E-2</v>
      </c>
      <c r="BO149" s="8">
        <f t="shared" si="1306"/>
        <v>3.0606473370061442E-2</v>
      </c>
      <c r="BP149" s="8">
        <f t="shared" si="1307"/>
        <v>3.0606401779826445E-2</v>
      </c>
      <c r="BQ149" s="8">
        <f t="shared" si="1308"/>
        <v>3.0606316552399846E-2</v>
      </c>
      <c r="BR149" s="8">
        <f t="shared" si="1309"/>
        <v>3.060621537487684E-2</v>
      </c>
      <c r="BS149" s="8">
        <f t="shared" si="1310"/>
        <v>3.0606095588748314E-2</v>
      </c>
      <c r="BT149" s="8">
        <f t="shared" si="1311"/>
        <v>3.0605954145000166E-2</v>
      </c>
      <c r="BU149" s="8">
        <f t="shared" si="1312"/>
        <v>3.0605787554226209E-2</v>
      </c>
      <c r="BV149" s="8">
        <f t="shared" si="1313"/>
        <v>3.0605591831291915E-2</v>
      </c>
      <c r="BW149" s="8">
        <f t="shared" si="1314"/>
        <v>3.0605362434051445E-2</v>
      </c>
      <c r="BX149" s="8">
        <f t="shared" si="1315"/>
        <v>3.0605094195583785E-2</v>
      </c>
      <c r="BY149" s="8">
        <f t="shared" si="1316"/>
        <v>3.0604781249374744E-2</v>
      </c>
      <c r="BZ149" s="8">
        <f t="shared" si="1317"/>
        <v>3.0604416946830571E-2</v>
      </c>
      <c r="CA149" s="8">
        <f t="shared" si="1318"/>
        <v>3.0603993766465734E-2</v>
      </c>
      <c r="CB149" s="8">
        <f t="shared" si="1319"/>
        <v>3.0603503214061471E-2</v>
      </c>
      <c r="CC149" s="8">
        <f t="shared" si="1320"/>
        <v>3.0602935713043729E-2</v>
      </c>
      <c r="CD149" s="8">
        <f t="shared" si="1321"/>
        <v>3.0602280484278422E-2</v>
      </c>
      <c r="CE149" s="8">
        <f t="shared" si="1322"/>
        <v>3.0601525414428406E-2</v>
      </c>
      <c r="CF149" s="8">
        <f t="shared" si="1323"/>
        <v>3.0600656911960688E-2</v>
      </c>
      <c r="CG149" s="8">
        <f t="shared" si="1324"/>
        <v>3.0599659749833256E-2</v>
      </c>
      <c r="CH149" s="8">
        <f t="shared" si="1325"/>
        <v>3.0598516893829222E-2</v>
      </c>
      <c r="CI149" s="8">
        <f t="shared" si="1326"/>
        <v>3.0597209315440747E-2</v>
      </c>
      <c r="CJ149" s="8">
        <f t="shared" si="1327"/>
        <v>3.0595715788137454E-2</v>
      </c>
      <c r="CK149" s="8">
        <f t="shared" si="1328"/>
        <v>3.0594012665782305E-2</v>
      </c>
      <c r="CL149" s="8">
        <f t="shared" si="1329"/>
        <v>3.0592073641883415E-2</v>
      </c>
      <c r="CM149" s="8">
        <f t="shared" si="1330"/>
        <v>3.0589869488291867E-2</v>
      </c>
      <c r="CN149" s="8">
        <f t="shared" si="1331"/>
        <v>3.0587367771873725E-2</v>
      </c>
      <c r="CO149" s="8">
        <f t="shared" si="1332"/>
        <v>3.0584532547598881E-2</v>
      </c>
      <c r="CP149" s="8">
        <f t="shared" si="1333"/>
        <v>3.0581324026399785E-2</v>
      </c>
      <c r="CQ149" s="8">
        <f t="shared" si="1334"/>
        <v>3.0577698216059768E-2</v>
      </c>
      <c r="CR149" s="8">
        <f t="shared" si="1335"/>
        <v>3.057360653329292E-2</v>
      </c>
      <c r="CS149" s="8">
        <f t="shared" si="1336"/>
        <v>3.0568995385075903E-2</v>
      </c>
      <c r="CT149" s="8">
        <f t="shared" si="1337"/>
        <v>3.0563805717185578E-2</v>
      </c>
      <c r="CU149" s="8">
        <f t="shared" si="1338"/>
        <v>3.0557972527785936E-2</v>
      </c>
      <c r="CV149" s="8">
        <f t="shared" si="1339"/>
        <v>3.0551424343792256E-2</v>
      </c>
      <c r="CW149" s="8">
        <f t="shared" si="1340"/>
        <v>3.0544082657620399E-2</v>
      </c>
      <c r="CX149" s="8">
        <f t="shared" si="1341"/>
        <v>3.0535861321804001E-2</v>
      </c>
      <c r="CY149" s="8">
        <f t="shared" si="1342"/>
        <v>3.052666589883234E-2</v>
      </c>
      <c r="CZ149" s="8">
        <f t="shared" si="1343"/>
        <v>3.0516392963426103E-2</v>
      </c>
      <c r="DA149" s="8">
        <f t="shared" si="1344"/>
        <v>3.0504929354327782E-2</v>
      </c>
      <c r="DB149" s="8">
        <f t="shared" si="1345"/>
        <v>3.0492151372537003E-2</v>
      </c>
      <c r="DC149" s="8">
        <f t="shared" si="1346"/>
        <v>3.0477923922769296E-2</v>
      </c>
      <c r="DD149" s="8">
        <f t="shared" si="1347"/>
        <v>3.0462099594758981E-2</v>
      </c>
      <c r="DE149" s="8">
        <f t="shared" si="1348"/>
        <v>3.0444517680863165E-2</v>
      </c>
      <c r="DF149" s="8">
        <f t="shared" si="1349"/>
        <v>3.0425003126253906E-2</v>
      </c>
      <c r="DG149" s="8">
        <f t="shared" si="1350"/>
        <v>3.0403365407809285E-2</v>
      </c>
      <c r="DH149" s="8">
        <f t="shared" si="1351"/>
        <v>3.0379397337631578E-2</v>
      </c>
      <c r="DI149" s="8">
        <f t="shared" si="1352"/>
        <v>3.0352873786931092E-2</v>
      </c>
      <c r="DJ149" s="8">
        <f t="shared" si="1353"/>
        <v>3.03235503258182E-2</v>
      </c>
      <c r="DK149" s="8">
        <f t="shared" si="1354"/>
        <v>3.0291161774342674E-2</v>
      </c>
      <c r="DL149" s="8">
        <f t="shared" si="1355"/>
        <v>3.0255420659909035E-2</v>
      </c>
      <c r="DM149" s="8">
        <f t="shared" si="1356"/>
        <v>3.0216015575978857E-2</v>
      </c>
      <c r="DN149" s="8">
        <f t="shared" si="1357"/>
        <v>3.0172609436745306E-2</v>
      </c>
      <c r="DO149" s="8">
        <f t="shared" si="1358"/>
        <v>3.0124837622232382E-2</v>
      </c>
      <c r="DP149" s="8">
        <f t="shared" si="1359"/>
        <v>3.0072306008029809E-2</v>
      </c>
      <c r="DQ149" s="8">
        <f t="shared" si="1360"/>
        <v>3.0014588873625594E-2</v>
      </c>
      <c r="DR149" s="8">
        <f t="shared" si="1361"/>
        <v>2.9951226683040413E-2</v>
      </c>
      <c r="DS149" s="8">
        <f t="shared" si="1362"/>
        <v>2.9881723731201966E-2</v>
      </c>
      <c r="DT149" s="8">
        <f t="shared" si="1363"/>
        <v>2.9805545649222467E-2</v>
      </c>
      <c r="DU149" s="8">
        <f t="shared" si="1364"/>
        <v>2.9722116761458622E-2</v>
      </c>
      <c r="DV149" s="8">
        <f t="shared" si="1365"/>
        <v>2.9630817286940385E-2</v>
      </c>
      <c r="DW149" s="8">
        <f t="shared" si="1366"/>
        <v>2.9530980377452418E-2</v>
      </c>
      <c r="DX149" s="8">
        <f t="shared" si="1367"/>
        <v>2.9421888984240144E-2</v>
      </c>
      <c r="DY149" s="8">
        <f t="shared" si="1368"/>
        <v>2.9302772544990568E-2</v>
      </c>
      <c r="DZ149" s="8">
        <f t="shared" si="1369"/>
        <v>2.9172803482406095E-2</v>
      </c>
      <c r="EA149" s="8">
        <f t="shared" si="1370"/>
        <v>2.9031093505347581E-2</v>
      </c>
      <c r="EB149" s="8">
        <f t="shared" si="1371"/>
        <v>2.8876689703170189E-2</v>
      </c>
      <c r="EC149" s="8">
        <f t="shared" si="1372"/>
        <v>2.8708570423512481E-2</v>
      </c>
      <c r="ED149" s="8">
        <f t="shared" si="1373"/>
        <v>2.8525640923424685E-2</v>
      </c>
      <c r="EE149" s="8">
        <f t="shared" si="1374"/>
        <v>2.8326728783336929E-2</v>
      </c>
      <c r="EF149" s="8">
        <f t="shared" si="1375"/>
        <v>2.8110579072971171E-2</v>
      </c>
      <c r="EG149" s="8">
        <f t="shared" si="1376"/>
        <v>2.7875849257892129E-2</v>
      </c>
      <c r="EH149" s="8">
        <f t="shared" si="1377"/>
        <v>2.7621103834971964E-2</v>
      </c>
      <c r="EI149" s="8">
        <f t="shared" si="1378"/>
        <v>2.7344808684611036E-2</v>
      </c>
      <c r="EJ149" s="8">
        <f t="shared" si="1379"/>
        <v>2.7045325127111754E-2</v>
      </c>
      <c r="EK149" s="8">
        <f t="shared" si="1380"/>
        <v>2.6720903670145048E-2</v>
      </c>
      <c r="EL149" s="8">
        <f t="shared" si="1381"/>
        <v>2.6369677433778268E-2</v>
      </c>
      <c r="EM149" s="8">
        <f t="shared" si="1382"/>
        <v>2.5989655239049256E-2</v>
      </c>
      <c r="EN149" s="8">
        <f t="shared" si="1383"/>
        <v>2.5578714345574387E-2</v>
      </c>
      <c r="EO149" s="8">
        <f t="shared" si="1384"/>
        <v>2.5134592823166962E-2</v>
      </c>
      <c r="EP149" s="8">
        <f t="shared" si="1385"/>
        <v>2.4654881541917376E-2</v>
      </c>
      <c r="EQ149" s="8">
        <f t="shared" si="1386"/>
        <v>2.4137015764647142E-2</v>
      </c>
      <c r="ER149" s="8">
        <f t="shared" si="1387"/>
        <v>2.3578266325094986E-2</v>
      </c>
      <c r="ES149" s="8">
        <f t="shared" si="1388"/>
        <v>2.2975730374624057E-2</v>
      </c>
      <c r="ET149" s="8">
        <f t="shared" si="1389"/>
        <v>2.2326321679655974E-2</v>
      </c>
      <c r="EU149" s="8">
        <f t="shared" si="1390"/>
        <v>2.1626760451437535E-2</v>
      </c>
      <c r="EV149" s="8">
        <f t="shared" si="1391"/>
        <v>2.0873562689131053E-2</v>
      </c>
      <c r="EW149" s="8">
        <f t="shared" si="1392"/>
        <v>2.0063029016588234E-2</v>
      </c>
      <c r="EX149" s="8">
        <f t="shared" si="1393"/>
        <v>1.9191232992520048E-2</v>
      </c>
      <c r="EY149" s="8">
        <f t="shared" si="1394"/>
        <v>1.8254008873110805E-2</v>
      </c>
      <c r="EZ149" s="8">
        <f t="shared" si="1395"/>
        <v>1.7246938805444076E-2</v>
      </c>
      <c r="FA149" s="8">
        <f t="shared" si="1396"/>
        <v>1.6165339429409585E-2</v>
      </c>
      <c r="FB149" s="8">
        <f t="shared" si="1397"/>
        <v>1.5004247865044314E-2</v>
      </c>
      <c r="FC149" s="8">
        <f t="shared" si="1398"/>
        <v>1.375840706152792E-2</v>
      </c>
      <c r="FD149" s="8">
        <f t="shared" si="1399"/>
        <v>1.2422250483300255E-2</v>
      </c>
      <c r="FE149" s="8">
        <f t="shared" si="1400"/>
        <v>1.0989886107998427E-2</v>
      </c>
      <c r="FF149" s="8">
        <f t="shared" si="1401"/>
        <v>9.45507971012206E-3</v>
      </c>
      <c r="FG149" s="8">
        <f t="shared" si="1402"/>
        <v>7.8112374035267038E-3</v>
      </c>
      <c r="FH149" s="8">
        <f t="shared" si="1403"/>
        <v>6.0513874150170954E-3</v>
      </c>
      <c r="FI149" s="8">
        <f t="shared" si="1404"/>
        <v>4.1681610604651451E-3</v>
      </c>
      <c r="FJ149" s="8">
        <f t="shared" si="1405"/>
        <v>2.1537728940087962E-3</v>
      </c>
      <c r="FK149" s="8"/>
      <c r="FL149" s="8">
        <f t="shared" si="1406"/>
        <v>0.34563981257403703</v>
      </c>
      <c r="FM149" s="8">
        <f t="shared" si="1407"/>
        <v>0.34563981257403703</v>
      </c>
      <c r="FN149" s="8">
        <f t="shared" si="1408"/>
        <v>0.34563981257403703</v>
      </c>
      <c r="FO149" s="8">
        <f t="shared" si="1409"/>
        <v>0.34563981257403686</v>
      </c>
      <c r="FP149" s="8">
        <f t="shared" si="1410"/>
        <v>0.34563981257403315</v>
      </c>
      <c r="FQ149" s="8">
        <f t="shared" si="1411"/>
        <v>0.34563981257399506</v>
      </c>
      <c r="FR149" s="8">
        <f t="shared" si="1412"/>
        <v>0.34563981257374488</v>
      </c>
      <c r="FS149" s="8">
        <f t="shared" si="1413"/>
        <v>0.34563981257253101</v>
      </c>
      <c r="FT149" s="8">
        <f t="shared" si="1414"/>
        <v>0.34563981256780296</v>
      </c>
      <c r="FU149" s="8">
        <f t="shared" si="1415"/>
        <v>0.34563981255221254</v>
      </c>
      <c r="FV149" s="8">
        <f t="shared" si="1416"/>
        <v>0.34563981250709097</v>
      </c>
      <c r="FW149" s="8">
        <f t="shared" si="1417"/>
        <v>0.34563981238950553</v>
      </c>
      <c r="FX149" s="8">
        <f t="shared" si="1418"/>
        <v>0.34563981210837125</v>
      </c>
      <c r="FY149" s="8">
        <f t="shared" si="1419"/>
        <v>0.34563981148289369</v>
      </c>
      <c r="FZ149" s="8">
        <f t="shared" si="1420"/>
        <v>0.34563981017371292</v>
      </c>
      <c r="GA149" s="8">
        <f t="shared" si="1421"/>
        <v>0.34563980757339902</v>
      </c>
      <c r="GB149" s="8">
        <f t="shared" si="1422"/>
        <v>0.3456398026382756</v>
      </c>
      <c r="GC149" s="8">
        <f t="shared" si="1423"/>
        <v>0.34563979363778269</v>
      </c>
      <c r="GD149" s="8">
        <f t="shared" si="1424"/>
        <v>0.34563977779059279</v>
      </c>
      <c r="GE149" s="8">
        <f t="shared" si="1425"/>
        <v>0.34563975074829972</v>
      </c>
      <c r="GF149" s="8">
        <f t="shared" si="1426"/>
        <v>0.34563970587756604</v>
      </c>
      <c r="GG149" s="8">
        <f t="shared" si="1427"/>
        <v>0.34563963327995351</v>
      </c>
      <c r="GH149" s="8">
        <f t="shared" si="1428"/>
        <v>0.34563951847511931</v>
      </c>
      <c r="GI149" s="8">
        <f t="shared" si="1429"/>
        <v>0.34563934065744589</v>
      </c>
      <c r="GJ149" s="8">
        <f t="shared" si="1430"/>
        <v>0.34563907041829861</v>
      </c>
      <c r="GK149" s="8">
        <f t="shared" si="1431"/>
        <v>0.34563866680579103</v>
      </c>
      <c r="GL149" s="8">
        <f t="shared" si="1432"/>
        <v>0.34563807357097159</v>
      </c>
      <c r="GM149" s="8">
        <f t="shared" si="1433"/>
        <v>0.34563721442352935</v>
      </c>
      <c r="GN149" s="8">
        <f t="shared" si="1434"/>
        <v>0.34563598709124221</v>
      </c>
      <c r="GO149" s="8">
        <f t="shared" si="1435"/>
        <v>0.34563425594523872</v>
      </c>
      <c r="GP149" s="8">
        <f t="shared" si="1436"/>
        <v>0.34563184291749055</v>
      </c>
      <c r="GQ149" s="8">
        <f t="shared" si="1437"/>
        <v>0.34562851639758019</v>
      </c>
      <c r="GR149" s="8">
        <f t="shared" si="1438"/>
        <v>0.34562397775244863</v>
      </c>
      <c r="GS149" s="8">
        <f t="shared" si="1439"/>
        <v>0.3456178450652963</v>
      </c>
      <c r="GT149" s="8">
        <f t="shared" si="1440"/>
        <v>0.34560963363783864</v>
      </c>
      <c r="GU149" s="8">
        <f t="shared" si="1441"/>
        <v>0.34559873274344921</v>
      </c>
      <c r="GV149" s="8">
        <f t="shared" si="1442"/>
        <v>0.34558437805712044</v>
      </c>
      <c r="GW149" s="8">
        <f t="shared" si="1443"/>
        <v>0.34556561912135325</v>
      </c>
      <c r="GX149" s="8">
        <f t="shared" si="1444"/>
        <v>0.34554128113480936</v>
      </c>
      <c r="GY149" s="8">
        <f t="shared" si="1445"/>
        <v>0.34550992027253419</v>
      </c>
      <c r="GZ149" s="8">
        <f t="shared" si="1446"/>
        <v>0.34546977166252274</v>
      </c>
      <c r="HA149" s="8">
        <f t="shared" si="1447"/>
        <v>0.34541868905306694</v>
      </c>
      <c r="HB149" s="8">
        <f t="shared" si="1448"/>
        <v>0.34535407510840221</v>
      </c>
      <c r="HC149" s="8">
        <f t="shared" si="1449"/>
        <v>0.34527280116638559</v>
      </c>
      <c r="HD149" s="8">
        <f t="shared" si="1450"/>
        <v>0.34517111518096782</v>
      </c>
      <c r="HE149" s="8">
        <f t="shared" si="1451"/>
        <v>0.34504453645378419</v>
      </c>
      <c r="HF149" s="8">
        <f t="shared" si="1452"/>
        <v>0.3448877356329616</v>
      </c>
      <c r="HG149" s="8">
        <f t="shared" si="1453"/>
        <v>0.34469439832291016</v>
      </c>
      <c r="HH149" s="8">
        <f t="shared" si="1454"/>
        <v>0.34445707050610858</v>
      </c>
      <c r="HI149" s="8">
        <f t="shared" si="1455"/>
        <v>0.344166983826379</v>
      </c>
      <c r="HJ149" s="8">
        <f t="shared" si="1456"/>
        <v>0.343813858622525</v>
      </c>
      <c r="HK149" s="8">
        <f t="shared" si="1457"/>
        <v>0.34338568243113654</v>
      </c>
      <c r="HL149" s="8">
        <f t="shared" si="1458"/>
        <v>0.34286846149747569</v>
      </c>
      <c r="HM149" s="8">
        <f t="shared" si="1459"/>
        <v>0.34224594264327068</v>
      </c>
      <c r="HN149" s="8">
        <f t="shared" si="1460"/>
        <v>0.34149930263956885</v>
      </c>
      <c r="HO149" s="8">
        <f t="shared" si="1461"/>
        <v>0.34060680202111759</v>
      </c>
      <c r="HP149" s="8">
        <f t="shared" si="1462"/>
        <v>0.33954340005561651</v>
      </c>
      <c r="HQ149" s="8">
        <f t="shared" si="1463"/>
        <v>0.33828032734614988</v>
      </c>
      <c r="HR149" s="8">
        <f t="shared" si="1464"/>
        <v>0.33678461229766066</v>
      </c>
      <c r="HS149" s="8">
        <f t="shared" si="1465"/>
        <v>0.33501855741794001</v>
      </c>
      <c r="HT149" s="8">
        <f t="shared" si="1466"/>
        <v>0.33293916114965905</v>
      </c>
      <c r="HU149" s="8">
        <f t="shared" si="1467"/>
        <v>0.33049748064185935</v>
      </c>
      <c r="HV149" s="8">
        <f t="shared" si="1468"/>
        <v>0.32763793056626489</v>
      </c>
      <c r="HW149" s="8">
        <f t="shared" si="1469"/>
        <v>0.32429751276503838</v>
      </c>
      <c r="HX149" s="8">
        <f t="shared" si="1470"/>
        <v>0.32040497118120592</v>
      </c>
      <c r="HY149" s="8">
        <f t="shared" si="1471"/>
        <v>0.31587986616991981</v>
      </c>
      <c r="HZ149" s="8">
        <f t="shared" si="1472"/>
        <v>0.31063156191682562</v>
      </c>
      <c r="IA149" s="8">
        <f t="shared" si="1473"/>
        <v>0.30455812029765228</v>
      </c>
      <c r="IB149" s="8">
        <f t="shared" si="1474"/>
        <v>0.29754509409921709</v>
      </c>
      <c r="IC149" s="8">
        <f t="shared" si="1475"/>
        <v>0.2894642120844339</v>
      </c>
      <c r="ID149" s="8">
        <f t="shared" si="1476"/>
        <v>0.28017194792056127</v>
      </c>
      <c r="IE149" s="8">
        <f t="shared" si="1477"/>
        <v>0.26950796449823272</v>
      </c>
      <c r="IF149" s="8">
        <f t="shared" si="1478"/>
        <v>0.25729342464591881</v>
      </c>
      <c r="IG149" s="8">
        <f t="shared" si="1479"/>
        <v>0.24332915868687024</v>
      </c>
      <c r="IH149" s="8">
        <f t="shared" si="1480"/>
        <v>0.22739367868926019</v>
      </c>
      <c r="II149" s="8">
        <f t="shared" si="1481"/>
        <v>0.20924102862042138</v>
      </c>
      <c r="IJ149" s="8">
        <f t="shared" si="1482"/>
        <v>0.18859845892715457</v>
      </c>
      <c r="IK149" s="8">
        <f t="shared" si="1483"/>
        <v>0.16516391331942681</v>
      </c>
      <c r="IL149" s="8">
        <f t="shared" si="1484"/>
        <v>0.13860331472685253</v>
      </c>
      <c r="IM149" s="8">
        <f t="shared" si="1485"/>
        <v>0.10854763651667106</v>
      </c>
      <c r="IN149" s="8">
        <f t="shared" si="1486"/>
        <v>7.4589744098247507E-2</v>
      </c>
      <c r="IO149" s="8">
        <f t="shared" si="1487"/>
        <v>3.6280990979679281E-2</v>
      </c>
      <c r="IP149" s="8">
        <f t="shared" si="1488"/>
        <v>6.8724478280469984E-3</v>
      </c>
      <c r="IQ149" s="8">
        <f t="shared" ref="IQ149" si="1568">CL154/CL149</f>
        <v>5.5413523461360567E-2</v>
      </c>
      <c r="IR149" s="8">
        <f t="shared" si="1489"/>
        <v>0.10993856175671965</v>
      </c>
      <c r="IS149" s="8">
        <f t="shared" si="1490"/>
        <v>0.1711018341704055</v>
      </c>
      <c r="IT149" s="8">
        <f t="shared" si="1491"/>
        <v>0.23962047434717171</v>
      </c>
      <c r="IU149" s="8">
        <f t="shared" si="1492"/>
        <v>0.31627976566755706</v>
      </c>
      <c r="IV149" s="8">
        <f t="shared" si="1493"/>
        <v>0.40193882742199272</v>
      </c>
      <c r="IW149" s="8">
        <f t="shared" si="1494"/>
        <v>0.49753672989181197</v>
      </c>
      <c r="IX149" s="8">
        <f t="shared" si="1495"/>
        <v>0.60409907161569232</v>
      </c>
      <c r="IY149" s="8">
        <f t="shared" si="1496"/>
        <v>0.72274505554517898</v>
      </c>
      <c r="IZ149" s="8">
        <f t="shared" si="1497"/>
        <v>0.85469510471550514</v>
      </c>
      <c r="JA149" s="8">
        <f t="shared" si="1498"/>
        <v>1.0012790625621928</v>
      </c>
      <c r="JB149" s="8">
        <f t="shared" si="1499"/>
        <v>1.163945028196091</v>
      </c>
      <c r="JC149" s="8">
        <f t="shared" si="1500"/>
        <v>1.3442688829250753</v>
      </c>
      <c r="JD149" s="8">
        <f t="shared" si="1501"/>
        <v>1.543964571212169</v>
      </c>
      <c r="JE149" s="8">
        <f t="shared" si="1502"/>
        <v>1.7648952072471757</v>
      </c>
      <c r="JF149" s="8">
        <f t="shared" si="1503"/>
        <v>2.0090850875647188</v>
      </c>
      <c r="JG149" s="8">
        <f t="shared" si="1504"/>
        <v>2.2787327008882521</v>
      </c>
      <c r="JH149" s="8">
        <f t="shared" si="1505"/>
        <v>2.5762248388700528</v>
      </c>
      <c r="JI149" s="8">
        <f t="shared" si="1506"/>
        <v>2.9041519259450803</v>
      </c>
      <c r="JJ149" s="8">
        <f t="shared" si="1507"/>
        <v>3.2653247034753865</v>
      </c>
      <c r="JK149" s="8">
        <f t="shared" si="1508"/>
        <v>3.6627924231720748</v>
      </c>
      <c r="JL149" s="8">
        <f t="shared" si="1509"/>
        <v>4.0998627279513213</v>
      </c>
      <c r="JM149" s="8">
        <f t="shared" si="1510"/>
        <v>4.5801234255320535</v>
      </c>
      <c r="JN149" s="8">
        <f t="shared" si="1511"/>
        <v>5.1074663919478676</v>
      </c>
      <c r="JO149" s="8">
        <f t="shared" si="1512"/>
        <v>5.6861138796232966</v>
      </c>
      <c r="JP149" s="8">
        <f t="shared" si="1513"/>
        <v>6.3206475488221781</v>
      </c>
      <c r="JQ149" s="8">
        <f t="shared" si="1514"/>
        <v>7.0160405934236731</v>
      </c>
      <c r="JR149" s="8">
        <f t="shared" si="1515"/>
        <v>7.7776933937074944</v>
      </c>
      <c r="JS149" s="8">
        <f t="shared" si="1516"/>
        <v>8.6114732020702913</v>
      </c>
      <c r="JT149" s="8">
        <f t="shared" si="1517"/>
        <v>9.523758454737564</v>
      </c>
      <c r="JU149" s="8">
        <f t="shared" si="1518"/>
        <v>10.521488406513228</v>
      </c>
      <c r="JV149" s="8">
        <f t="shared" si="1519"/>
        <v>11.612218910051535</v>
      </c>
      <c r="JW149" s="8">
        <f t="shared" si="1520"/>
        <v>12.804185310567057</v>
      </c>
      <c r="JX149" s="8">
        <f t="shared" si="1521"/>
        <v>14.106373606951664</v>
      </c>
      <c r="JY149" s="8">
        <f t="shared" si="1522"/>
        <v>15.52860124803219</v>
      </c>
      <c r="JZ149" s="8">
        <f t="shared" si="1523"/>
        <v>17.081609197105148</v>
      </c>
      <c r="KA149" s="8">
        <f t="shared" si="1524"/>
        <v>18.777167220251705</v>
      </c>
      <c r="KB149" s="8">
        <f t="shared" si="1525"/>
        <v>20.628194748715973</v>
      </c>
      <c r="KC149" s="8">
        <f t="shared" si="1526"/>
        <v>22.648900151304833</v>
      </c>
      <c r="KD149" s="8">
        <f t="shared" si="1527"/>
        <v>24.854941853249471</v>
      </c>
      <c r="KE149" s="8">
        <f t="shared" si="1528"/>
        <v>27.263615484154137</v>
      </c>
      <c r="KF149" s="8">
        <f t="shared" si="1529"/>
        <v>29.894072170049682</v>
      </c>
      <c r="KG149" s="8">
        <f t="shared" si="1530"/>
        <v>32.767574256220371</v>
      </c>
      <c r="KH149" s="8">
        <f t="shared" si="1531"/>
        <v>35.907796228769215</v>
      </c>
      <c r="KI149" s="8">
        <f t="shared" si="1532"/>
        <v>39.341180487567222</v>
      </c>
      <c r="KJ149" s="8">
        <f t="shared" si="1533"/>
        <v>43.09736003731993</v>
      </c>
      <c r="KK149" s="8">
        <f t="shared" si="1534"/>
        <v>47.20966327772652</v>
      </c>
      <c r="KL149" s="8">
        <f t="shared" si="1535"/>
        <v>51.715720121445479</v>
      </c>
      <c r="KM149" s="8">
        <f t="shared" si="1536"/>
        <v>56.658193971688249</v>
      </c>
      <c r="KN149" s="8">
        <f t="shared" si="1537"/>
        <v>62.085671098107888</v>
      </c>
      <c r="KO149" s="8">
        <f t="shared" si="1538"/>
        <v>68.053748291215527</v>
      </c>
      <c r="KP149" s="8">
        <f t="shared" si="1539"/>
        <v>74.626372249859287</v>
      </c>
      <c r="KQ149" s="8">
        <f t="shared" si="1540"/>
        <v>81.87750125647311</v>
      </c>
      <c r="KR149" s="8">
        <f t="shared" si="1541"/>
        <v>89.893183206664119</v>
      </c>
      <c r="KS149" s="8">
        <f t="shared" si="1542"/>
        <v>98.774176771079851</v>
      </c>
      <c r="KT149" s="8">
        <f t="shared" si="1543"/>
        <v>108.63928855990102</v>
      </c>
      <c r="KU149" s="8">
        <f t="shared" si="1544"/>
        <v>119.62966500612387</v>
      </c>
      <c r="KV149" s="8">
        <f t="shared" si="1545"/>
        <v>131.91437315936946</v>
      </c>
      <c r="KW149" s="8">
        <f t="shared" si="1546"/>
        <v>145.69774528255255</v>
      </c>
      <c r="KX149" s="8">
        <f t="shared" si="1547"/>
        <v>161.22917319413597</v>
      </c>
      <c r="KY149" s="8">
        <f t="shared" si="1548"/>
        <v>178.81636108159273</v>
      </c>
      <c r="KZ149" s="8">
        <f t="shared" si="1549"/>
        <v>198.84354985984231</v>
      </c>
      <c r="LA149" s="8">
        <f t="shared" si="1550"/>
        <v>221.79703310581567</v>
      </c>
      <c r="LB149" s="8">
        <f t="shared" si="1551"/>
        <v>248.30161031634634</v>
      </c>
      <c r="LC149" s="8">
        <f t="shared" si="1552"/>
        <v>279.17386675678267</v>
      </c>
      <c r="LD149" s="8">
        <f t="shared" si="1553"/>
        <v>315.50209532901647</v>
      </c>
      <c r="LE149" s="8">
        <f t="shared" si="1554"/>
        <v>358.76981436403321</v>
      </c>
      <c r="LF149" s="8">
        <f t="shared" si="1555"/>
        <v>411.05339835088523</v>
      </c>
      <c r="LG149" s="8">
        <f t="shared" si="1556"/>
        <v>475.35146482955383</v>
      </c>
      <c r="LH149" s="8">
        <f t="shared" si="1557"/>
        <v>556.16130388575505</v>
      </c>
      <c r="LI149" s="8">
        <f t="shared" si="1558"/>
        <v>660.54939259869229</v>
      </c>
      <c r="LJ149" s="8">
        <f t="shared" si="1559"/>
        <v>800.29242657840678</v>
      </c>
      <c r="LK149" s="8">
        <f t="shared" si="1560"/>
        <v>996.58759213419069</v>
      </c>
      <c r="LL149" s="8">
        <f t="shared" si="1561"/>
        <v>1291.828249685849</v>
      </c>
      <c r="LM149" s="8">
        <f t="shared" ref="LM149" si="1569">FH154/FH149</f>
        <v>1784.930987319261</v>
      </c>
      <c r="LN149" s="8">
        <f t="shared" si="1562"/>
        <v>2772.6438389897289</v>
      </c>
      <c r="LO149" s="8">
        <f t="shared" si="1563"/>
        <v>5738.7038179188239</v>
      </c>
      <c r="LQ149" s="8">
        <f>0.00062</f>
        <v>6.2E-4</v>
      </c>
      <c r="LR149" s="8">
        <f t="shared" si="1564"/>
        <v>1.24E-3</v>
      </c>
      <c r="LS149" s="8">
        <f t="shared" si="1565"/>
        <v>0.77499999999999991</v>
      </c>
      <c r="LT149" s="8">
        <f t="shared" si="1566"/>
        <v>0.54651162790697672</v>
      </c>
      <c r="LU149" s="8">
        <f t="shared" si="1567"/>
        <v>-0.2284883720930232</v>
      </c>
    </row>
    <row r="150" spans="7:356" x14ac:dyDescent="0.25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</row>
    <row r="151" spans="7:356" x14ac:dyDescent="0.25">
      <c r="G151" s="10" t="s">
        <v>139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</row>
    <row r="152" spans="7:356" x14ac:dyDescent="0.25">
      <c r="G152" s="8">
        <f>ABS(($A$99*2/($G2*$F$5))*$B$98*$F$98*(1-(B$103^$F$98)/(($F$5/2)^$E$98)))</f>
        <v>3.7026263297872328E-2</v>
      </c>
      <c r="H152" s="8">
        <f t="shared" ref="H152:BS152" si="1570">ABS(($A$99*2/($G2*$F$5))*$B$98*$F$98*(1-(C$103^$F$98)/(($F$5/2)^$E$98)))</f>
        <v>3.7026263297872328E-2</v>
      </c>
      <c r="I152" s="8">
        <f t="shared" si="1570"/>
        <v>3.7026263297872328E-2</v>
      </c>
      <c r="J152" s="8">
        <f t="shared" si="1570"/>
        <v>3.7026263297872307E-2</v>
      </c>
      <c r="K152" s="8">
        <f t="shared" si="1570"/>
        <v>3.7026263297871911E-2</v>
      </c>
      <c r="L152" s="8">
        <f t="shared" si="1570"/>
        <v>3.7026263297867824E-2</v>
      </c>
      <c r="M152" s="8">
        <f t="shared" si="1570"/>
        <v>3.7026263297841026E-2</v>
      </c>
      <c r="N152" s="8">
        <f t="shared" si="1570"/>
        <v>3.7026263297710992E-2</v>
      </c>
      <c r="O152" s="8">
        <f t="shared" si="1570"/>
        <v>3.7026263297204487E-2</v>
      </c>
      <c r="P152" s="8">
        <f t="shared" si="1570"/>
        <v>3.7026263295534295E-2</v>
      </c>
      <c r="Q152" s="8">
        <f t="shared" si="1570"/>
        <v>3.7026263290700447E-2</v>
      </c>
      <c r="R152" s="8">
        <f t="shared" si="1570"/>
        <v>3.7026263278103516E-2</v>
      </c>
      <c r="S152" s="8">
        <f t="shared" si="1570"/>
        <v>3.7026263247985428E-2</v>
      </c>
      <c r="T152" s="8">
        <f t="shared" si="1570"/>
        <v>3.7026263180977265E-2</v>
      </c>
      <c r="U152" s="8">
        <f t="shared" si="1570"/>
        <v>3.7026263040722394E-2</v>
      </c>
      <c r="V152" s="8">
        <f t="shared" si="1570"/>
        <v>3.7026262762144609E-2</v>
      </c>
      <c r="W152" s="8">
        <f t="shared" si="1570"/>
        <v>3.7026262233430272E-2</v>
      </c>
      <c r="X152" s="8">
        <f t="shared" si="1570"/>
        <v>3.7026261269175645E-2</v>
      </c>
      <c r="Y152" s="8">
        <f t="shared" si="1570"/>
        <v>3.7026259571400898E-2</v>
      </c>
      <c r="Z152" s="8">
        <f t="shared" si="1570"/>
        <v>3.7026256674232809E-2</v>
      </c>
      <c r="AA152" s="8">
        <f t="shared" si="1570"/>
        <v>3.7026251866993765E-2</v>
      </c>
      <c r="AB152" s="8">
        <f t="shared" si="1570"/>
        <v>3.7026244089185048E-2</v>
      </c>
      <c r="AC152" s="8">
        <f t="shared" si="1570"/>
        <v>3.7026231789401572E-2</v>
      </c>
      <c r="AD152" s="8">
        <f t="shared" si="1570"/>
        <v>3.7026212738541543E-2</v>
      </c>
      <c r="AE152" s="8">
        <f t="shared" si="1570"/>
        <v>3.7026183785759781E-2</v>
      </c>
      <c r="AF152" s="8">
        <f t="shared" si="1570"/>
        <v>3.7026140543436066E-2</v>
      </c>
      <c r="AG152" s="8">
        <f t="shared" si="1570"/>
        <v>3.7026076984969063E-2</v>
      </c>
      <c r="AH152" s="8">
        <f t="shared" si="1570"/>
        <v>3.702598493643966E-2</v>
      </c>
      <c r="AI152" s="8">
        <f t="shared" si="1570"/>
        <v>3.7025853440093584E-2</v>
      </c>
      <c r="AJ152" s="8">
        <f t="shared" si="1570"/>
        <v>3.7025667964146955E-2</v>
      </c>
      <c r="AK152" s="8">
        <f t="shared" si="1570"/>
        <v>3.7025409429598019E-2</v>
      </c>
      <c r="AL152" s="8">
        <f t="shared" si="1570"/>
        <v>3.7025053020508382E-2</v>
      </c>
      <c r="AM152" s="8">
        <f t="shared" si="1570"/>
        <v>3.7024566739572412E-2</v>
      </c>
      <c r="AN152" s="8">
        <f t="shared" si="1570"/>
        <v>3.7023909665699503E-2</v>
      </c>
      <c r="AO152" s="8">
        <f t="shared" si="1570"/>
        <v>3.7023029864763544E-2</v>
      </c>
      <c r="AP152" s="8">
        <f t="shared" si="1570"/>
        <v>3.7021861898600926E-2</v>
      </c>
      <c r="AQ152" s="8">
        <f t="shared" si="1570"/>
        <v>3.7020323870735623E-2</v>
      </c>
      <c r="AR152" s="8">
        <f t="shared" si="1570"/>
        <v>3.7018313940148866E-2</v>
      </c>
      <c r="AS152" s="8">
        <f t="shared" si="1570"/>
        <v>3.7015706226664211E-2</v>
      </c>
      <c r="AT152" s="8">
        <f t="shared" si="1570"/>
        <v>3.7012346023156478E-2</v>
      </c>
      <c r="AU152" s="8">
        <f t="shared" si="1570"/>
        <v>3.7008044220786497E-2</v>
      </c>
      <c r="AV152" s="8">
        <f t="shared" si="1570"/>
        <v>3.7002570843782119E-2</v>
      </c>
      <c r="AW152" s="8">
        <f t="shared" si="1570"/>
        <v>3.6995647579899683E-2</v>
      </c>
      <c r="AX152" s="8">
        <f t="shared" si="1570"/>
        <v>3.6986939181577451E-2</v>
      </c>
      <c r="AY152" s="8">
        <f t="shared" si="1570"/>
        <v>3.6976043600902009E-2</v>
      </c>
      <c r="AZ152" s="8">
        <f t="shared" si="1570"/>
        <v>3.6962480708818531E-2</v>
      </c>
      <c r="BA152" s="8">
        <f t="shared" si="1570"/>
        <v>3.6945679435493074E-2</v>
      </c>
      <c r="BB152" s="8">
        <f t="shared" si="1570"/>
        <v>3.6924963154346728E-2</v>
      </c>
      <c r="BC152" s="8">
        <f t="shared" si="1570"/>
        <v>3.6899533116994072E-2</v>
      </c>
      <c r="BD152" s="8">
        <f t="shared" si="1570"/>
        <v>3.6868449730097674E-2</v>
      </c>
      <c r="BE152" s="8">
        <f t="shared" si="1570"/>
        <v>3.6830611447961792E-2</v>
      </c>
      <c r="BF152" s="8">
        <f t="shared" si="1570"/>
        <v>3.6784731036496834E-2</v>
      </c>
      <c r="BG152" s="8">
        <f t="shared" si="1570"/>
        <v>3.6729308944956261E-2</v>
      </c>
      <c r="BH152" s="8">
        <f t="shared" si="1570"/>
        <v>3.6662603501542698E-2</v>
      </c>
      <c r="BI152" s="8">
        <f t="shared" si="1570"/>
        <v>3.6582597627564675E-2</v>
      </c>
      <c r="BJ152" s="8">
        <f t="shared" si="1570"/>
        <v>3.6486961742261056E-2</v>
      </c>
      <c r="BK152" s="8">
        <f t="shared" si="1570"/>
        <v>3.6373012506661334E-2</v>
      </c>
      <c r="BL152" s="8">
        <f t="shared" si="1570"/>
        <v>3.6237667029876679E-2</v>
      </c>
      <c r="BM152" s="8">
        <f t="shared" si="1570"/>
        <v>3.607739213498163E-2</v>
      </c>
      <c r="BN152" s="8">
        <f t="shared" si="1570"/>
        <v>3.5888148254111248E-2</v>
      </c>
      <c r="BO152" s="8">
        <f t="shared" si="1570"/>
        <v>3.566532749352172E-2</v>
      </c>
      <c r="BP152" s="8">
        <f t="shared" si="1570"/>
        <v>3.5403685379108062E-2</v>
      </c>
      <c r="BQ152" s="8">
        <f t="shared" si="1570"/>
        <v>3.5097265761195068E-2</v>
      </c>
      <c r="BR152" s="8">
        <f t="shared" si="1570"/>
        <v>3.4739318324282731E-2</v>
      </c>
      <c r="BS152" s="8">
        <f t="shared" si="1570"/>
        <v>3.4322208112787481E-2</v>
      </c>
      <c r="BT152" s="8">
        <f t="shared" ref="BT152:EE152" si="1571">ABS(($A$99*2/($G2*$F$5))*$B$98*$F$98*(1-(BO$103^$F$98)/(($F$5/2)^$E$98)))</f>
        <v>3.3837316447638745E-2</v>
      </c>
      <c r="BU152" s="8">
        <f t="shared" si="1571"/>
        <v>3.3274932570823403E-2</v>
      </c>
      <c r="BV152" s="8">
        <f t="shared" si="1571"/>
        <v>3.2624135315574065E-2</v>
      </c>
      <c r="BW152" s="8">
        <f t="shared" si="1571"/>
        <v>3.1872664058831685E-2</v>
      </c>
      <c r="BX152" s="8">
        <f t="shared" si="1571"/>
        <v>3.1006778169830895E-2</v>
      </c>
      <c r="BY152" s="8">
        <f t="shared" si="1571"/>
        <v>3.0011104124119968E-2</v>
      </c>
      <c r="BZ152" s="8">
        <f t="shared" si="1571"/>
        <v>2.8868469405984334E-2</v>
      </c>
      <c r="CA152" s="8">
        <f t="shared" si="1571"/>
        <v>2.7559722274057119E-2</v>
      </c>
      <c r="CB152" s="8">
        <f t="shared" si="1571"/>
        <v>2.6063536414819774E-2</v>
      </c>
      <c r="CC152" s="8">
        <f t="shared" si="1571"/>
        <v>2.4356199456679831E-2</v>
      </c>
      <c r="CD152" s="8">
        <f t="shared" si="1571"/>
        <v>2.2411384263313724E-2</v>
      </c>
      <c r="CE152" s="8">
        <f t="shared" si="1571"/>
        <v>2.0199901868934732E-2</v>
      </c>
      <c r="CF152" s="8">
        <f t="shared" si="1571"/>
        <v>1.7689434860036081E-2</v>
      </c>
      <c r="CG152" s="8">
        <f t="shared" si="1571"/>
        <v>1.4844249947942591E-2</v>
      </c>
      <c r="CH152" s="8">
        <f t="shared" si="1571"/>
        <v>1.1624888414092076E-2</v>
      </c>
      <c r="CI152" s="8">
        <f t="shared" si="1571"/>
        <v>7.9878330453573409E-3</v>
      </c>
      <c r="CJ152" s="8">
        <f t="shared" si="1571"/>
        <v>3.8851501098418608E-3</v>
      </c>
      <c r="CK152" s="8">
        <f t="shared" si="1571"/>
        <v>7.3589514563669289E-4</v>
      </c>
      <c r="CL152" s="8">
        <f t="shared" si="1571"/>
        <v>5.9332510667016187E-3</v>
      </c>
      <c r="CM152" s="8">
        <f t="shared" si="1571"/>
        <v>1.1770521895539992E-2</v>
      </c>
      <c r="CN152" s="8">
        <f t="shared" si="1571"/>
        <v>1.8317441548743204E-2</v>
      </c>
      <c r="CO152" s="8">
        <f t="shared" si="1571"/>
        <v>2.5650380688597544E-2</v>
      </c>
      <c r="CP152" s="8">
        <f t="shared" si="1571"/>
        <v>3.3852888989056751E-2</v>
      </c>
      <c r="CQ152" s="8">
        <f t="shared" si="1571"/>
        <v>4.3016274581793176E-2</v>
      </c>
      <c r="CR152" s="8">
        <f t="shared" si="1571"/>
        <v>5.3240222754507238E-2</v>
      </c>
      <c r="CS152" s="8">
        <f t="shared" si="1571"/>
        <v>6.4633456063220573E-2</v>
      </c>
      <c r="CT152" s="8">
        <f t="shared" si="1571"/>
        <v>7.7314438112587716E-2</v>
      </c>
      <c r="CU152" s="8">
        <f t="shared" si="1571"/>
        <v>9.1412123353353358E-2</v>
      </c>
      <c r="CV152" s="8">
        <f t="shared" si="1571"/>
        <v>0.10706675534412223</v>
      </c>
      <c r="CW152" s="8">
        <f t="shared" si="1571"/>
        <v>0.12443071602551699</v>
      </c>
      <c r="CX152" s="8">
        <f t="shared" si="1571"/>
        <v>0.14366942865875768</v>
      </c>
      <c r="CY152" s="8">
        <f t="shared" si="1571"/>
        <v>0.16496231718759735</v>
      </c>
      <c r="CZ152" s="8">
        <f t="shared" si="1571"/>
        <v>0.18850382489267759</v>
      </c>
      <c r="DA152" s="8">
        <f t="shared" si="1571"/>
        <v>0.21450449532048316</v>
      </c>
      <c r="DB152" s="8">
        <f t="shared" si="1571"/>
        <v>0.24319211858562137</v>
      </c>
      <c r="DC152" s="8">
        <f t="shared" si="1571"/>
        <v>0.27481294626460517</v>
      </c>
      <c r="DD152" s="8">
        <f t="shared" si="1571"/>
        <v>0.30963297822257552</v>
      </c>
      <c r="DE152" s="8">
        <f t="shared" si="1571"/>
        <v>0.34793932484050488</v>
      </c>
      <c r="DF152" s="8">
        <f t="shared" si="1571"/>
        <v>0.39004164824040327</v>
      </c>
      <c r="DG152" s="8">
        <f t="shared" si="1571"/>
        <v>0.43627368623916629</v>
      </c>
      <c r="DH152" s="8">
        <f t="shared" si="1571"/>
        <v>0.48699486289871374</v>
      </c>
      <c r="DI152" s="8">
        <f t="shared" si="1571"/>
        <v>0.54259198968025091</v>
      </c>
      <c r="DJ152" s="8">
        <f t="shared" si="1571"/>
        <v>0.60348106135481638</v>
      </c>
      <c r="DK152" s="8">
        <f t="shared" si="1571"/>
        <v>0.67010915096991275</v>
      </c>
      <c r="DL152" s="8">
        <f t="shared" si="1571"/>
        <v>0.74295640832360865</v>
      </c>
      <c r="DM152" s="8">
        <f t="shared" si="1571"/>
        <v>0.82253816655308731</v>
      </c>
      <c r="DN152" s="8">
        <f t="shared" si="1571"/>
        <v>0.90940716160372903</v>
      </c>
      <c r="DO152" s="8">
        <f t="shared" si="1571"/>
        <v>1.0041558695081616</v>
      </c>
      <c r="DP152" s="8">
        <f t="shared" si="1571"/>
        <v>1.107418966572113</v>
      </c>
      <c r="DQ152" s="8">
        <f t="shared" si="1571"/>
        <v>1.2198759177350813</v>
      </c>
      <c r="DR152" s="8">
        <f t="shared" si="1571"/>
        <v>1.3422536985495754</v>
      </c>
      <c r="DS152" s="8">
        <f t="shared" si="1571"/>
        <v>1.4753296564021701</v>
      </c>
      <c r="DT152" s="8">
        <f t="shared" si="1571"/>
        <v>1.6199345167837875</v>
      </c>
      <c r="DU152" s="8">
        <f t="shared" si="1571"/>
        <v>1.7769555406048765</v>
      </c>
      <c r="DV152" s="8">
        <f t="shared" si="1571"/>
        <v>1.9473398387436158</v>
      </c>
      <c r="DW152" s="8">
        <f t="shared" si="1571"/>
        <v>2.1320978502130945</v>
      </c>
      <c r="DX152" s="8">
        <f t="shared" si="1571"/>
        <v>2.3323069905339069</v>
      </c>
      <c r="DY152" s="8">
        <f t="shared" si="1571"/>
        <v>2.5491154771065747</v>
      </c>
      <c r="DZ152" s="8">
        <f t="shared" si="1571"/>
        <v>2.7837463385868939</v>
      </c>
      <c r="EA152" s="8">
        <f t="shared" si="1571"/>
        <v>3.037501615485124</v>
      </c>
      <c r="EB152" s="8">
        <f t="shared" si="1571"/>
        <v>3.3117667594286218</v>
      </c>
      <c r="EC152" s="8">
        <f t="shared" si="1571"/>
        <v>3.6080152387536488</v>
      </c>
      <c r="ED152" s="8">
        <f t="shared" si="1571"/>
        <v>3.927813358321945</v>
      </c>
      <c r="EE152" s="8">
        <f t="shared" si="1571"/>
        <v>4.272825301692448</v>
      </c>
      <c r="EF152" s="8">
        <f t="shared" ref="EF152:FI152" si="1572">ABS(($A$99*2/($G2*$F$5))*$B$98*$F$98*(1-(EA$103^$F$98)/(($F$5/2)^$E$98)))</f>
        <v>4.6448184040190608</v>
      </c>
      <c r="EG152" s="8">
        <f t="shared" si="1572"/>
        <v>5.0456686642906359</v>
      </c>
      <c r="EH152" s="8">
        <f t="shared" si="1572"/>
        <v>5.4773665057789431</v>
      </c>
      <c r="EI152" s="8">
        <f t="shared" si="1572"/>
        <v>5.942022793817058</v>
      </c>
      <c r="EJ152" s="8">
        <f t="shared" si="1572"/>
        <v>6.4418751202909244</v>
      </c>
      <c r="EK152" s="8">
        <f t="shared" si="1572"/>
        <v>6.9792943644930654</v>
      </c>
      <c r="EL152" s="8">
        <f t="shared" si="1572"/>
        <v>7.5567915402593977</v>
      </c>
      <c r="EM152" s="8">
        <f t="shared" si="1572"/>
        <v>8.1770249395866248</v>
      </c>
      <c r="EN152" s="8">
        <f t="shared" si="1572"/>
        <v>8.8428075832135224</v>
      </c>
      <c r="EO152" s="8">
        <f t="shared" si="1572"/>
        <v>9.5571149889307847</v>
      </c>
      <c r="EP152" s="8">
        <f t="shared" si="1572"/>
        <v>10.323093268688348</v>
      </c>
      <c r="EQ152" s="8">
        <f t="shared" si="1572"/>
        <v>11.144067565859363</v>
      </c>
      <c r="ER152" s="8">
        <f t="shared" si="1572"/>
        <v>12.023550844332563</v>
      </c>
      <c r="ES152" s="8">
        <f t="shared" si="1572"/>
        <v>12.965253041412113</v>
      </c>
      <c r="ET152" s="8">
        <f t="shared" si="1572"/>
        <v>13.973090596826042</v>
      </c>
      <c r="EU152" s="8">
        <f t="shared" si="1572"/>
        <v>15.051196370462998</v>
      </c>
      <c r="EV152" s="8">
        <f t="shared" si="1572"/>
        <v>16.203929961791317</v>
      </c>
      <c r="EW152" s="8">
        <f t="shared" si="1572"/>
        <v>17.435888444248544</v>
      </c>
      <c r="EX152" s="8">
        <f t="shared" si="1572"/>
        <v>18.751917528232571</v>
      </c>
      <c r="EY152" s="8">
        <f t="shared" si="1572"/>
        <v>20.157123166673212</v>
      </c>
      <c r="EZ152" s="8">
        <f t="shared" si="1572"/>
        <v>21.65688361751954</v>
      </c>
      <c r="FA152" s="8">
        <f t="shared" si="1572"/>
        <v>23.256861977840295</v>
      </c>
      <c r="FB152" s="8">
        <f t="shared" si="1572"/>
        <v>24.963019204600819</v>
      </c>
      <c r="FC152" s="8">
        <f t="shared" si="1572"/>
        <v>26.78162763755622</v>
      </c>
      <c r="FD152" s="8">
        <f t="shared" si="1572"/>
        <v>28.719285040084781</v>
      </c>
      <c r="FE152" s="8">
        <f t="shared" si="1572"/>
        <v>30.782929174166345</v>
      </c>
      <c r="FF152" s="8">
        <f t="shared" si="1572"/>
        <v>32.979852926115846</v>
      </c>
      <c r="FG152" s="8">
        <f t="shared" si="1572"/>
        <v>35.317720000074878</v>
      </c>
      <c r="FH152" s="8">
        <f t="shared" si="1572"/>
        <v>37.804581196682349</v>
      </c>
      <c r="FI152" s="8">
        <f t="shared" si="1572"/>
        <v>40.448891294754524</v>
      </c>
      <c r="FJ152" s="8">
        <f>ABS(($A$99*2/($G2*$F$5))*$B$98*$F$98*(1-(FE$103^$F$98)/(($F$5/2)^$E$98)))</f>
        <v>43.259526554224237</v>
      </c>
      <c r="FK152" s="8"/>
      <c r="FL152" s="8"/>
      <c r="FM152" s="8"/>
    </row>
    <row r="153" spans="7:356" x14ac:dyDescent="0.25">
      <c r="G153" s="8">
        <f t="shared" ref="G153:G154" si="1573">ABS(($A$99*2/($G3*$F$5))*$B$98*$F$98*(1-(B$103^$F$98)/(($F$5/2)^$E$98)))</f>
        <v>1.6456117021276594E-2</v>
      </c>
      <c r="H153" s="8">
        <f t="shared" ref="H153:H154" si="1574">ABS(($A$99*2/($G3*$F$5))*$B$98*$F$98*(1-(C$103^$F$98)/(($F$5/2)^$E$98)))</f>
        <v>1.6456117021276594E-2</v>
      </c>
      <c r="I153" s="8">
        <f t="shared" ref="I153:I154" si="1575">ABS(($A$99*2/($G3*$F$5))*$B$98*$F$98*(1-(D$103^$F$98)/(($F$5/2)^$E$98)))</f>
        <v>1.6456117021276594E-2</v>
      </c>
      <c r="J153" s="8">
        <f t="shared" ref="J153:J154" si="1576">ABS(($A$99*2/($G3*$F$5))*$B$98*$F$98*(1-(E$103^$F$98)/(($F$5/2)^$E$98)))</f>
        <v>1.6456117021276584E-2</v>
      </c>
      <c r="K153" s="8">
        <f t="shared" ref="K153:K154" si="1577">ABS(($A$99*2/($G3*$F$5))*$B$98*$F$98*(1-(F$103^$F$98)/(($F$5/2)^$E$98)))</f>
        <v>1.6456117021276407E-2</v>
      </c>
      <c r="L153" s="8">
        <f t="shared" ref="L153:L154" si="1578">ABS(($A$99*2/($G3*$F$5))*$B$98*$F$98*(1-(G$103^$F$98)/(($F$5/2)^$E$98)))</f>
        <v>1.6456117021274592E-2</v>
      </c>
      <c r="M153" s="8">
        <f t="shared" ref="M153:M154" si="1579">ABS(($A$99*2/($G3*$F$5))*$B$98*$F$98*(1-(H$103^$F$98)/(($F$5/2)^$E$98)))</f>
        <v>1.6456117021262685E-2</v>
      </c>
      <c r="N153" s="8">
        <f t="shared" ref="N153:N154" si="1580">ABS(($A$99*2/($G3*$F$5))*$B$98*$F$98*(1-(I$103^$F$98)/(($F$5/2)^$E$98)))</f>
        <v>1.6456117021204888E-2</v>
      </c>
      <c r="O153" s="8">
        <f t="shared" ref="O153:O154" si="1581">ABS(($A$99*2/($G3*$F$5))*$B$98*$F$98*(1-(J$103^$F$98)/(($F$5/2)^$E$98)))</f>
        <v>1.6456117020979776E-2</v>
      </c>
      <c r="P153" s="8">
        <f t="shared" ref="P153:P154" si="1582">ABS(($A$99*2/($G3*$F$5))*$B$98*$F$98*(1-(K$103^$F$98)/(($F$5/2)^$E$98)))</f>
        <v>1.6456117020237467E-2</v>
      </c>
      <c r="Q153" s="8">
        <f t="shared" ref="Q153:Q154" si="1583">ABS(($A$99*2/($G3*$F$5))*$B$98*$F$98*(1-(L$103^$F$98)/(($F$5/2)^$E$98)))</f>
        <v>1.6456117018089092E-2</v>
      </c>
      <c r="R153" s="8">
        <f t="shared" ref="R153:R154" si="1584">ABS(($A$99*2/($G3*$F$5))*$B$98*$F$98*(1-(M$103^$F$98)/(($F$5/2)^$E$98)))</f>
        <v>1.6456117012490456E-2</v>
      </c>
      <c r="S153" s="8">
        <f t="shared" ref="S153:S154" si="1585">ABS(($A$99*2/($G3*$F$5))*$B$98*$F$98*(1-(N$103^$F$98)/(($F$5/2)^$E$98)))</f>
        <v>1.6456116999104639E-2</v>
      </c>
      <c r="T153" s="8">
        <f t="shared" ref="T153:T154" si="1586">ABS(($A$99*2/($G3*$F$5))*$B$98*$F$98*(1-(O$103^$F$98)/(($F$5/2)^$E$98)))</f>
        <v>1.6456116969323233E-2</v>
      </c>
      <c r="U153" s="8">
        <f t="shared" ref="U153:U154" si="1587">ABS(($A$99*2/($G3*$F$5))*$B$98*$F$98*(1-(P$103^$F$98)/(($F$5/2)^$E$98)))</f>
        <v>1.6456116906987735E-2</v>
      </c>
      <c r="V153" s="8">
        <f t="shared" ref="V153:V154" si="1588">ABS(($A$99*2/($G3*$F$5))*$B$98*$F$98*(1-(Q$103^$F$98)/(($F$5/2)^$E$98)))</f>
        <v>1.6456116783175385E-2</v>
      </c>
      <c r="W153" s="8">
        <f t="shared" ref="W153:W154" si="1589">ABS(($A$99*2/($G3*$F$5))*$B$98*$F$98*(1-(R$103^$F$98)/(($F$5/2)^$E$98)))</f>
        <v>1.6456116548191235E-2</v>
      </c>
      <c r="X153" s="8">
        <f t="shared" ref="X153:X154" si="1590">ABS(($A$99*2/($G3*$F$5))*$B$98*$F$98*(1-(S$103^$F$98)/(($F$5/2)^$E$98)))</f>
        <v>1.6456116119633626E-2</v>
      </c>
      <c r="Y153" s="8">
        <f t="shared" ref="Y153:Y154" si="1591">ABS(($A$99*2/($G3*$F$5))*$B$98*$F$98*(1-(T$103^$F$98)/(($F$5/2)^$E$98)))</f>
        <v>1.6456115365067067E-2</v>
      </c>
      <c r="Z153" s="8">
        <f t="shared" ref="Z153:Z154" si="1592">ABS(($A$99*2/($G3*$F$5))*$B$98*$F$98*(1-(U$103^$F$98)/(($F$5/2)^$E$98)))</f>
        <v>1.6456114077436808E-2</v>
      </c>
      <c r="AA153" s="8">
        <f t="shared" ref="AA153:AA154" si="1593">ABS(($A$99*2/($G3*$F$5))*$B$98*$F$98*(1-(V$103^$F$98)/(($F$5/2)^$E$98)))</f>
        <v>1.6456111940886121E-2</v>
      </c>
      <c r="AB153" s="8">
        <f t="shared" ref="AB153:AB154" si="1594">ABS(($A$99*2/($G3*$F$5))*$B$98*$F$98*(1-(W$103^$F$98)/(($F$5/2)^$E$98)))</f>
        <v>1.6456108484082251E-2</v>
      </c>
      <c r="AC153" s="8">
        <f t="shared" ref="AC153:AC154" si="1595">ABS(($A$99*2/($G3*$F$5))*$B$98*$F$98*(1-(X$103^$F$98)/(($F$5/2)^$E$98)))</f>
        <v>1.6456103017511815E-2</v>
      </c>
      <c r="AD153" s="8">
        <f t="shared" ref="AD153:AD154" si="1596">ABS(($A$99*2/($G3*$F$5))*$B$98*$F$98*(1-(Y$103^$F$98)/(($F$5/2)^$E$98)))</f>
        <v>1.6456094550462912E-2</v>
      </c>
      <c r="AE153" s="8">
        <f t="shared" ref="AE153:AE154" si="1597">ABS(($A$99*2/($G3*$F$5))*$B$98*$F$98*(1-(Z$103^$F$98)/(($F$5/2)^$E$98)))</f>
        <v>1.6456081682559905E-2</v>
      </c>
      <c r="AF153" s="8">
        <f t="shared" ref="AF153:AF154" si="1598">ABS(($A$99*2/($G3*$F$5))*$B$98*$F$98*(1-(AA$103^$F$98)/(($F$5/2)^$E$98)))</f>
        <v>1.6456062463749369E-2</v>
      </c>
      <c r="AG153" s="8">
        <f t="shared" ref="AG153:AG154" si="1599">ABS(($A$99*2/($G3*$F$5))*$B$98*$F$98*(1-(AB$103^$F$98)/(($F$5/2)^$E$98)))</f>
        <v>1.6456034215541808E-2</v>
      </c>
      <c r="AH153" s="8">
        <f t="shared" ref="AH153:AH154" si="1600">ABS(($A$99*2/($G3*$F$5))*$B$98*$F$98*(1-(AC$103^$F$98)/(($F$5/2)^$E$98)))</f>
        <v>1.6455993305084297E-2</v>
      </c>
      <c r="AI153" s="8">
        <f t="shared" ref="AI153:AI154" si="1601">ABS(($A$99*2/($G3*$F$5))*$B$98*$F$98*(1-(AD$103^$F$98)/(($F$5/2)^$E$98)))</f>
        <v>1.6455934862263821E-2</v>
      </c>
      <c r="AJ153" s="8">
        <f t="shared" ref="AJ153:AJ154" si="1602">ABS(($A$99*2/($G3*$F$5))*$B$98*$F$98*(1-(AE$103^$F$98)/(($F$5/2)^$E$98)))</f>
        <v>1.6455852428509762E-2</v>
      </c>
      <c r="AK153" s="8">
        <f t="shared" ref="AK153:AK154" si="1603">ABS(($A$99*2/($G3*$F$5))*$B$98*$F$98*(1-(AF$103^$F$98)/(($F$5/2)^$E$98)))</f>
        <v>1.6455737524265792E-2</v>
      </c>
      <c r="AL153" s="8">
        <f t="shared" ref="AL153:AL154" si="1604">ABS(($A$99*2/($G3*$F$5))*$B$98*$F$98*(1-(AG$103^$F$98)/(($F$5/2)^$E$98)))</f>
        <v>1.6455579120225952E-2</v>
      </c>
      <c r="AM153" s="8">
        <f t="shared" ref="AM153:AM154" si="1605">ABS(($A$99*2/($G3*$F$5))*$B$98*$F$98*(1-(AH$103^$F$98)/(($F$5/2)^$E$98)))</f>
        <v>1.645536299536552E-2</v>
      </c>
      <c r="AN153" s="8">
        <f t="shared" ref="AN153:AN154" si="1606">ABS(($A$99*2/($G3*$F$5))*$B$98*$F$98*(1-(AI$103^$F$98)/(($F$5/2)^$E$98)))</f>
        <v>1.6455070962533118E-2</v>
      </c>
      <c r="AO153" s="8">
        <f t="shared" ref="AO153:AO154" si="1607">ABS(($A$99*2/($G3*$F$5))*$B$98*$F$98*(1-(AJ$103^$F$98)/(($F$5/2)^$E$98)))</f>
        <v>1.6454679939894915E-2</v>
      </c>
      <c r="AP153" s="8">
        <f t="shared" ref="AP153:AP154" si="1608">ABS(($A$99*2/($G3*$F$5))*$B$98*$F$98*(1-(AK$103^$F$98)/(($F$5/2)^$E$98)))</f>
        <v>1.6454160843822639E-2</v>
      </c>
      <c r="AQ153" s="8">
        <f t="shared" ref="AQ153:AQ154" si="1609">ABS(($A$99*2/($G3*$F$5))*$B$98*$F$98*(1-(AL$103^$F$98)/(($F$5/2)^$E$98)))</f>
        <v>1.6453477275882505E-2</v>
      </c>
      <c r="AR153" s="8">
        <f t="shared" ref="AR153:AR154" si="1610">ABS(($A$99*2/($G3*$F$5))*$B$98*$F$98*(1-(AM$103^$F$98)/(($F$5/2)^$E$98)))</f>
        <v>1.64525839733995E-2</v>
      </c>
      <c r="AS153" s="8">
        <f t="shared" ref="AS153:AS154" si="1611">ABS(($A$99*2/($G3*$F$5))*$B$98*$F$98*(1-(AN$103^$F$98)/(($F$5/2)^$E$98)))</f>
        <v>1.6451424989628542E-2</v>
      </c>
      <c r="AT153" s="8">
        <f t="shared" ref="AT153:AT154" si="1612">ABS(($A$99*2/($G3*$F$5))*$B$98*$F$98*(1-(AO$103^$F$98)/(($F$5/2)^$E$98)))</f>
        <v>1.6449931565847328E-2</v>
      </c>
      <c r="AU153" s="8">
        <f t="shared" ref="AU153:AU154" si="1613">ABS(($A$99*2/($G3*$F$5))*$B$98*$F$98*(1-(AP$103^$F$98)/(($F$5/2)^$E$98)))</f>
        <v>1.6448019653682894E-2</v>
      </c>
      <c r="AV153" s="8">
        <f t="shared" ref="AV153:AV154" si="1614">ABS(($A$99*2/($G3*$F$5))*$B$98*$F$98*(1-(AQ$103^$F$98)/(($F$5/2)^$E$98)))</f>
        <v>1.6445587041680945E-2</v>
      </c>
      <c r="AW153" s="8">
        <f t="shared" ref="AW153:AW154" si="1615">ABS(($A$99*2/($G3*$F$5))*$B$98*$F$98*(1-(AR$103^$F$98)/(($F$5/2)^$E$98)))</f>
        <v>1.6442510035510973E-2</v>
      </c>
      <c r="AX153" s="8">
        <f t="shared" ref="AX153:AX154" si="1616">ABS(($A$99*2/($G3*$F$5))*$B$98*$F$98*(1-(AS$103^$F$98)/(($F$5/2)^$E$98)))</f>
        <v>1.6438639636256649E-2</v>
      </c>
      <c r="AY153" s="8">
        <f t="shared" ref="AY153:AY154" si="1617">ABS(($A$99*2/($G3*$F$5))*$B$98*$F$98*(1-(AT$103^$F$98)/(($F$5/2)^$E$98)))</f>
        <v>1.6433797155956453E-2</v>
      </c>
      <c r="AZ153" s="8">
        <f t="shared" ref="AZ153:AZ154" si="1618">ABS(($A$99*2/($G3*$F$5))*$B$98*$F$98*(1-(AU$103^$F$98)/(($F$5/2)^$E$98)))</f>
        <v>1.6427769203919352E-2</v>
      </c>
      <c r="BA153" s="8">
        <f t="shared" ref="BA153:BA154" si="1619">ABS(($A$99*2/($G3*$F$5))*$B$98*$F$98*(1-(AV$103^$F$98)/(($F$5/2)^$E$98)))</f>
        <v>1.6420301971330261E-2</v>
      </c>
      <c r="BB153" s="8">
        <f t="shared" ref="BB153:BB154" si="1620">ABS(($A$99*2/($G3*$F$5))*$B$98*$F$98*(1-(AW$103^$F$98)/(($F$5/2)^$E$98)))</f>
        <v>1.6411094735265218E-2</v>
      </c>
      <c r="BC153" s="8">
        <f t="shared" ref="BC153:BC154" si="1621">ABS(($A$99*2/($G3*$F$5))*$B$98*$F$98*(1-(AX$103^$F$98)/(($F$5/2)^$E$98)))</f>
        <v>1.6399792496441815E-2</v>
      </c>
      <c r="BD153" s="8">
        <f t="shared" ref="BD153:BD154" si="1622">ABS(($A$99*2/($G3*$F$5))*$B$98*$F$98*(1-(AY$103^$F$98)/(($F$5/2)^$E$98)))</f>
        <v>1.6385977657821193E-2</v>
      </c>
      <c r="BE153" s="8">
        <f t="shared" ref="BE153:BE154" si="1623">ABS(($A$99*2/($G3*$F$5))*$B$98*$F$98*(1-(AZ$103^$F$98)/(($F$5/2)^$E$98)))</f>
        <v>1.6369160643538577E-2</v>
      </c>
      <c r="BF153" s="8">
        <f t="shared" ref="BF153:BF154" si="1624">ABS(($A$99*2/($G3*$F$5))*$B$98*$F$98*(1-(BA$103^$F$98)/(($F$5/2)^$E$98)))</f>
        <v>1.6348769349554156E-2</v>
      </c>
      <c r="BG153" s="8">
        <f t="shared" ref="BG153:BG154" si="1625">ABS(($A$99*2/($G3*$F$5))*$B$98*$F$98*(1-(BB$103^$F$98)/(($F$5/2)^$E$98)))</f>
        <v>1.6324137308869453E-2</v>
      </c>
      <c r="BH153" s="8">
        <f t="shared" ref="BH153:BH154" si="1626">ABS(($A$99*2/($G3*$F$5))*$B$98*$F$98*(1-(BC$103^$F$98)/(($F$5/2)^$E$98)))</f>
        <v>1.6294490445130094E-2</v>
      </c>
      <c r="BI153" s="8">
        <f t="shared" ref="BI153:BI154" si="1627">ABS(($A$99*2/($G3*$F$5))*$B$98*$F$98*(1-(BD$103^$F$98)/(($F$5/2)^$E$98)))</f>
        <v>1.6258932278917639E-2</v>
      </c>
      <c r="BJ153" s="8">
        <f t="shared" ref="BJ153:BJ154" si="1628">ABS(($A$99*2/($G3*$F$5))*$B$98*$F$98*(1-(BE$103^$F$98)/(($F$5/2)^$E$98)))</f>
        <v>1.6216427441004919E-2</v>
      </c>
      <c r="BK153" s="8">
        <f t="shared" ref="BK153:BK154" si="1629">ABS(($A$99*2/($G3*$F$5))*$B$98*$F$98*(1-(BF$103^$F$98)/(($F$5/2)^$E$98)))</f>
        <v>1.6165783336293933E-2</v>
      </c>
      <c r="BL153" s="8">
        <f t="shared" ref="BL153:BL154" si="1630">ABS(($A$99*2/($G3*$F$5))*$B$98*$F$98*(1-(BG$103^$F$98)/(($F$5/2)^$E$98)))</f>
        <v>1.6105629791056307E-2</v>
      </c>
      <c r="BM153" s="8">
        <f t="shared" ref="BM153:BM154" si="1631">ABS(($A$99*2/($G3*$F$5))*$B$98*$F$98*(1-(BH$103^$F$98)/(($F$5/2)^$E$98)))</f>
        <v>1.6034396504436284E-2</v>
      </c>
      <c r="BN153" s="8">
        <f t="shared" ref="BN153:BN154" si="1632">ABS(($A$99*2/($G3*$F$5))*$B$98*$F$98*(1-(BI$103^$F$98)/(($F$5/2)^$E$98)))</f>
        <v>1.5950288112938336E-2</v>
      </c>
      <c r="BO153" s="8">
        <f t="shared" ref="BO153:BO154" si="1633">ABS(($A$99*2/($G3*$F$5))*$B$98*$F$98*(1-(BJ$103^$F$98)/(($F$5/2)^$E$98)))</f>
        <v>1.5851256663787436E-2</v>
      </c>
      <c r="BP153" s="8">
        <f t="shared" ref="BP153:BP154" si="1634">ABS(($A$99*2/($G3*$F$5))*$B$98*$F$98*(1-(BK$103^$F$98)/(($F$5/2)^$E$98)))</f>
        <v>1.5734971279603587E-2</v>
      </c>
      <c r="BQ153" s="8">
        <f t="shared" ref="BQ153:BQ154" si="1635">ABS(($A$99*2/($G3*$F$5))*$B$98*$F$98*(1-(BL$103^$F$98)/(($F$5/2)^$E$98)))</f>
        <v>1.5598784782753368E-2</v>
      </c>
      <c r="BR153" s="8">
        <f t="shared" ref="BR153:BR154" si="1636">ABS(($A$99*2/($G3*$F$5))*$B$98*$F$98*(1-(BM$103^$F$98)/(($F$5/2)^$E$98)))</f>
        <v>1.543969703301455E-2</v>
      </c>
      <c r="BS153" s="8">
        <f t="shared" ref="BS153:BS154" si="1637">ABS(($A$99*2/($G3*$F$5))*$B$98*$F$98*(1-(BN$103^$F$98)/(($F$5/2)^$E$98)))</f>
        <v>1.5254314716794439E-2</v>
      </c>
      <c r="BT153" s="8">
        <f t="shared" ref="BT153:BT154" si="1638">ABS(($A$99*2/($G3*$F$5))*$B$98*$F$98*(1-(BO$103^$F$98)/(($F$5/2)^$E$98)))</f>
        <v>1.5038807310061669E-2</v>
      </c>
      <c r="BU153" s="8">
        <f t="shared" ref="BU153:BU154" si="1639">ABS(($A$99*2/($G3*$F$5))*$B$98*$F$98*(1-(BP$103^$F$98)/(($F$5/2)^$E$98)))</f>
        <v>1.4788858920365961E-2</v>
      </c>
      <c r="BV153" s="8">
        <f t="shared" ref="BV153:BV154" si="1640">ABS(($A$99*2/($G3*$F$5))*$B$98*$F$98*(1-(BQ$103^$F$98)/(($F$5/2)^$E$98)))</f>
        <v>1.4499615695810699E-2</v>
      </c>
      <c r="BW153" s="8">
        <f t="shared" ref="BW153:BW154" si="1641">ABS(($A$99*2/($G3*$F$5))*$B$98*$F$98*(1-(BR$103^$F$98)/(($F$5/2)^$E$98)))</f>
        <v>1.4165628470591862E-2</v>
      </c>
      <c r="BX153" s="8">
        <f t="shared" ref="BX153:BX154" si="1642">ABS(($A$99*2/($G3*$F$5))*$B$98*$F$98*(1-(BS$103^$F$98)/(($F$5/2)^$E$98)))</f>
        <v>1.3780790297702624E-2</v>
      </c>
      <c r="BY153" s="8">
        <f t="shared" ref="BY153:BY154" si="1643">ABS(($A$99*2/($G3*$F$5))*$B$98*$F$98*(1-(BT$103^$F$98)/(($F$5/2)^$E$98)))</f>
        <v>1.3338268499608877E-2</v>
      </c>
      <c r="BZ153" s="8">
        <f t="shared" ref="BZ153:BZ154" si="1644">ABS(($A$99*2/($G3*$F$5))*$B$98*$F$98*(1-(BU$103^$F$98)/(($F$5/2)^$E$98)))</f>
        <v>1.2830430847104151E-2</v>
      </c>
      <c r="CA153" s="8">
        <f t="shared" ref="CA153:CA154" si="1645">ABS(($A$99*2/($G3*$F$5))*$B$98*$F$98*(1-(BV$103^$F$98)/(($F$5/2)^$E$98)))</f>
        <v>1.22487654551365E-2</v>
      </c>
      <c r="CB153" s="8">
        <f t="shared" ref="CB153:CB154" si="1646">ABS(($A$99*2/($G3*$F$5))*$B$98*$F$98*(1-(BW$103^$F$98)/(($F$5/2)^$E$98)))</f>
        <v>1.1583793962142125E-2</v>
      </c>
      <c r="CC153" s="8">
        <f t="shared" ref="CC153:CC154" si="1647">ABS(($A$99*2/($G3*$F$5))*$B$98*$F$98*(1-(BX$103^$F$98)/(($F$5/2)^$E$98)))</f>
        <v>1.082497753630215E-2</v>
      </c>
      <c r="CD153" s="8">
        <f t="shared" ref="CD153:CD154" si="1648">ABS(($A$99*2/($G3*$F$5))*$B$98*$F$98*(1-(BY$103^$F$98)/(($F$5/2)^$E$98)))</f>
        <v>9.9606152281394352E-3</v>
      </c>
      <c r="CE153" s="8">
        <f t="shared" ref="CE153:CE154" si="1649">ABS(($A$99*2/($G3*$F$5))*$B$98*$F$98*(1-(BZ$103^$F$98)/(($F$5/2)^$E$98)))</f>
        <v>8.9777341639709941E-3</v>
      </c>
      <c r="CF153" s="8">
        <f t="shared" ref="CF153:CF154" si="1650">ABS(($A$99*2/($G3*$F$5))*$B$98*$F$98*(1-(CA$103^$F$98)/(($F$5/2)^$E$98)))</f>
        <v>7.8619710489049276E-3</v>
      </c>
      <c r="CG153" s="8">
        <f t="shared" ref="CG153:CG154" si="1651">ABS(($A$99*2/($G3*$F$5))*$B$98*$F$98*(1-(CB$103^$F$98)/(($F$5/2)^$E$98)))</f>
        <v>6.5974444213078194E-3</v>
      </c>
      <c r="CH153" s="8">
        <f t="shared" ref="CH153:CH154" si="1652">ABS(($A$99*2/($G3*$F$5))*$B$98*$F$98*(1-(CC$103^$F$98)/(($F$5/2)^$E$98)))</f>
        <v>5.1666170729298133E-3</v>
      </c>
      <c r="CI153" s="8">
        <f t="shared" ref="CI153:CI154" si="1653">ABS(($A$99*2/($G3*$F$5))*$B$98*$F$98*(1-(CD$103^$F$98)/(($F$5/2)^$E$98)))</f>
        <v>3.5501480201588194E-3</v>
      </c>
      <c r="CJ153" s="8">
        <f t="shared" ref="CJ153:CJ154" si="1654">ABS(($A$99*2/($G3*$F$5))*$B$98*$F$98*(1-(CE$103^$F$98)/(($F$5/2)^$E$98)))</f>
        <v>1.7267333821519386E-3</v>
      </c>
      <c r="CK153" s="8">
        <f t="shared" ref="CK153:CK154" si="1655">ABS(($A$99*2/($G3*$F$5))*$B$98*$F$98*(1-(CF$103^$F$98)/(($F$5/2)^$E$98)))</f>
        <v>3.2706450917186359E-4</v>
      </c>
      <c r="CL153" s="8">
        <f t="shared" ref="CL153:CL154" si="1656">ABS(($A$99*2/($G3*$F$5))*$B$98*$F$98*(1-(CG$103^$F$98)/(($F$5/2)^$E$98)))</f>
        <v>2.6370004740896092E-3</v>
      </c>
      <c r="CM153" s="8">
        <f t="shared" ref="CM153:CM154" si="1657">ABS(($A$99*2/($G3*$F$5))*$B$98*$F$98*(1-(CH$103^$F$98)/(($F$5/2)^$E$98)))</f>
        <v>5.2313430646844421E-3</v>
      </c>
      <c r="CN153" s="8">
        <f t="shared" ref="CN153:CN154" si="1658">ABS(($A$99*2/($G3*$F$5))*$B$98*$F$98*(1-(CI$103^$F$98)/(($F$5/2)^$E$98)))</f>
        <v>8.1410851327747592E-3</v>
      </c>
      <c r="CO153" s="8">
        <f t="shared" ref="CO153:CO154" si="1659">ABS(($A$99*2/($G3*$F$5))*$B$98*$F$98*(1-(CJ$103^$F$98)/(($F$5/2)^$E$98)))</f>
        <v>1.1400169194932244E-2</v>
      </c>
      <c r="CP153" s="8">
        <f t="shared" ref="CP153:CP154" si="1660">ABS(($A$99*2/($G3*$F$5))*$B$98*$F$98*(1-(CK$103^$F$98)/(($F$5/2)^$E$98)))</f>
        <v>1.5045728439580781E-2</v>
      </c>
      <c r="CQ153" s="8">
        <f t="shared" ref="CQ153:CQ154" si="1661">ABS(($A$99*2/($G3*$F$5))*$B$98*$F$98*(1-(CL$103^$F$98)/(($F$5/2)^$E$98)))</f>
        <v>1.9118344258574751E-2</v>
      </c>
      <c r="CR153" s="8">
        <f t="shared" ref="CR153:CR154" si="1662">ABS(($A$99*2/($G3*$F$5))*$B$98*$F$98*(1-(CM$103^$F$98)/(($F$5/2)^$E$98)))</f>
        <v>2.3662321224225447E-2</v>
      </c>
      <c r="CS153" s="8">
        <f t="shared" ref="CS153:CS154" si="1663">ABS(($A$99*2/($G3*$F$5))*$B$98*$F$98*(1-(CN$103^$F$98)/(($F$5/2)^$E$98)))</f>
        <v>2.8725980472542486E-2</v>
      </c>
      <c r="CT153" s="8">
        <f t="shared" ref="CT153:CT154" si="1664">ABS(($A$99*2/($G3*$F$5))*$B$98*$F$98*(1-(CO$103^$F$98)/(($F$5/2)^$E$98)))</f>
        <v>3.4361972494483438E-2</v>
      </c>
      <c r="CU153" s="8">
        <f t="shared" ref="CU153:CU154" si="1665">ABS(($A$99*2/($G3*$F$5))*$B$98*$F$98*(1-(CP$103^$F$98)/(($F$5/2)^$E$98)))</f>
        <v>4.0627610379268167E-2</v>
      </c>
      <c r="CV153" s="8">
        <f t="shared" ref="CV153:CV154" si="1666">ABS(($A$99*2/($G3*$F$5))*$B$98*$F$98*(1-(CQ$103^$F$98)/(($F$5/2)^$E$98)))</f>
        <v>4.7585224597387669E-2</v>
      </c>
      <c r="CW153" s="8">
        <f t="shared" ref="CW153:CW154" si="1667">ABS(($A$99*2/($G3*$F$5))*$B$98*$F$98*(1-(CR$103^$F$98)/(($F$5/2)^$E$98)))</f>
        <v>5.5302540455785337E-2</v>
      </c>
      <c r="CX153" s="8">
        <f t="shared" ref="CX153:CX154" si="1668">ABS(($A$99*2/($G3*$F$5))*$B$98*$F$98*(1-(CS$103^$F$98)/(($F$5/2)^$E$98)))</f>
        <v>6.3853079403892316E-2</v>
      </c>
      <c r="CY153" s="8">
        <f t="shared" ref="CY153:CY154" si="1669">ABS(($A$99*2/($G3*$F$5))*$B$98*$F$98*(1-(CT$103^$F$98)/(($F$5/2)^$E$98)))</f>
        <v>7.3316585416709948E-2</v>
      </c>
      <c r="CZ153" s="8">
        <f t="shared" ref="CZ153:CZ154" si="1670">ABS(($A$99*2/($G3*$F$5))*$B$98*$F$98*(1-(CU$103^$F$98)/(($F$5/2)^$E$98)))</f>
        <v>8.3779477730078947E-2</v>
      </c>
      <c r="DA153" s="8">
        <f t="shared" ref="DA153:DA154" si="1671">ABS(($A$99*2/($G3*$F$5))*$B$98*$F$98*(1-(CV$103^$F$98)/(($F$5/2)^$E$98)))</f>
        <v>9.5335331253548095E-2</v>
      </c>
      <c r="DB153" s="8">
        <f t="shared" ref="DB153:DB154" si="1672">ABS(($A$99*2/($G3*$F$5))*$B$98*$F$98*(1-(CW$103^$F$98)/(($F$5/2)^$E$98)))</f>
        <v>0.10808538603805398</v>
      </c>
      <c r="DC153" s="8">
        <f t="shared" ref="DC153:DC154" si="1673">ABS(($A$99*2/($G3*$F$5))*$B$98*$F$98*(1-(CX$103^$F$98)/(($F$5/2)^$E$98)))</f>
        <v>0.12213908722871344</v>
      </c>
      <c r="DD153" s="8">
        <f t="shared" ref="DD153:DD154" si="1674">ABS(($A$99*2/($G3*$F$5))*$B$98*$F$98*(1-(CY$103^$F$98)/(($F$5/2)^$E$98)))</f>
        <v>0.13761465698781139</v>
      </c>
      <c r="DE153" s="8">
        <f t="shared" ref="DE153:DE154" si="1675">ABS(($A$99*2/($G3*$F$5))*$B$98*$F$98*(1-(CZ$103^$F$98)/(($F$5/2)^$E$98)))</f>
        <v>0.15463969992911331</v>
      </c>
      <c r="DF153" s="8">
        <f t="shared" ref="DF153:DF154" si="1676">ABS(($A$99*2/($G3*$F$5))*$B$98*$F$98*(1-(DA$103^$F$98)/(($F$5/2)^$E$98)))</f>
        <v>0.1733518436624015</v>
      </c>
      <c r="DG153" s="8">
        <f t="shared" ref="DG153:DG154" si="1677">ABS(($A$99*2/($G3*$F$5))*$B$98*$F$98*(1-(DB$103^$F$98)/(($F$5/2)^$E$98)))</f>
        <v>0.19389941610629619</v>
      </c>
      <c r="DH153" s="8">
        <f t="shared" ref="DH153:DH154" si="1678">ABS(($A$99*2/($G3*$F$5))*$B$98*$F$98*(1-(DC$103^$F$98)/(($F$5/2)^$E$98)))</f>
        <v>0.21644216128831728</v>
      </c>
      <c r="DI153" s="8">
        <f t="shared" ref="DI153:DI154" si="1679">ABS(($A$99*2/($G3*$F$5))*$B$98*$F$98*(1-(DD$103^$F$98)/(($F$5/2)^$E$98)))</f>
        <v>0.2411519954134449</v>
      </c>
      <c r="DJ153" s="8">
        <f t="shared" ref="DJ153:DJ154" si="1680">ABS(($A$99*2/($G3*$F$5))*$B$98*$F$98*(1-(DE$103^$F$98)/(($F$5/2)^$E$98)))</f>
        <v>0.26821380504658515</v>
      </c>
      <c r="DK153" s="8">
        <f t="shared" ref="DK153:DK154" si="1681">ABS(($A$99*2/($G3*$F$5))*$B$98*$F$98*(1-(DF$103^$F$98)/(($F$5/2)^$E$98)))</f>
        <v>0.2978262893199613</v>
      </c>
      <c r="DL153" s="8">
        <f t="shared" ref="DL153:DL154" si="1682">ABS(($A$99*2/($G3*$F$5))*$B$98*$F$98*(1-(DG$103^$F$98)/(($F$5/2)^$E$98)))</f>
        <v>0.33020284814382617</v>
      </c>
      <c r="DM153" s="8">
        <f t="shared" ref="DM153:DM154" si="1683">ABS(($A$99*2/($G3*$F$5))*$B$98*$F$98*(1-(DH$103^$F$98)/(($F$5/2)^$E$98)))</f>
        <v>0.3655725184680389</v>
      </c>
      <c r="DN153" s="8">
        <f t="shared" ref="DN153:DN154" si="1684">ABS(($A$99*2/($G3*$F$5))*$B$98*$F$98*(1-(DI$103^$F$98)/(($F$5/2)^$E$98)))</f>
        <v>0.40418096071276854</v>
      </c>
      <c r="DO153" s="8">
        <f t="shared" ref="DO153:DO154" si="1685">ABS(($A$99*2/($G3*$F$5))*$B$98*$F$98*(1-(DJ$103^$F$98)/(($F$5/2)^$E$98)))</f>
        <v>0.44629149755918307</v>
      </c>
      <c r="DP153" s="8">
        <f t="shared" ref="DP153:DP154" si="1686">ABS(($A$99*2/($G3*$F$5))*$B$98*$F$98*(1-(DK$103^$F$98)/(($F$5/2)^$E$98)))</f>
        <v>0.49218620736538377</v>
      </c>
      <c r="DQ153" s="8">
        <f t="shared" ref="DQ153:DQ154" si="1687">ABS(($A$99*2/($G3*$F$5))*$B$98*$F$98*(1-(DL$103^$F$98)/(($F$5/2)^$E$98)))</f>
        <v>0.54216707454892521</v>
      </c>
      <c r="DR153" s="8">
        <f t="shared" ref="DR153:DR154" si="1688">ABS(($A$99*2/($G3*$F$5))*$B$98*$F$98*(1-(DM$103^$F$98)/(($F$5/2)^$E$98)))</f>
        <v>0.596557199355367</v>
      </c>
      <c r="DS153" s="8">
        <f t="shared" ref="DS153:DS154" si="1689">ABS(($A$99*2/($G3*$F$5))*$B$98*$F$98*(1-(DN$103^$F$98)/(($F$5/2)^$E$98)))</f>
        <v>0.65570206951207577</v>
      </c>
      <c r="DT153" s="8">
        <f t="shared" ref="DT153:DT154" si="1690">ABS(($A$99*2/($G3*$F$5))*$B$98*$F$98*(1-(DO$103^$F$98)/(($F$5/2)^$E$98)))</f>
        <v>0.71997089634835021</v>
      </c>
      <c r="DU153" s="8">
        <f t="shared" ref="DU153:DU154" si="1691">ABS(($A$99*2/($G3*$F$5))*$B$98*$F$98*(1-(DP$103^$F$98)/(($F$5/2)^$E$98)))</f>
        <v>0.78975801804661205</v>
      </c>
      <c r="DV153" s="8">
        <f t="shared" ref="DV153:DV154" si="1692">ABS(($A$99*2/($G3*$F$5))*$B$98*$F$98*(1-(DQ$103^$F$98)/(($F$5/2)^$E$98)))</f>
        <v>0.8654843727749405</v>
      </c>
      <c r="DW153" s="8">
        <f t="shared" ref="DW153:DW154" si="1693">ABS(($A$99*2/($G3*$F$5))*$B$98*$F$98*(1-(DR$103^$F$98)/(($F$5/2)^$E$98)))</f>
        <v>0.94759904453915333</v>
      </c>
      <c r="DX153" s="8">
        <f t="shared" ref="DX153:DX154" si="1694">ABS(($A$99*2/($G3*$F$5))*$B$98*$F$98*(1-(DS$103^$F$98)/(($F$5/2)^$E$98)))</f>
        <v>1.0365808846817366</v>
      </c>
      <c r="DY153" s="8">
        <f t="shared" ref="DY153:DY154" si="1695">ABS(($A$99*2/($G3*$F$5))*$B$98*$F$98*(1-(DT$103^$F$98)/(($F$5/2)^$E$98)))</f>
        <v>1.1329402120473668</v>
      </c>
      <c r="DZ153" s="8">
        <f t="shared" ref="DZ153:DZ154" si="1696">ABS(($A$99*2/($G3*$F$5))*$B$98*$F$98*(1-(DU$103^$F$98)/(($F$5/2)^$E$98)))</f>
        <v>1.2372205949275088</v>
      </c>
      <c r="EA153" s="8">
        <f t="shared" ref="EA153:EA154" si="1697">ABS(($A$99*2/($G3*$F$5))*$B$98*$F$98*(1-(DV$103^$F$98)/(($F$5/2)^$E$98)))</f>
        <v>1.3500007179933888</v>
      </c>
      <c r="EB153" s="8">
        <f t="shared" ref="EB153:EB154" si="1698">ABS(($A$99*2/($G3*$F$5))*$B$98*$F$98*(1-(DW$103^$F$98)/(($F$5/2)^$E$98)))</f>
        <v>1.4718963375238323</v>
      </c>
      <c r="EC153" s="8">
        <f t="shared" ref="EC153:EC154" si="1699">ABS(($A$99*2/($G3*$F$5))*$B$98*$F$98*(1-(DX$103^$F$98)/(($F$5/2)^$E$98)))</f>
        <v>1.6035623283349554</v>
      </c>
      <c r="ED153" s="8">
        <f t="shared" ref="ED153:ED154" si="1700">ABS(($A$99*2/($G3*$F$5))*$B$98*$F$98*(1-(DY$103^$F$98)/(($F$5/2)^$E$98)))</f>
        <v>1.7456948259208649</v>
      </c>
      <c r="EE153" s="8">
        <f t="shared" ref="EE153:EE154" si="1701">ABS(($A$99*2/($G3*$F$5))*$B$98*$F$98*(1-(DZ$103^$F$98)/(($F$5/2)^$E$98)))</f>
        <v>1.8990334674188663</v>
      </c>
      <c r="EF153" s="8">
        <f t="shared" ref="EF153:EF154" si="1702">ABS(($A$99*2/($G3*$F$5))*$B$98*$F$98*(1-(EA$103^$F$98)/(($F$5/2)^$E$98)))</f>
        <v>2.0643637351195832</v>
      </c>
      <c r="EG153" s="8">
        <f t="shared" ref="EG153:EG154" si="1703">ABS(($A$99*2/($G3*$F$5))*$B$98*$F$98*(1-(EB$103^$F$98)/(($F$5/2)^$E$98)))</f>
        <v>2.2425194063513945</v>
      </c>
      <c r="EH153" s="8">
        <f t="shared" ref="EH153:EH154" si="1704">ABS(($A$99*2/($G3*$F$5))*$B$98*$F$98*(1-(EC$103^$F$98)/(($F$5/2)^$E$98)))</f>
        <v>2.4343851136795309</v>
      </c>
      <c r="EI153" s="8">
        <f t="shared" ref="EI153:EI154" si="1705">ABS(($A$99*2/($G3*$F$5))*$B$98*$F$98*(1-(ED$103^$F$98)/(($F$5/2)^$E$98)))</f>
        <v>2.6408990194742485</v>
      </c>
      <c r="EJ153" s="8">
        <f t="shared" ref="EJ153:EJ154" si="1706">ABS(($A$99*2/($G3*$F$5))*$B$98*$F$98*(1-(EE$103^$F$98)/(($F$5/2)^$E$98)))</f>
        <v>2.8630556090181893</v>
      </c>
      <c r="EK153" s="8">
        <f t="shared" ref="EK153:EK154" si="1707">ABS(($A$99*2/($G3*$F$5))*$B$98*$F$98*(1-(EF$103^$F$98)/(($F$5/2)^$E$98)))</f>
        <v>3.1019086064413632</v>
      </c>
      <c r="EL153" s="8">
        <f t="shared" ref="EL153:EL154" si="1708">ABS(($A$99*2/($G3*$F$5))*$B$98*$F$98*(1-(EG$103^$F$98)/(($F$5/2)^$E$98)))</f>
        <v>3.3585740178930665</v>
      </c>
      <c r="EM153" s="8">
        <f t="shared" ref="EM153:EM154" si="1709">ABS(($A$99*2/($G3*$F$5))*$B$98*$F$98*(1-(EH$103^$F$98)/(($F$5/2)^$E$98)))</f>
        <v>3.6342333064829453</v>
      </c>
      <c r="EN153" s="8">
        <f t="shared" ref="EN153:EN154" si="1710">ABS(($A$99*2/($G3*$F$5))*$B$98*$F$98*(1-(EI$103^$F$98)/(($F$5/2)^$E$98)))</f>
        <v>3.9301367036504553</v>
      </c>
      <c r="EO153" s="8">
        <f t="shared" ref="EO153:EO154" si="1711">ABS(($A$99*2/($G3*$F$5))*$B$98*$F$98*(1-(EJ$103^$F$98)/(($F$5/2)^$E$98)))</f>
        <v>4.2476066617470165</v>
      </c>
      <c r="EP153" s="8">
        <f t="shared" ref="EP153:EP154" si="1712">ABS(($A$99*2/($G3*$F$5))*$B$98*$F$98*(1-(EK$103^$F$98)/(($F$5/2)^$E$98)))</f>
        <v>4.5880414527503781</v>
      </c>
      <c r="EQ153" s="8">
        <f t="shared" ref="EQ153:EQ154" si="1713">ABS(($A$99*2/($G3*$F$5))*$B$98*$F$98*(1-(EL$103^$F$98)/(($F$5/2)^$E$98)))</f>
        <v>4.9529189181597184</v>
      </c>
      <c r="ER153" s="8">
        <f t="shared" ref="ER153:ER154" si="1714">ABS(($A$99*2/($G3*$F$5))*$B$98*$F$98*(1-(EM$103^$F$98)/(($F$5/2)^$E$98)))</f>
        <v>5.3438003752589189</v>
      </c>
      <c r="ES153" s="8">
        <f t="shared" ref="ES153:ES154" si="1715">ABS(($A$99*2/($G3*$F$5))*$B$98*$F$98*(1-(EN$103^$F$98)/(($F$5/2)^$E$98)))</f>
        <v>5.7623346850720525</v>
      </c>
      <c r="ET153" s="8">
        <f t="shared" ref="ET153:ET154" si="1716">ABS(($A$99*2/($G3*$F$5))*$B$98*$F$98*(1-(EO$103^$F$98)/(($F$5/2)^$E$98)))</f>
        <v>6.2102624874782419</v>
      </c>
      <c r="EU153" s="8">
        <f t="shared" ref="EU153:EU154" si="1717">ABS(($A$99*2/($G3*$F$5))*$B$98*$F$98*(1-(EP$103^$F$98)/(($F$5/2)^$E$98)))</f>
        <v>6.6894206090946673</v>
      </c>
      <c r="EV153" s="8">
        <f t="shared" ref="EV153:EV154" si="1718">ABS(($A$99*2/($G3*$F$5))*$B$98*$F$98*(1-(EQ$103^$F$98)/(($F$5/2)^$E$98)))</f>
        <v>7.2017466496850311</v>
      </c>
      <c r="EW153" s="8">
        <f t="shared" ref="EW153:EW154" si="1719">ABS(($A$99*2/($G3*$F$5))*$B$98*$F$98*(1-(ER$103^$F$98)/(($F$5/2)^$E$98)))</f>
        <v>7.7492837529993546</v>
      </c>
      <c r="EX153" s="8">
        <f t="shared" ref="EX153:EX154" si="1720">ABS(($A$99*2/($G3*$F$5))*$B$98*$F$98*(1-(ES$103^$F$98)/(($F$5/2)^$E$98)))</f>
        <v>8.3341855681033667</v>
      </c>
      <c r="EY153" s="8">
        <f t="shared" ref="EY153:EY154" si="1721">ABS(($A$99*2/($G3*$F$5))*$B$98*$F$98*(1-(ET$103^$F$98)/(($F$5/2)^$E$98)))</f>
        <v>8.9587214074103176</v>
      </c>
      <c r="EZ153" s="8">
        <f t="shared" ref="EZ153:EZ154" si="1722">ABS(($A$99*2/($G3*$F$5))*$B$98*$F$98*(1-(EU$103^$F$98)/(($F$5/2)^$E$98)))</f>
        <v>9.6252816077864658</v>
      </c>
      <c r="FA153" s="8">
        <f t="shared" ref="FA153:FA154" si="1723">ABS(($A$99*2/($G3*$F$5))*$B$98*$F$98*(1-(EV$103^$F$98)/(($F$5/2)^$E$98)))</f>
        <v>10.336383101262355</v>
      </c>
      <c r="FB153" s="8">
        <f t="shared" ref="FB153:FB154" si="1724">ABS(($A$99*2/($G3*$F$5))*$B$98*$F$98*(1-(EW$103^$F$98)/(($F$5/2)^$E$98)))</f>
        <v>11.094675202044812</v>
      </c>
      <c r="FC153" s="8">
        <f t="shared" ref="FC153:FC154" si="1725">ABS(($A$99*2/($G3*$F$5))*$B$98*$F$98*(1-(EX$103^$F$98)/(($F$5/2)^$E$98)))</f>
        <v>11.902945616691657</v>
      </c>
      <c r="FD153" s="8">
        <f t="shared" ref="FD153:FD154" si="1726">ABS(($A$99*2/($G3*$F$5))*$B$98*$F$98*(1-(EY$103^$F$98)/(($F$5/2)^$E$98)))</f>
        <v>12.764126684482127</v>
      </c>
      <c r="FE153" s="8">
        <f t="shared" ref="FE153:FE154" si="1727">ABS(($A$99*2/($G3*$F$5))*$B$98*$F$98*(1-(EZ$103^$F$98)/(($F$5/2)^$E$98)))</f>
        <v>13.681301855185046</v>
      </c>
      <c r="FF153" s="8">
        <f t="shared" ref="FF153:FF154" si="1728">ABS(($A$99*2/($G3*$F$5))*$B$98*$F$98*(1-(FA$103^$F$98)/(($F$5/2)^$E$98)))</f>
        <v>14.657712411607047</v>
      </c>
      <c r="FG153" s="8">
        <f t="shared" ref="FG153:FG154" si="1729">ABS(($A$99*2/($G3*$F$5))*$B$98*$F$98*(1-(FB$103^$F$98)/(($F$5/2)^$E$98)))</f>
        <v>15.696764444477727</v>
      </c>
      <c r="FH153" s="8">
        <f t="shared" ref="FH153:FH154" si="1730">ABS(($A$99*2/($G3*$F$5))*$B$98*$F$98*(1-(FC$103^$F$98)/(($F$5/2)^$E$98)))</f>
        <v>16.802036087414383</v>
      </c>
      <c r="FI153" s="8">
        <f t="shared" ref="FI153:FI154" si="1731">ABS(($A$99*2/($G3*$F$5))*$B$98*$F$98*(1-(FD$103^$F$98)/(($F$5/2)^$E$98)))</f>
        <v>17.977285019890907</v>
      </c>
      <c r="FJ153" s="8">
        <f t="shared" ref="FJ153:FJ154" si="1732">ABS(($A$99*2/($G3*$F$5))*$B$98*$F$98*(1-(FE$103^$F$98)/(($F$5/2)^$E$98)))</f>
        <v>19.226456246321888</v>
      </c>
      <c r="FK153" s="8"/>
      <c r="FL153" s="8"/>
      <c r="FM153" s="8"/>
    </row>
    <row r="154" spans="7:356" x14ac:dyDescent="0.25">
      <c r="G154" s="8">
        <f t="shared" si="1573"/>
        <v>1.0578932370820665E-2</v>
      </c>
      <c r="H154" s="8">
        <f t="shared" si="1574"/>
        <v>1.0578932370820665E-2</v>
      </c>
      <c r="I154" s="8">
        <f t="shared" si="1575"/>
        <v>1.0578932370820665E-2</v>
      </c>
      <c r="J154" s="8">
        <f t="shared" si="1576"/>
        <v>1.057893237082066E-2</v>
      </c>
      <c r="K154" s="8">
        <f t="shared" si="1577"/>
        <v>1.0578932370820545E-2</v>
      </c>
      <c r="L154" s="8">
        <f t="shared" si="1578"/>
        <v>1.057893237081938E-2</v>
      </c>
      <c r="M154" s="8">
        <f t="shared" si="1579"/>
        <v>1.0578932370811723E-2</v>
      </c>
      <c r="N154" s="8">
        <f t="shared" si="1580"/>
        <v>1.0578932370774568E-2</v>
      </c>
      <c r="O154" s="8">
        <f t="shared" si="1581"/>
        <v>1.0578932370629852E-2</v>
      </c>
      <c r="P154" s="8">
        <f t="shared" si="1582"/>
        <v>1.0578932370152656E-2</v>
      </c>
      <c r="Q154" s="8">
        <f t="shared" si="1583"/>
        <v>1.0578932368771558E-2</v>
      </c>
      <c r="R154" s="8">
        <f t="shared" si="1584"/>
        <v>1.0578932365172433E-2</v>
      </c>
      <c r="S154" s="8">
        <f t="shared" si="1585"/>
        <v>1.0578932356567265E-2</v>
      </c>
      <c r="T154" s="8">
        <f t="shared" si="1586"/>
        <v>1.0578932337422076E-2</v>
      </c>
      <c r="U154" s="8">
        <f t="shared" si="1587"/>
        <v>1.0578932297349256E-2</v>
      </c>
      <c r="V154" s="8">
        <f t="shared" si="1588"/>
        <v>1.0578932217755603E-2</v>
      </c>
      <c r="W154" s="8">
        <f t="shared" si="1589"/>
        <v>1.0578932066694363E-2</v>
      </c>
      <c r="X154" s="8">
        <f t="shared" si="1590"/>
        <v>1.0578931791193041E-2</v>
      </c>
      <c r="Y154" s="8">
        <f t="shared" si="1591"/>
        <v>1.0578931306114541E-2</v>
      </c>
      <c r="Z154" s="8">
        <f t="shared" si="1592"/>
        <v>1.0578930478352231E-2</v>
      </c>
      <c r="AA154" s="8">
        <f t="shared" si="1593"/>
        <v>1.0578929104855361E-2</v>
      </c>
      <c r="AB154" s="8">
        <f t="shared" si="1594"/>
        <v>1.0578926882624301E-2</v>
      </c>
      <c r="AC154" s="8">
        <f t="shared" si="1595"/>
        <v>1.057892336840045E-2</v>
      </c>
      <c r="AD154" s="8">
        <f t="shared" si="1596"/>
        <v>1.0578917925297584E-2</v>
      </c>
      <c r="AE154" s="8">
        <f t="shared" si="1597"/>
        <v>1.0578909653074222E-2</v>
      </c>
      <c r="AF154" s="8">
        <f t="shared" si="1598"/>
        <v>1.0578897298124591E-2</v>
      </c>
      <c r="AG154" s="8">
        <f t="shared" si="1599"/>
        <v>1.0578879138562588E-2</v>
      </c>
      <c r="AH154" s="8">
        <f t="shared" si="1600"/>
        <v>1.057885283898276E-2</v>
      </c>
      <c r="AI154" s="8">
        <f t="shared" si="1601"/>
        <v>1.0578815268598166E-2</v>
      </c>
      <c r="AJ154" s="8">
        <f t="shared" si="1602"/>
        <v>1.0578762275470558E-2</v>
      </c>
      <c r="AK154" s="8">
        <f t="shared" si="1603"/>
        <v>1.0578688408456577E-2</v>
      </c>
      <c r="AL154" s="8">
        <f t="shared" si="1604"/>
        <v>1.0578586577288109E-2</v>
      </c>
      <c r="AM154" s="8">
        <f t="shared" si="1605"/>
        <v>1.0578447639877833E-2</v>
      </c>
      <c r="AN154" s="8">
        <f t="shared" si="1606"/>
        <v>1.0578259904485573E-2</v>
      </c>
      <c r="AO154" s="8">
        <f t="shared" si="1607"/>
        <v>1.0578008532789585E-2</v>
      </c>
      <c r="AP154" s="8">
        <f t="shared" si="1608"/>
        <v>1.0577674828171695E-2</v>
      </c>
      <c r="AQ154" s="8">
        <f t="shared" si="1609"/>
        <v>1.057723539163875E-2</v>
      </c>
      <c r="AR154" s="8">
        <f t="shared" si="1610"/>
        <v>1.0576661125756818E-2</v>
      </c>
      <c r="AS154" s="8">
        <f t="shared" si="1611"/>
        <v>1.0575916064761203E-2</v>
      </c>
      <c r="AT154" s="8">
        <f t="shared" si="1612"/>
        <v>1.0574956006616138E-2</v>
      </c>
      <c r="AU154" s="8">
        <f t="shared" si="1613"/>
        <v>1.0573726920224714E-2</v>
      </c>
      <c r="AV154" s="8">
        <f t="shared" si="1614"/>
        <v>1.0572163098223461E-2</v>
      </c>
      <c r="AW154" s="8">
        <f t="shared" si="1615"/>
        <v>1.057018502282848E-2</v>
      </c>
      <c r="AX154" s="8">
        <f t="shared" si="1616"/>
        <v>1.056769690902213E-2</v>
      </c>
      <c r="AY154" s="8">
        <f t="shared" si="1617"/>
        <v>1.0564583885972003E-2</v>
      </c>
      <c r="AZ154" s="8">
        <f t="shared" si="1618"/>
        <v>1.0560708773948152E-2</v>
      </c>
      <c r="BA154" s="8">
        <f t="shared" si="1619"/>
        <v>1.0555908410140879E-2</v>
      </c>
      <c r="BB154" s="8">
        <f t="shared" si="1620"/>
        <v>1.0549989472670494E-2</v>
      </c>
      <c r="BC154" s="8">
        <f t="shared" si="1621"/>
        <v>1.0542723747712592E-2</v>
      </c>
      <c r="BD154" s="8">
        <f t="shared" si="1622"/>
        <v>1.0533842780027907E-2</v>
      </c>
      <c r="BE154" s="8">
        <f t="shared" si="1623"/>
        <v>1.0523031842274797E-2</v>
      </c>
      <c r="BF154" s="8">
        <f t="shared" si="1624"/>
        <v>1.0509923153284811E-2</v>
      </c>
      <c r="BG154" s="8">
        <f t="shared" si="1625"/>
        <v>1.0494088269987503E-2</v>
      </c>
      <c r="BH154" s="8">
        <f t="shared" si="1626"/>
        <v>1.0475029571869344E-2</v>
      </c>
      <c r="BI154" s="8">
        <f t="shared" si="1627"/>
        <v>1.0452170750732766E-2</v>
      </c>
      <c r="BJ154" s="8">
        <f t="shared" si="1628"/>
        <v>1.0424846212074587E-2</v>
      </c>
      <c r="BK154" s="8">
        <f t="shared" si="1629"/>
        <v>1.0392289287617524E-2</v>
      </c>
      <c r="BL154" s="8">
        <f t="shared" si="1630"/>
        <v>1.0353619151393337E-2</v>
      </c>
      <c r="BM154" s="8">
        <f t="shared" si="1631"/>
        <v>1.0307826324280464E-2</v>
      </c>
      <c r="BN154" s="8">
        <f t="shared" si="1632"/>
        <v>1.0253756644031784E-2</v>
      </c>
      <c r="BO154" s="8">
        <f t="shared" si="1633"/>
        <v>1.0190093569577634E-2</v>
      </c>
      <c r="BP154" s="8">
        <f t="shared" si="1634"/>
        <v>1.0115338679745161E-2</v>
      </c>
      <c r="BQ154" s="8">
        <f t="shared" si="1635"/>
        <v>1.0027790217484305E-2</v>
      </c>
      <c r="BR154" s="8">
        <f t="shared" si="1636"/>
        <v>9.9255195212236361E-3</v>
      </c>
      <c r="BS154" s="8">
        <f t="shared" si="1637"/>
        <v>9.8063451750821373E-3</v>
      </c>
      <c r="BT154" s="8">
        <f t="shared" si="1638"/>
        <v>9.6678046993253549E-3</v>
      </c>
      <c r="BU154" s="8">
        <f t="shared" si="1639"/>
        <v>9.50712359166383E-3</v>
      </c>
      <c r="BV154" s="8">
        <f t="shared" si="1640"/>
        <v>9.3211815187354465E-3</v>
      </c>
      <c r="BW154" s="8">
        <f t="shared" si="1641"/>
        <v>9.1064754453804801E-3</v>
      </c>
      <c r="BX154" s="8">
        <f t="shared" si="1642"/>
        <v>8.8590794770945416E-3</v>
      </c>
      <c r="BY154" s="8">
        <f t="shared" si="1643"/>
        <v>8.5746011783199901E-3</v>
      </c>
      <c r="BZ154" s="8">
        <f t="shared" si="1644"/>
        <v>8.2481341159955247E-3</v>
      </c>
      <c r="CA154" s="8">
        <f t="shared" si="1645"/>
        <v>7.8742063640163205E-3</v>
      </c>
      <c r="CB154" s="8">
        <f t="shared" si="1646"/>
        <v>7.4467246899485072E-3</v>
      </c>
      <c r="CC154" s="8">
        <f t="shared" si="1647"/>
        <v>6.9589141304799516E-3</v>
      </c>
      <c r="CD154" s="8">
        <f t="shared" si="1648"/>
        <v>6.403252646661064E-3</v>
      </c>
      <c r="CE154" s="8">
        <f t="shared" si="1649"/>
        <v>5.7714005339813525E-3</v>
      </c>
      <c r="CF154" s="8">
        <f t="shared" si="1650"/>
        <v>5.0541242457245944E-3</v>
      </c>
      <c r="CG154" s="8">
        <f t="shared" si="1651"/>
        <v>4.2412142708407406E-3</v>
      </c>
      <c r="CH154" s="8">
        <f t="shared" si="1652"/>
        <v>3.3213966897405931E-3</v>
      </c>
      <c r="CI154" s="8">
        <f t="shared" si="1653"/>
        <v>2.2822380129592403E-3</v>
      </c>
      <c r="CJ154" s="8">
        <f t="shared" si="1654"/>
        <v>1.110042888526246E-3</v>
      </c>
      <c r="CK154" s="8">
        <f t="shared" si="1655"/>
        <v>2.1025575589619797E-4</v>
      </c>
      <c r="CL154" s="8">
        <f t="shared" si="1656"/>
        <v>1.6952145904861769E-3</v>
      </c>
      <c r="CM154" s="8">
        <f t="shared" si="1657"/>
        <v>3.3630062558685694E-3</v>
      </c>
      <c r="CN154" s="8">
        <f t="shared" si="1658"/>
        <v>5.2335547282123442E-3</v>
      </c>
      <c r="CO154" s="8">
        <f t="shared" si="1659"/>
        <v>7.3286801967421553E-3</v>
      </c>
      <c r="CP154" s="8">
        <f t="shared" si="1660"/>
        <v>9.6722539968733569E-3</v>
      </c>
      <c r="CQ154" s="8">
        <f t="shared" si="1661"/>
        <v>1.2290364166226621E-2</v>
      </c>
      <c r="CR154" s="8">
        <f t="shared" si="1662"/>
        <v>1.5211492215573497E-2</v>
      </c>
      <c r="CS154" s="8">
        <f t="shared" si="1663"/>
        <v>1.8466701732348736E-2</v>
      </c>
      <c r="CT154" s="8">
        <f t="shared" si="1664"/>
        <v>2.2089839460739349E-2</v>
      </c>
      <c r="CU154" s="8">
        <f t="shared" si="1665"/>
        <v>2.611774952952953E-2</v>
      </c>
      <c r="CV154" s="8">
        <f t="shared" si="1666"/>
        <v>3.0590501526892064E-2</v>
      </c>
      <c r="CW154" s="8">
        <f t="shared" si="1667"/>
        <v>3.5551633150147713E-2</v>
      </c>
      <c r="CX154" s="8">
        <f t="shared" si="1668"/>
        <v>4.1048408188216479E-2</v>
      </c>
      <c r="CY154" s="8">
        <f t="shared" si="1669"/>
        <v>4.7132090625027816E-2</v>
      </c>
      <c r="CZ154" s="8">
        <f t="shared" si="1670"/>
        <v>5.385823568362217E-2</v>
      </c>
      <c r="DA154" s="8">
        <f t="shared" si="1671"/>
        <v>6.1286998662995189E-2</v>
      </c>
      <c r="DB154" s="8">
        <f t="shared" si="1672"/>
        <v>6.9483462453034675E-2</v>
      </c>
      <c r="DC154" s="8">
        <f t="shared" si="1673"/>
        <v>7.8517984647030054E-2</v>
      </c>
      <c r="DD154" s="8">
        <f t="shared" si="1674"/>
        <v>8.8466565206450146E-2</v>
      </c>
      <c r="DE154" s="8">
        <f t="shared" si="1675"/>
        <v>9.9411235668715681E-2</v>
      </c>
      <c r="DF154" s="8">
        <f t="shared" si="1676"/>
        <v>0.1114404709258295</v>
      </c>
      <c r="DG154" s="8">
        <f t="shared" si="1677"/>
        <v>0.1246496246397618</v>
      </c>
      <c r="DH154" s="8">
        <f t="shared" si="1678"/>
        <v>0.1391413893996325</v>
      </c>
      <c r="DI154" s="8">
        <f t="shared" si="1679"/>
        <v>0.15502628276578595</v>
      </c>
      <c r="DJ154" s="8">
        <f t="shared" si="1680"/>
        <v>0.17242316038709041</v>
      </c>
      <c r="DK154" s="8">
        <f t="shared" si="1681"/>
        <v>0.19145975741997509</v>
      </c>
      <c r="DL154" s="8">
        <f t="shared" si="1682"/>
        <v>0.21227325952103104</v>
      </c>
      <c r="DM154" s="8">
        <f t="shared" si="1683"/>
        <v>0.23501090472945352</v>
      </c>
      <c r="DN154" s="8">
        <f t="shared" si="1684"/>
        <v>0.25983061760106541</v>
      </c>
      <c r="DO154" s="8">
        <f t="shared" si="1685"/>
        <v>0.28690167700233188</v>
      </c>
      <c r="DP154" s="8">
        <f t="shared" si="1686"/>
        <v>0.31640541902060376</v>
      </c>
      <c r="DQ154" s="8">
        <f t="shared" si="1687"/>
        <v>0.34853597649573753</v>
      </c>
      <c r="DR154" s="8">
        <f t="shared" si="1688"/>
        <v>0.38350105672845014</v>
      </c>
      <c r="DS154" s="8">
        <f t="shared" si="1689"/>
        <v>0.42152275897204861</v>
      </c>
      <c r="DT154" s="8">
        <f t="shared" si="1690"/>
        <v>0.46283843336679642</v>
      </c>
      <c r="DU154" s="8">
        <f t="shared" si="1691"/>
        <v>0.50770158302996471</v>
      </c>
      <c r="DV154" s="8">
        <f t="shared" si="1692"/>
        <v>0.55638281106960452</v>
      </c>
      <c r="DW154" s="8">
        <f t="shared" si="1693"/>
        <v>0.60917081434659848</v>
      </c>
      <c r="DX154" s="8">
        <f t="shared" si="1694"/>
        <v>0.66637342586683057</v>
      </c>
      <c r="DY154" s="8">
        <f t="shared" si="1695"/>
        <v>0.72831870774473562</v>
      </c>
      <c r="DZ154" s="8">
        <f t="shared" si="1696"/>
        <v>0.79535609673911256</v>
      </c>
      <c r="EA154" s="8">
        <f t="shared" si="1697"/>
        <v>0.86785760442432114</v>
      </c>
      <c r="EB154" s="8">
        <f t="shared" si="1698"/>
        <v>0.94621907412246331</v>
      </c>
      <c r="EC154" s="8">
        <f t="shared" si="1699"/>
        <v>1.0308614967867569</v>
      </c>
      <c r="ED154" s="8">
        <f t="shared" si="1700"/>
        <v>1.1222323880919842</v>
      </c>
      <c r="EE154" s="8">
        <f t="shared" si="1701"/>
        <v>1.2208072290549852</v>
      </c>
      <c r="EF154" s="8">
        <f t="shared" si="1702"/>
        <v>1.3270909725768747</v>
      </c>
      <c r="EG154" s="8">
        <f t="shared" si="1703"/>
        <v>1.4416196183687531</v>
      </c>
      <c r="EH154" s="8">
        <f t="shared" si="1704"/>
        <v>1.5649618587939838</v>
      </c>
      <c r="EI154" s="8">
        <f t="shared" si="1705"/>
        <v>1.697720798233445</v>
      </c>
      <c r="EJ154" s="8">
        <f t="shared" si="1706"/>
        <v>1.8405357486545499</v>
      </c>
      <c r="EK154" s="8">
        <f t="shared" si="1707"/>
        <v>1.9940841041408757</v>
      </c>
      <c r="EL154" s="8">
        <f t="shared" si="1708"/>
        <v>2.1590832972169709</v>
      </c>
      <c r="EM154" s="8">
        <f t="shared" si="1709"/>
        <v>2.3362928398818927</v>
      </c>
      <c r="EN154" s="8">
        <f t="shared" si="1710"/>
        <v>2.5265164523467205</v>
      </c>
      <c r="EO154" s="8">
        <f t="shared" si="1711"/>
        <v>2.7306042825516528</v>
      </c>
      <c r="EP154" s="8">
        <f t="shared" si="1712"/>
        <v>2.9494552196252424</v>
      </c>
      <c r="EQ154" s="8">
        <f t="shared" si="1713"/>
        <v>3.1840193045312466</v>
      </c>
      <c r="ER154" s="8">
        <f t="shared" si="1714"/>
        <v>3.4353002412378753</v>
      </c>
      <c r="ES154" s="8">
        <f t="shared" si="1715"/>
        <v>3.7043580118320327</v>
      </c>
      <c r="ET154" s="8">
        <f t="shared" si="1716"/>
        <v>3.9923115990931546</v>
      </c>
      <c r="EU154" s="8">
        <f t="shared" si="1717"/>
        <v>4.3003418201322852</v>
      </c>
      <c r="EV154" s="8">
        <f t="shared" si="1718"/>
        <v>4.6296942747975187</v>
      </c>
      <c r="EW154" s="8">
        <f t="shared" si="1719"/>
        <v>4.9816824126424413</v>
      </c>
      <c r="EX154" s="8">
        <f t="shared" si="1720"/>
        <v>5.3576907223521637</v>
      </c>
      <c r="EY154" s="8">
        <f t="shared" si="1721"/>
        <v>5.7591780476209173</v>
      </c>
      <c r="EZ154" s="8">
        <f t="shared" si="1722"/>
        <v>6.1876810335770118</v>
      </c>
      <c r="FA154" s="8">
        <f t="shared" si="1723"/>
        <v>6.6448177079543695</v>
      </c>
      <c r="FB154" s="8">
        <f t="shared" si="1724"/>
        <v>7.1322912013145201</v>
      </c>
      <c r="FC154" s="8">
        <f t="shared" si="1725"/>
        <v>7.6518936107303483</v>
      </c>
      <c r="FD154" s="8">
        <f t="shared" si="1726"/>
        <v>8.2055100114527946</v>
      </c>
      <c r="FE154" s="8">
        <f t="shared" si="1727"/>
        <v>8.7951226211903837</v>
      </c>
      <c r="FF154" s="8">
        <f t="shared" si="1728"/>
        <v>9.4228151217473854</v>
      </c>
      <c r="FG154" s="8">
        <f t="shared" si="1729"/>
        <v>10.090777142878537</v>
      </c>
      <c r="FH154" s="8">
        <f t="shared" si="1730"/>
        <v>10.801308913337815</v>
      </c>
      <c r="FI154" s="8">
        <f t="shared" si="1731"/>
        <v>11.556826084215579</v>
      </c>
      <c r="FJ154" s="8">
        <f t="shared" si="1732"/>
        <v>12.359864729778353</v>
      </c>
    </row>
    <row r="161" spans="1:30" x14ac:dyDescent="0.25">
      <c r="Q161" t="s">
        <v>196</v>
      </c>
    </row>
    <row r="162" spans="1:30" x14ac:dyDescent="0.25">
      <c r="C162" t="s">
        <v>187</v>
      </c>
      <c r="V162" t="s">
        <v>192</v>
      </c>
    </row>
    <row r="163" spans="1:30" x14ac:dyDescent="0.25">
      <c r="C163">
        <f>0.012</f>
        <v>1.2E-2</v>
      </c>
      <c r="D163">
        <f>0.027</f>
        <v>2.7E-2</v>
      </c>
      <c r="E163">
        <f>0.042</f>
        <v>4.2000000000000003E-2</v>
      </c>
      <c r="H163" t="s">
        <v>190</v>
      </c>
      <c r="M163" t="s">
        <v>189</v>
      </c>
      <c r="Q163" t="s">
        <v>191</v>
      </c>
      <c r="V163" s="8"/>
      <c r="W163" s="8"/>
      <c r="X163" s="8"/>
      <c r="Y163" s="8"/>
      <c r="AB163" t="s">
        <v>193</v>
      </c>
    </row>
    <row r="164" spans="1:30" x14ac:dyDescent="0.25">
      <c r="A164" t="s">
        <v>194</v>
      </c>
      <c r="D164" t="s">
        <v>188</v>
      </c>
      <c r="H164">
        <v>12</v>
      </c>
      <c r="I164">
        <v>27</v>
      </c>
      <c r="J164">
        <v>42</v>
      </c>
      <c r="L164" s="8"/>
      <c r="M164" s="8">
        <v>12</v>
      </c>
      <c r="N164" s="8">
        <v>27</v>
      </c>
      <c r="O164" s="8">
        <v>42</v>
      </c>
      <c r="Q164" s="8"/>
      <c r="R164" s="8">
        <v>12</v>
      </c>
      <c r="S164" s="8">
        <v>27</v>
      </c>
      <c r="T164" s="8">
        <v>42</v>
      </c>
      <c r="V164" s="8"/>
      <c r="W164" s="8">
        <v>12</v>
      </c>
      <c r="X164" s="8">
        <v>27</v>
      </c>
      <c r="Y164" s="8">
        <v>42</v>
      </c>
      <c r="AB164">
        <f>SUM(W165:Y168)/12</f>
        <v>1.4495844895168912E-2</v>
      </c>
    </row>
    <row r="165" spans="1:30" x14ac:dyDescent="0.25">
      <c r="A165" t="s">
        <v>186</v>
      </c>
      <c r="D165">
        <f>F2/2</f>
        <v>1.4999999999999999E-4</v>
      </c>
      <c r="G165">
        <v>0.3</v>
      </c>
      <c r="H165">
        <f>-C$163/($A$166*SQRT(2)) + ($D165/(2*$A$166))*(2*(C$163/$D165)^2 +4*$A$166^2)^0.5</f>
        <v>4.3213771068310175E-5</v>
      </c>
      <c r="I165" s="8">
        <f t="shared" ref="I165:J165" si="1733">-D$163/($A$166*SQRT(2)) + ($D165/(2*$A$166))*(2*(D$163/$D165)^2 +4*$A$166^2)^0.5</f>
        <v>2.0551288616332927E-5</v>
      </c>
      <c r="J165" s="8">
        <f t="shared" si="1733"/>
        <v>1.3357514842711189E-5</v>
      </c>
      <c r="L165" s="8">
        <v>0.3</v>
      </c>
      <c r="M165" s="8">
        <f>H165/$D165</f>
        <v>0.28809180712206783</v>
      </c>
      <c r="N165" s="8">
        <f t="shared" ref="N165:O165" si="1734">I165/$D165</f>
        <v>0.13700859077555286</v>
      </c>
      <c r="O165" s="8">
        <f t="shared" si="1734"/>
        <v>8.9050098951407933E-2</v>
      </c>
      <c r="P165" t="s">
        <v>202</v>
      </c>
      <c r="Q165" s="8">
        <v>0.3</v>
      </c>
      <c r="R165" s="8">
        <f>R200</f>
        <v>0.32</v>
      </c>
      <c r="S165" s="8">
        <f t="shared" ref="S165:T165" si="1735">S200</f>
        <v>0.1</v>
      </c>
      <c r="T165" s="8">
        <f t="shared" si="1735"/>
        <v>0</v>
      </c>
      <c r="V165" s="8">
        <v>0.3</v>
      </c>
      <c r="W165" s="8">
        <f>(R165-M165)^2</f>
        <v>1.0181327727353214E-3</v>
      </c>
      <c r="X165" s="8">
        <f t="shared" ref="X165" si="1736">(S165-N165)^2</f>
        <v>1.3696357911923357E-3</v>
      </c>
      <c r="Y165" s="8">
        <f>(T165-O165)^2</f>
        <v>7.9299201232555447E-3</v>
      </c>
    </row>
    <row r="166" spans="1:30" x14ac:dyDescent="0.25">
      <c r="A166">
        <v>35.543900438313962</v>
      </c>
      <c r="C166" s="8"/>
      <c r="D166" s="8">
        <f t="shared" ref="D166:D168" si="1737">F3/2</f>
        <v>2.5000000000000001E-4</v>
      </c>
      <c r="G166">
        <v>0.5</v>
      </c>
      <c r="H166" s="8">
        <f t="shared" ref="H166:H168" si="1738">-C$163/($A$166*SQRT(2)) + ($D166/(2*$A$166))*(2*(C$163/$D166)^2 +4*$A$166^2)^0.5</f>
        <v>1.0694715977128174E-4</v>
      </c>
      <c r="I166" s="8">
        <f t="shared" ref="I166:I168" si="1739">-D$163/($A$166*SQRT(2)) + ($D166/(2*$A$166))*(2*(D$163/$D166)^2 +4*$A$166^2)^0.5</f>
        <v>5.5329325244144996E-5</v>
      </c>
      <c r="J166" s="8">
        <f t="shared" ref="J166:J168" si="1740">-E$163/($A$166*SQRT(2)) + ($D166/(2*$A$166))*(2*(E$163/$D166)^2 +4*$A$166^2)^0.5</f>
        <v>3.6599217759192195E-5</v>
      </c>
      <c r="L166" s="8">
        <v>0.5</v>
      </c>
      <c r="M166" s="8">
        <f t="shared" ref="M166:M168" si="1741">H166/$D166</f>
        <v>0.42778863908512693</v>
      </c>
      <c r="N166" s="8">
        <f t="shared" ref="N166:N168" si="1742">I166/$D166</f>
        <v>0.22131730097657998</v>
      </c>
      <c r="O166" s="8">
        <f t="shared" ref="O166:O168" si="1743">J166/$D166</f>
        <v>0.14639687103676877</v>
      </c>
      <c r="P166" t="s">
        <v>203</v>
      </c>
      <c r="Q166" s="8">
        <v>0.5</v>
      </c>
      <c r="R166" s="8">
        <f t="shared" ref="R166:T166" si="1744">R201</f>
        <v>0.35526315789473684</v>
      </c>
      <c r="S166" s="8">
        <f t="shared" si="1744"/>
        <v>0.30303030303030304</v>
      </c>
      <c r="T166" s="8">
        <f t="shared" si="1744"/>
        <v>4.2253521126760563E-2</v>
      </c>
      <c r="V166" s="8">
        <v>0.5</v>
      </c>
      <c r="W166" s="8">
        <f t="shared" ref="W166:W168" si="1745">(R166-M166)^2</f>
        <v>5.2599454218976273E-3</v>
      </c>
      <c r="X166" s="8">
        <f t="shared" ref="X166:X168" si="1746">(S166-N166)^2</f>
        <v>6.677014704631749E-3</v>
      </c>
      <c r="Y166" s="8">
        <f>(T166-O166)^2</f>
        <v>1.0845837330478406E-2</v>
      </c>
    </row>
    <row r="167" spans="1:30" x14ac:dyDescent="0.25">
      <c r="C167" s="8"/>
      <c r="D167" s="8">
        <f t="shared" si="1737"/>
        <v>5.0000000000000001E-4</v>
      </c>
      <c r="G167">
        <v>1</v>
      </c>
      <c r="H167" s="8">
        <f t="shared" si="1738"/>
        <v>3.1534042447917658E-4</v>
      </c>
      <c r="I167" s="8">
        <f t="shared" si="1739"/>
        <v>1.967000605585385E-4</v>
      </c>
      <c r="J167" s="8">
        <f t="shared" si="1740"/>
        <v>1.3817764279851642E-4</v>
      </c>
      <c r="L167" s="8">
        <v>1</v>
      </c>
      <c r="M167" s="8">
        <f t="shared" si="1741"/>
        <v>0.63068084895835319</v>
      </c>
      <c r="N167" s="8">
        <f t="shared" si="1742"/>
        <v>0.39340012111707701</v>
      </c>
      <c r="O167" s="8">
        <f t="shared" si="1743"/>
        <v>0.27635528559703282</v>
      </c>
      <c r="P167" t="s">
        <v>204</v>
      </c>
      <c r="Q167" s="8">
        <v>1</v>
      </c>
      <c r="R167" s="8">
        <f t="shared" ref="R167:T167" si="1747">R202</f>
        <v>0.40229885057471265</v>
      </c>
      <c r="S167" s="8">
        <f t="shared" si="1747"/>
        <v>0.41111111111111109</v>
      </c>
      <c r="T167" s="8">
        <f t="shared" si="1747"/>
        <v>0.39080459770114945</v>
      </c>
      <c r="V167" s="8">
        <v>1</v>
      </c>
      <c r="W167" s="8">
        <f t="shared" si="1745"/>
        <v>5.2158337185705186E-2</v>
      </c>
      <c r="X167" s="8">
        <f t="shared" si="1746"/>
        <v>3.1367916656877557E-4</v>
      </c>
      <c r="Y167" s="8">
        <f t="shared" ref="Y167:Y168" si="1748">(T167-O167)^2</f>
        <v>1.3098645041105497E-2</v>
      </c>
    </row>
    <row r="168" spans="1:30" x14ac:dyDescent="0.25">
      <c r="D168" s="8">
        <f t="shared" si="1737"/>
        <v>8.0000000000000004E-4</v>
      </c>
      <c r="G168">
        <v>1.6</v>
      </c>
      <c r="H168" s="8">
        <f t="shared" si="1738"/>
        <v>5.9613276482830971E-4</v>
      </c>
      <c r="I168" s="8">
        <f t="shared" si="1739"/>
        <v>4.2645919111006909E-4</v>
      </c>
      <c r="J168" s="8">
        <f t="shared" si="1740"/>
        <v>3.2123338541937098E-4</v>
      </c>
      <c r="L168" s="8">
        <v>1.6</v>
      </c>
      <c r="M168" s="8">
        <f t="shared" si="1741"/>
        <v>0.74516595603538716</v>
      </c>
      <c r="N168" s="8">
        <f t="shared" si="1742"/>
        <v>0.53307398888758628</v>
      </c>
      <c r="O168" s="8">
        <f t="shared" si="1743"/>
        <v>0.40154173177421371</v>
      </c>
      <c r="P168" t="s">
        <v>205</v>
      </c>
      <c r="Q168" s="8">
        <v>1.6</v>
      </c>
      <c r="R168" s="8">
        <f t="shared" ref="R168:T168" si="1749">R203</f>
        <v>0.58857142857142852</v>
      </c>
      <c r="S168" s="8">
        <f t="shared" si="1749"/>
        <v>0.62962962962962965</v>
      </c>
      <c r="T168" s="8">
        <f t="shared" si="1749"/>
        <v>0.60509554140127386</v>
      </c>
      <c r="V168" s="8">
        <v>1.6</v>
      </c>
      <c r="W168" s="8">
        <f t="shared" si="1745"/>
        <v>2.4521846031660494E-2</v>
      </c>
      <c r="X168" s="8">
        <f t="shared" si="1746"/>
        <v>9.3229917591065459E-3</v>
      </c>
      <c r="Y168" s="8">
        <f t="shared" si="1748"/>
        <v>4.1434153413689445E-2</v>
      </c>
    </row>
    <row r="169" spans="1:30" x14ac:dyDescent="0.25">
      <c r="D169" s="8"/>
    </row>
    <row r="170" spans="1:30" x14ac:dyDescent="0.25">
      <c r="D170" s="8"/>
    </row>
    <row r="172" spans="1:30" x14ac:dyDescent="0.25">
      <c r="A172" s="1"/>
      <c r="B172" s="1"/>
      <c r="C172" s="1" t="s">
        <v>187</v>
      </c>
      <c r="D172" s="1"/>
      <c r="E172" s="1"/>
      <c r="F172" s="1"/>
      <c r="G172" s="1"/>
      <c r="H172" s="1"/>
      <c r="I172" s="1" t="s">
        <v>214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192</v>
      </c>
      <c r="W172" s="1"/>
      <c r="X172" s="1"/>
      <c r="Y172" s="1"/>
      <c r="Z172" s="1"/>
      <c r="AA172" s="1"/>
      <c r="AB172" s="1"/>
      <c r="AC172" s="1"/>
      <c r="AD172" s="1"/>
    </row>
    <row r="173" spans="1:30" x14ac:dyDescent="0.25">
      <c r="A173" s="1"/>
      <c r="B173" s="1"/>
      <c r="C173" s="1">
        <f>0.012</f>
        <v>1.2E-2</v>
      </c>
      <c r="D173" s="1">
        <f>0.027</f>
        <v>2.7E-2</v>
      </c>
      <c r="E173" s="1">
        <f>0.042</f>
        <v>4.2000000000000003E-2</v>
      </c>
      <c r="F173" s="1"/>
      <c r="G173" s="1"/>
      <c r="H173" s="1" t="s">
        <v>190</v>
      </c>
      <c r="I173" s="1"/>
      <c r="J173" s="1"/>
      <c r="K173" s="1"/>
      <c r="L173" s="1"/>
      <c r="M173" s="1" t="s">
        <v>189</v>
      </c>
      <c r="N173" s="1"/>
      <c r="O173" s="1"/>
      <c r="P173" s="1"/>
      <c r="Q173" s="1" t="s">
        <v>191</v>
      </c>
      <c r="R173" s="1"/>
      <c r="S173" s="1"/>
      <c r="T173" s="1"/>
      <c r="U173" s="1"/>
      <c r="V173" s="1"/>
      <c r="W173" s="1"/>
      <c r="X173" s="1"/>
      <c r="Y173" s="1"/>
      <c r="Z173" s="1"/>
      <c r="AA173" s="1" t="s">
        <v>193</v>
      </c>
      <c r="AB173" s="1"/>
      <c r="AC173" s="1"/>
      <c r="AD173" s="1"/>
    </row>
    <row r="174" spans="1:30" x14ac:dyDescent="0.25">
      <c r="A174" s="1" t="s">
        <v>194</v>
      </c>
      <c r="B174" s="1"/>
      <c r="C174" s="1"/>
      <c r="D174" s="1" t="s">
        <v>188</v>
      </c>
      <c r="E174" s="1"/>
      <c r="F174" s="1"/>
      <c r="G174" s="1"/>
      <c r="H174" s="1">
        <v>12</v>
      </c>
      <c r="I174" s="1">
        <v>27</v>
      </c>
      <c r="J174" s="1">
        <v>42</v>
      </c>
      <c r="K174" s="1"/>
      <c r="L174" s="1"/>
      <c r="M174" s="1">
        <v>12</v>
      </c>
      <c r="N174" s="1">
        <v>27</v>
      </c>
      <c r="O174" s="1">
        <v>42</v>
      </c>
      <c r="P174" s="1"/>
      <c r="Q174" s="1"/>
      <c r="R174" s="1">
        <v>12</v>
      </c>
      <c r="S174" s="1">
        <v>27</v>
      </c>
      <c r="T174" s="1">
        <v>42</v>
      </c>
      <c r="U174" s="1"/>
      <c r="V174" s="1"/>
      <c r="W174" s="1">
        <v>12</v>
      </c>
      <c r="X174" s="1">
        <v>27</v>
      </c>
      <c r="Y174" s="1">
        <v>42</v>
      </c>
      <c r="Z174" s="1"/>
      <c r="AA174" s="1">
        <f>SUM(W175:Y175)/3</f>
        <v>3.348772117825066E-3</v>
      </c>
      <c r="AB174" s="1"/>
      <c r="AC174" s="1"/>
      <c r="AD174" s="1"/>
    </row>
    <row r="175" spans="1:30" x14ac:dyDescent="0.25">
      <c r="A175" s="1" t="s">
        <v>186</v>
      </c>
      <c r="B175" s="1"/>
      <c r="C175" s="1"/>
      <c r="D175" s="1">
        <f>D165</f>
        <v>1.4999999999999999E-4</v>
      </c>
      <c r="E175" s="1"/>
      <c r="F175" s="1"/>
      <c r="G175" s="1">
        <v>0.3</v>
      </c>
      <c r="H175" s="1">
        <f>-C$163/($A176*SQRT(2)) + ($D175/(2*$A176))*(2*(C$163/$D175)^2 +4*$A176^2)^0.5</f>
        <v>4.1183081973975326E-5</v>
      </c>
      <c r="I175" s="1">
        <f>-D$163/($A176*SQRT(2)) + ($D175/(2*$A176))*(2*(D$163/$D175)^2 +4*$A176^2)^0.5</f>
        <v>1.9462531237212678E-5</v>
      </c>
      <c r="J175" s="1">
        <f>-E$163/($A176*SQRT(2)) + ($D175/(2*$A176))*(2*(E$163/$D175)^2 +4*$A176^2)^0.5</f>
        <v>1.2635567321515602E-5</v>
      </c>
      <c r="K175" s="1"/>
      <c r="L175" s="1">
        <v>0.3</v>
      </c>
      <c r="M175" s="1">
        <f>H175/$D175</f>
        <v>0.2745538798265022</v>
      </c>
      <c r="N175" s="1">
        <f>I175/$D175</f>
        <v>0.12975020824808453</v>
      </c>
      <c r="O175" s="1">
        <f t="shared" ref="O175:O178" si="1750">J175/$D175</f>
        <v>8.423711547677068E-2</v>
      </c>
      <c r="P175" s="1"/>
      <c r="Q175" s="1">
        <v>0.3</v>
      </c>
      <c r="R175" s="1">
        <f>R165</f>
        <v>0.32</v>
      </c>
      <c r="S175" s="1">
        <f t="shared" ref="S175:T175" si="1751">S165</f>
        <v>0.1</v>
      </c>
      <c r="T175" s="1">
        <f t="shared" si="1751"/>
        <v>0</v>
      </c>
      <c r="U175" s="1"/>
      <c r="V175" s="1">
        <v>0.3</v>
      </c>
      <c r="W175" s="1">
        <f>(R175-M175)^2</f>
        <v>2.0653498388240044E-3</v>
      </c>
      <c r="X175" s="1">
        <f>(S175-N175)^2</f>
        <v>8.8507489080439652E-4</v>
      </c>
      <c r="Y175" s="1">
        <f>(T175-O175)^2</f>
        <v>7.095891623846798E-3</v>
      </c>
      <c r="Z175" s="1"/>
      <c r="AA175" s="1">
        <f>SUM(W176:Y176)/3</f>
        <v>6.6985382690163296E-3</v>
      </c>
      <c r="AB175" s="1"/>
      <c r="AC175" s="1"/>
      <c r="AD175" s="1"/>
    </row>
    <row r="176" spans="1:30" x14ac:dyDescent="0.25">
      <c r="A176" s="1">
        <v>33.594579420197043</v>
      </c>
      <c r="B176" s="1"/>
      <c r="C176" s="1"/>
      <c r="D176" s="1">
        <f t="shared" ref="D176:D178" si="1752">D166</f>
        <v>2.5000000000000001E-4</v>
      </c>
      <c r="E176" s="1"/>
      <c r="F176" s="1"/>
      <c r="G176" s="1">
        <v>0.5</v>
      </c>
      <c r="H176" s="1">
        <f>-C$163/($A177*SQRT(2)) + ($D176/(2*$A177))*(2*(C$163/$D176)^2 +4*$A177^2)^0.5</f>
        <v>9.6676107538243143E-5</v>
      </c>
      <c r="I176" s="1">
        <f t="shared" ref="I176:I178" si="1753">-D$163/($A177*SQRT(2)) + ($D176/(2*$A177))*(2*(D$163/$D176)^2 +4*$A177^2)^0.5</f>
        <v>4.8612025533847892E-5</v>
      </c>
      <c r="J176" s="1">
        <f t="shared" ref="J176:J178" si="1754">-E$163/($A177*SQRT(2)) + ($D176/(2*$A177))*(2*(E$163/$D176)^2 +4*$A177^2)^0.5</f>
        <v>3.1948197989952192E-5</v>
      </c>
      <c r="K176" s="1"/>
      <c r="L176" s="1">
        <v>0.5</v>
      </c>
      <c r="M176" s="1">
        <f>H176/$D176</f>
        <v>0.38670443015297257</v>
      </c>
      <c r="N176" s="1">
        <f t="shared" ref="N176:N178" si="1755">I176/$D176</f>
        <v>0.19444810213539157</v>
      </c>
      <c r="O176" s="1">
        <f t="shared" si="1750"/>
        <v>0.12779279195980878</v>
      </c>
      <c r="P176" s="1"/>
      <c r="Q176" s="1">
        <v>0.5</v>
      </c>
      <c r="R176" s="1">
        <f t="shared" ref="R176:T176" si="1756">R166</f>
        <v>0.35526315789473684</v>
      </c>
      <c r="S176" s="1">
        <f t="shared" si="1756"/>
        <v>0.30303030303030304</v>
      </c>
      <c r="T176" s="1">
        <f t="shared" si="1756"/>
        <v>4.2253521126760563E-2</v>
      </c>
      <c r="U176" s="1"/>
      <c r="V176" s="1">
        <v>0.5</v>
      </c>
      <c r="W176" s="1">
        <f t="shared" ref="W176:W178" si="1757">(R176-M176)^2</f>
        <v>9.8855360121650375E-4</v>
      </c>
      <c r="X176" s="1">
        <f t="shared" ref="X176:X178" si="1758">(S176-N176)^2</f>
        <v>1.1790094351182914E-2</v>
      </c>
      <c r="Y176" s="1">
        <f>(T176-O176)^2</f>
        <v>7.3169668546495727E-3</v>
      </c>
      <c r="Z176" s="1"/>
      <c r="AA176" s="1">
        <f>SUM(W177:Y177)/3</f>
        <v>2.0086711145192046E-2</v>
      </c>
      <c r="AB176" s="1"/>
      <c r="AC176" s="1"/>
      <c r="AD176" s="1"/>
    </row>
    <row r="177" spans="1:35" x14ac:dyDescent="0.25">
      <c r="A177" s="1">
        <v>30.866092410041016</v>
      </c>
      <c r="B177" s="1"/>
      <c r="C177" s="1"/>
      <c r="D177" s="1">
        <f t="shared" si="1752"/>
        <v>5.0000000000000001E-4</v>
      </c>
      <c r="E177" s="1"/>
      <c r="F177" s="1"/>
      <c r="G177" s="1">
        <v>1</v>
      </c>
      <c r="H177" s="1">
        <f>-C$163/($A178*SQRT(2)) + ($D177/(2*$A178))*(2*(C$163/$D177)^2 +4*$A178^2)^0.5</f>
        <v>2.9000822847090611E-4</v>
      </c>
      <c r="I177" s="1">
        <f>-D$163/($A178*SQRT(2)) + ($D177/(2*$A178))*(2*(D$163/$D177)^2 +4*$A178^2)^0.5</f>
        <v>1.7140996976423416E-4</v>
      </c>
      <c r="J177" s="1">
        <f>-E$163/($A178*SQRT(2)) + ($D177/(2*$A178))*(2*(E$163/$D177)^2 +4*$A178^2)^0.5</f>
        <v>1.1792181468424606E-4</v>
      </c>
      <c r="K177" s="1"/>
      <c r="L177" s="1">
        <v>1</v>
      </c>
      <c r="M177" s="1">
        <f t="shared" ref="M177:M178" si="1759">H177/$D177</f>
        <v>0.58001645694181225</v>
      </c>
      <c r="N177" s="1">
        <f t="shared" si="1755"/>
        <v>0.34281993952846834</v>
      </c>
      <c r="O177" s="1">
        <f t="shared" si="1750"/>
        <v>0.23584362936849212</v>
      </c>
      <c r="P177" s="1"/>
      <c r="Q177" s="1">
        <v>1</v>
      </c>
      <c r="R177" s="1">
        <f t="shared" ref="R177:T177" si="1760">R167</f>
        <v>0.40229885057471265</v>
      </c>
      <c r="S177" s="1">
        <f t="shared" si="1760"/>
        <v>0.41111111111111109</v>
      </c>
      <c r="T177" s="1">
        <f t="shared" si="1760"/>
        <v>0.39080459770114945</v>
      </c>
      <c r="U177" s="1"/>
      <c r="V177" s="1">
        <v>1</v>
      </c>
      <c r="W177" s="1">
        <f t="shared" si="1757"/>
        <v>3.1583547612851363E-2</v>
      </c>
      <c r="X177" s="1">
        <f t="shared" si="1758"/>
        <v>4.6636841161299533E-3</v>
      </c>
      <c r="Y177" s="1">
        <f t="shared" ref="Y177:Y178" si="1761">(T177-O177)^2</f>
        <v>2.4012901706594824E-2</v>
      </c>
      <c r="Z177" s="1"/>
      <c r="AA177" s="1">
        <f>SUM(W178:Y178)/3</f>
        <v>1.973792860118017E-2</v>
      </c>
      <c r="AB177" s="1"/>
      <c r="AC177" s="1"/>
      <c r="AD177" s="1"/>
    </row>
    <row r="178" spans="1:35" x14ac:dyDescent="0.25">
      <c r="A178" s="1">
        <v>29.666934458607511</v>
      </c>
      <c r="B178" s="1"/>
      <c r="C178" s="1"/>
      <c r="D178" s="1">
        <f t="shared" si="1752"/>
        <v>8.0000000000000004E-4</v>
      </c>
      <c r="E178" s="1"/>
      <c r="F178" s="1"/>
      <c r="G178" s="1">
        <v>1.6</v>
      </c>
      <c r="H178" s="1">
        <f t="shared" ref="H178" si="1762">-C$163/($A179*SQRT(2)) + ($D178/(2*$A179))*(2*(C$163/$D178)^2 +4*$A179^2)^0.5</f>
        <v>6.4244560231460938E-4</v>
      </c>
      <c r="I178" s="1">
        <f t="shared" si="1753"/>
        <v>4.9555332644759913E-4</v>
      </c>
      <c r="J178" s="1">
        <f t="shared" si="1754"/>
        <v>3.9249152800089314E-4</v>
      </c>
      <c r="K178" s="1"/>
      <c r="L178" s="1">
        <v>1.6</v>
      </c>
      <c r="M178" s="1">
        <f t="shared" si="1759"/>
        <v>0.80305700289326165</v>
      </c>
      <c r="N178" s="1">
        <f t="shared" si="1755"/>
        <v>0.61944165805949891</v>
      </c>
      <c r="O178" s="1">
        <f t="shared" si="1750"/>
        <v>0.49061441000111639</v>
      </c>
      <c r="P178" s="1"/>
      <c r="Q178" s="1">
        <v>1.6</v>
      </c>
      <c r="R178" s="1">
        <f t="shared" ref="R178:T178" si="1763">R168</f>
        <v>0.58857142857142852</v>
      </c>
      <c r="S178" s="1">
        <f t="shared" si="1763"/>
        <v>0.62962962962962965</v>
      </c>
      <c r="T178" s="1">
        <f t="shared" si="1763"/>
        <v>0.60509554140127386</v>
      </c>
      <c r="U178" s="1"/>
      <c r="V178" s="1">
        <v>1.6</v>
      </c>
      <c r="W178" s="1">
        <f t="shared" si="1757"/>
        <v>4.6004061592166599E-2</v>
      </c>
      <c r="X178" s="1">
        <f t="shared" si="1758"/>
        <v>1.0379476471379218E-4</v>
      </c>
      <c r="Y178" s="1">
        <f t="shared" si="1761"/>
        <v>1.3105929446660123E-2</v>
      </c>
      <c r="Z178" s="1"/>
      <c r="AA178" s="1"/>
      <c r="AB178" s="1"/>
      <c r="AC178" s="1"/>
      <c r="AD178" s="1"/>
    </row>
    <row r="179" spans="1:35" x14ac:dyDescent="0.25">
      <c r="A179" s="1">
        <v>47.973635463984643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1" spans="1:35" x14ac:dyDescent="0.25"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5">
      <c r="G182" t="s">
        <v>141</v>
      </c>
      <c r="H182" t="s">
        <v>143</v>
      </c>
      <c r="I182" t="s">
        <v>195</v>
      </c>
      <c r="J182" t="s">
        <v>145</v>
      </c>
      <c r="N182" s="1"/>
      <c r="O182" s="1" t="s">
        <v>190</v>
      </c>
      <c r="P182" s="1"/>
      <c r="Q182" s="1"/>
      <c r="R182" s="1"/>
      <c r="S182" s="1"/>
      <c r="T182" s="1"/>
      <c r="U182" s="1" t="s">
        <v>191</v>
      </c>
      <c r="V182" s="1"/>
      <c r="W182" s="1"/>
      <c r="X182" s="1"/>
      <c r="Y182" s="1"/>
      <c r="Z182" s="1" t="s">
        <v>189</v>
      </c>
      <c r="AA182" s="1"/>
      <c r="AB182" s="1"/>
      <c r="AC182" s="1"/>
      <c r="AD182" s="1"/>
      <c r="AE182" s="1"/>
      <c r="AF182" s="1" t="s">
        <v>211</v>
      </c>
      <c r="AG182" s="1"/>
      <c r="AH182" s="1"/>
      <c r="AI182" s="1"/>
    </row>
    <row r="183" spans="1:35" x14ac:dyDescent="0.25">
      <c r="G183">
        <f>M165</f>
        <v>0.28809180712206783</v>
      </c>
      <c r="H183">
        <f>M166</f>
        <v>0.42778863908512693</v>
      </c>
      <c r="I183">
        <f>M167</f>
        <v>0.63068084895835319</v>
      </c>
      <c r="J183">
        <f>M168</f>
        <v>0.74516595603538716</v>
      </c>
      <c r="N183" s="1"/>
      <c r="O183" s="1">
        <v>12</v>
      </c>
      <c r="P183" s="1">
        <v>27</v>
      </c>
      <c r="Q183" s="1">
        <v>42</v>
      </c>
      <c r="R183" s="1"/>
      <c r="S183" s="1"/>
      <c r="T183" s="1"/>
      <c r="U183" s="1"/>
      <c r="V183" s="1">
        <v>12</v>
      </c>
      <c r="W183" s="1">
        <v>27</v>
      </c>
      <c r="X183" s="1">
        <v>42</v>
      </c>
      <c r="Y183" s="1"/>
      <c r="Z183" s="1"/>
      <c r="AA183" s="1"/>
      <c r="AB183" s="1">
        <v>12</v>
      </c>
      <c r="AC183" s="1">
        <v>27</v>
      </c>
      <c r="AD183" s="1">
        <v>42</v>
      </c>
      <c r="AE183" s="1"/>
      <c r="AF183" s="1"/>
      <c r="AG183" s="1">
        <v>12</v>
      </c>
      <c r="AH183" s="1">
        <v>27</v>
      </c>
      <c r="AI183" s="1">
        <v>42</v>
      </c>
    </row>
    <row r="184" spans="1:35" x14ac:dyDescent="0.25">
      <c r="G184" s="8">
        <f>N165</f>
        <v>0.13700859077555286</v>
      </c>
      <c r="H184">
        <f>N166</f>
        <v>0.22131730097657998</v>
      </c>
      <c r="I184">
        <f>N167</f>
        <v>0.39340012111707701</v>
      </c>
      <c r="J184">
        <f>N168</f>
        <v>0.53307398888758628</v>
      </c>
      <c r="N184" s="1">
        <v>0.3</v>
      </c>
      <c r="O184" s="1">
        <f>-C$163/($A$193*SQRT(2)) + ($D165/(2*$A$193))*(2*(C$163/$D165)^2 +4*$A$193^2)^0.5</f>
        <v>5.0566173697443246E-5</v>
      </c>
      <c r="P184" s="1">
        <f t="shared" ref="P184:Q184" si="1764">-D$163/($A$193*SQRT(2)) + ($D165/(2*$A$193))*(2*(D$163/$D165)^2 +4*$A$193^2)^0.5</f>
        <v>2.4669458831236897E-5</v>
      </c>
      <c r="Q184" s="1">
        <f t="shared" si="1764"/>
        <v>1.6111761271356685E-5</v>
      </c>
      <c r="R184" s="1"/>
      <c r="S184" s="1"/>
      <c r="T184" s="1" t="s">
        <v>206</v>
      </c>
      <c r="U184" s="1">
        <v>0.3</v>
      </c>
      <c r="V184" s="1">
        <f>'estimates new'!AU91</f>
        <v>0</v>
      </c>
      <c r="W184" s="1">
        <f>'estimates new'!AU92</f>
        <v>0.30769230769230771</v>
      </c>
      <c r="X184" s="1">
        <f>'estimates new'!AU93</f>
        <v>0</v>
      </c>
      <c r="Y184" s="1"/>
      <c r="Z184" s="1" t="s">
        <v>206</v>
      </c>
      <c r="AA184" s="1">
        <v>0.3</v>
      </c>
      <c r="AB184" s="1">
        <f>O184/$D175</f>
        <v>0.33710782464962169</v>
      </c>
      <c r="AC184" s="1">
        <f t="shared" ref="AC184:AD184" si="1765">P184/$D175</f>
        <v>0.16446305887491267</v>
      </c>
      <c r="AD184" s="1">
        <f t="shared" si="1765"/>
        <v>0.10741174180904457</v>
      </c>
      <c r="AE184" s="1"/>
      <c r="AF184" s="1">
        <v>0.3</v>
      </c>
      <c r="AG184" s="1">
        <f>(V184-AB184)^2</f>
        <v>0.11364168544000008</v>
      </c>
      <c r="AH184" s="1">
        <f>(W184-AC184)^2</f>
        <v>2.0514617716795261E-2</v>
      </c>
      <c r="AI184" s="1">
        <f>(X184-AD184)^2</f>
        <v>1.1537282278452854E-2</v>
      </c>
    </row>
    <row r="185" spans="1:35" x14ac:dyDescent="0.25">
      <c r="G185" s="8">
        <f>O165</f>
        <v>8.9050098951407933E-2</v>
      </c>
      <c r="H185" s="8">
        <f>O166</f>
        <v>0.14639687103676877</v>
      </c>
      <c r="I185" s="8">
        <f>O167</f>
        <v>0.27635528559703282</v>
      </c>
      <c r="J185" s="8">
        <f>O168</f>
        <v>0.40154173177421371</v>
      </c>
      <c r="K185" s="8"/>
      <c r="L185" s="8"/>
      <c r="N185" s="1">
        <v>0.5</v>
      </c>
      <c r="O185" s="1">
        <f t="shared" ref="O185:O187" si="1766">-C$163/($A$193*SQRT(2)) + ($D166/(2*$A$193))*(2*(C$163/$D166)^2 +4*$A$193^2)^0.5</f>
        <v>1.2121546400483291E-4</v>
      </c>
      <c r="P185" s="1">
        <f t="shared" ref="P185:P187" si="1767">-D$163/($A$193*SQRT(2)) + ($D166/(2*$A$193))*(2*(D$163/$D166)^2 +4*$A$193^2)^0.5</f>
        <v>6.5584185032062359E-5</v>
      </c>
      <c r="Q185" s="1">
        <f t="shared" ref="Q185:Q187" si="1768">-E$163/($A$193*SQRT(2)) + ($D166/(2*$A$193))*(2*(E$163/$D166)^2 +4*$A$193^2)^0.5</f>
        <v>4.3882256518290629E-5</v>
      </c>
      <c r="R185" s="1"/>
      <c r="S185" s="1"/>
      <c r="T185" s="1" t="s">
        <v>207</v>
      </c>
      <c r="U185" s="1">
        <v>0.5</v>
      </c>
      <c r="V185" s="1">
        <f>'estimates new'!AU76</f>
        <v>0.56164383561643838</v>
      </c>
      <c r="W185" s="1">
        <f>'estimates new'!AU77</f>
        <v>0.46969696969696972</v>
      </c>
      <c r="X185" s="1">
        <f>'estimates new'!AU78</f>
        <v>0.2537313432835821</v>
      </c>
      <c r="Y185" s="1"/>
      <c r="Z185" s="1" t="s">
        <v>207</v>
      </c>
      <c r="AA185" s="1">
        <v>0.5</v>
      </c>
      <c r="AB185" s="1">
        <f t="shared" ref="AB185:AB187" si="1769">O185/$D176</f>
        <v>0.48486185601933163</v>
      </c>
      <c r="AC185" s="1">
        <f t="shared" ref="AC185:AC187" si="1770">P185/$D176</f>
        <v>0.26233674012824942</v>
      </c>
      <c r="AD185" s="1">
        <f t="shared" ref="AD185:AD187" si="1771">Q185/$D176</f>
        <v>0.17552902607316251</v>
      </c>
      <c r="AE185" s="1"/>
      <c r="AF185" s="1">
        <v>0.5</v>
      </c>
      <c r="AG185" s="1">
        <f t="shared" ref="AG185:AG187" si="1772">(V185-AB185)^2</f>
        <v>5.8954723908505174E-3</v>
      </c>
      <c r="AH185" s="1">
        <f t="shared" ref="AH185:AH187" si="1773">(W185-AC185)^2</f>
        <v>4.2998264806792384E-2</v>
      </c>
      <c r="AI185" s="1">
        <f t="shared" ref="AI185:AI187" si="1774">(X185-AD185)^2</f>
        <v>6.1156024170790886E-3</v>
      </c>
    </row>
    <row r="186" spans="1:35" x14ac:dyDescent="0.25">
      <c r="G186" s="8"/>
      <c r="H186" s="8"/>
      <c r="I186" s="8"/>
      <c r="J186" s="8"/>
      <c r="K186" s="8"/>
      <c r="L186" s="8"/>
      <c r="N186" s="1">
        <v>1</v>
      </c>
      <c r="O186" s="1">
        <f t="shared" si="1766"/>
        <v>3.4028435673536038E-4</v>
      </c>
      <c r="P186" s="1">
        <f t="shared" si="1767"/>
        <v>2.2478489794095679E-4</v>
      </c>
      <c r="Q186" s="1">
        <f t="shared" si="1768"/>
        <v>1.6207853243774002E-4</v>
      </c>
      <c r="R186" s="1"/>
      <c r="S186" s="1"/>
      <c r="T186" s="1" t="s">
        <v>208</v>
      </c>
      <c r="U186" s="1">
        <v>1</v>
      </c>
      <c r="V186" s="1">
        <f>'estimates new'!AU67</f>
        <v>0.6067415730337079</v>
      </c>
      <c r="W186" s="1">
        <f>'estimates new'!AU68</f>
        <v>0.39325842696629215</v>
      </c>
      <c r="X186" s="1">
        <f>'estimates new'!AU69</f>
        <v>0.32222222222222224</v>
      </c>
      <c r="Y186" s="1"/>
      <c r="Z186" s="1" t="s">
        <v>208</v>
      </c>
      <c r="AA186" s="1">
        <v>1</v>
      </c>
      <c r="AB186" s="1">
        <f t="shared" si="1769"/>
        <v>0.68056871347072079</v>
      </c>
      <c r="AC186" s="1">
        <f t="shared" si="1770"/>
        <v>0.44956979588191359</v>
      </c>
      <c r="AD186" s="1">
        <f t="shared" si="1771"/>
        <v>0.32415706487548002</v>
      </c>
      <c r="AE186" s="1"/>
      <c r="AF186" s="1">
        <v>1</v>
      </c>
      <c r="AG186" s="1">
        <f t="shared" si="1772"/>
        <v>5.4504466651064225E-3</v>
      </c>
      <c r="AH186" s="1">
        <f t="shared" si="1773"/>
        <v>3.1709702691512165E-3</v>
      </c>
      <c r="AI186" s="1">
        <f t="shared" si="1774"/>
        <v>3.7436160928655804E-6</v>
      </c>
    </row>
    <row r="187" spans="1:35" x14ac:dyDescent="0.25">
      <c r="H187" s="8"/>
      <c r="I187" s="8"/>
      <c r="J187" s="8"/>
      <c r="K187" s="8"/>
      <c r="L187" s="8"/>
      <c r="N187" s="1">
        <v>1.6</v>
      </c>
      <c r="O187" s="1">
        <f t="shared" si="1766"/>
        <v>6.267482844210208E-4</v>
      </c>
      <c r="P187" s="1">
        <f t="shared" si="1767"/>
        <v>4.7110853435279593E-4</v>
      </c>
      <c r="Q187" s="1">
        <f t="shared" si="1768"/>
        <v>3.6638981918441752E-4</v>
      </c>
      <c r="R187" s="1"/>
      <c r="S187" s="1"/>
      <c r="T187" s="1" t="s">
        <v>209</v>
      </c>
      <c r="U187" s="1">
        <v>1.6</v>
      </c>
      <c r="V187" s="1">
        <f>'estimates new'!AU94</f>
        <v>0.80107526881720426</v>
      </c>
      <c r="W187" s="1">
        <f>'estimates new'!AU95</f>
        <v>0.9107142857142857</v>
      </c>
      <c r="X187" s="1">
        <f>'estimates new'!AU96</f>
        <v>0.90476190476190477</v>
      </c>
      <c r="Y187" s="1"/>
      <c r="Z187" s="1" t="s">
        <v>209</v>
      </c>
      <c r="AA187" s="1">
        <v>1.6</v>
      </c>
      <c r="AB187" s="1">
        <f t="shared" si="1769"/>
        <v>0.78343535552627597</v>
      </c>
      <c r="AC187" s="1">
        <f t="shared" si="1770"/>
        <v>0.58888566794099484</v>
      </c>
      <c r="AD187" s="1">
        <f t="shared" si="1771"/>
        <v>0.45798727398052186</v>
      </c>
      <c r="AE187" s="1"/>
      <c r="AF187" s="1">
        <v>1.6</v>
      </c>
      <c r="AG187" s="1">
        <f t="shared" si="1772"/>
        <v>3.1116654091146848E-4</v>
      </c>
      <c r="AH187" s="1">
        <f t="shared" si="1773"/>
        <v>0.10357365921786695</v>
      </c>
      <c r="AI187" s="1">
        <f t="shared" si="1774"/>
        <v>0.19960757070984103</v>
      </c>
    </row>
    <row r="188" spans="1:35" x14ac:dyDescent="0.25">
      <c r="H188" s="8"/>
      <c r="I188" s="8"/>
      <c r="J188" s="8"/>
      <c r="K188" s="8"/>
      <c r="L188" s="8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8.75" x14ac:dyDescent="0.3">
      <c r="C189" s="2" t="s">
        <v>213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5">
      <c r="A190" s="1"/>
      <c r="B190" s="1" t="s">
        <v>197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5">
      <c r="A191" s="1"/>
      <c r="B191" s="1"/>
      <c r="C191" s="1"/>
      <c r="D191" s="1"/>
      <c r="E191" s="1"/>
      <c r="F191" s="1"/>
      <c r="G191" s="1"/>
      <c r="H191" s="1" t="s">
        <v>190</v>
      </c>
      <c r="I191" s="1"/>
      <c r="J191" s="1"/>
      <c r="K191" s="1"/>
      <c r="L191" s="1"/>
      <c r="M191" s="1"/>
      <c r="N191" s="1"/>
      <c r="O191" s="1" t="s">
        <v>191</v>
      </c>
      <c r="P191" s="1"/>
      <c r="Q191" s="1"/>
      <c r="R191" s="1"/>
      <c r="S191" s="1"/>
      <c r="T191" s="1" t="s">
        <v>210</v>
      </c>
      <c r="U191" s="1"/>
      <c r="V191" s="1"/>
      <c r="W191" s="1"/>
      <c r="X191" s="1"/>
      <c r="Y191" s="1" t="s">
        <v>211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5">
      <c r="A192" s="1" t="s">
        <v>186</v>
      </c>
      <c r="B192" s="1"/>
      <c r="C192" s="1"/>
      <c r="D192" s="1"/>
      <c r="E192" s="1"/>
      <c r="F192" s="1"/>
      <c r="G192" s="1"/>
      <c r="H192" s="1">
        <v>12</v>
      </c>
      <c r="I192" s="1">
        <v>27</v>
      </c>
      <c r="J192" s="1">
        <v>42</v>
      </c>
      <c r="K192" s="1"/>
      <c r="L192" s="1"/>
      <c r="M192" s="1"/>
      <c r="N192" s="1"/>
      <c r="O192" s="1"/>
      <c r="P192" s="1">
        <v>12</v>
      </c>
      <c r="Q192" s="1">
        <v>27</v>
      </c>
      <c r="R192" s="1">
        <v>42</v>
      </c>
      <c r="S192" s="1"/>
      <c r="T192" s="1"/>
      <c r="U192" s="1">
        <v>12</v>
      </c>
      <c r="V192" s="1">
        <v>27</v>
      </c>
      <c r="W192" s="1">
        <v>42</v>
      </c>
      <c r="X192" s="1"/>
      <c r="Y192" s="1"/>
      <c r="Z192" s="1">
        <v>12</v>
      </c>
      <c r="AA192" s="1">
        <v>27</v>
      </c>
      <c r="AB192" s="1">
        <v>42</v>
      </c>
      <c r="AC192" s="1"/>
      <c r="AD192" s="1"/>
      <c r="AE192" s="1"/>
      <c r="AF192" s="1"/>
      <c r="AG192" s="1"/>
      <c r="AH192" s="1"/>
      <c r="AI192" s="1"/>
    </row>
    <row r="193" spans="1:40" x14ac:dyDescent="0.25">
      <c r="A193" s="1">
        <v>43.029321191689561</v>
      </c>
      <c r="B193" s="1"/>
      <c r="C193" s="1"/>
      <c r="D193" s="1"/>
      <c r="E193" s="1"/>
      <c r="F193" s="1"/>
      <c r="G193" s="1">
        <v>0.3</v>
      </c>
      <c r="H193" s="1">
        <f>-C$163/($A$193*SQRT(2)) + ($D165/(2*$A$193))*(2*(C$163/$D165)^2 +4*$A$193^2)^0.5</f>
        <v>5.0566173697443246E-5</v>
      </c>
      <c r="I193" s="1">
        <f t="shared" ref="I193:J193" si="1775">-D$163/($A$193*SQRT(2)) + ($D165/(2*$A$193))*(2*(D$163/$D165)^2 +4*$A$193^2)^0.5</f>
        <v>2.4669458831236897E-5</v>
      </c>
      <c r="J193" s="1">
        <f t="shared" si="1775"/>
        <v>1.6111761271356685E-5</v>
      </c>
      <c r="K193" s="1"/>
      <c r="L193" s="1"/>
      <c r="M193" s="1"/>
      <c r="N193" s="1" t="s">
        <v>198</v>
      </c>
      <c r="O193" s="1">
        <v>0.3</v>
      </c>
      <c r="P193" s="1">
        <f>'estimates new'!AU88</f>
        <v>0</v>
      </c>
      <c r="Q193" s="1">
        <f>'estimates new'!AU89</f>
        <v>0.29629629629629628</v>
      </c>
      <c r="R193" s="1">
        <f>'estimates new'!AU90</f>
        <v>0.31506849315068491</v>
      </c>
      <c r="S193" s="1"/>
      <c r="T193" s="1">
        <v>0.3</v>
      </c>
      <c r="U193" s="1">
        <f>H193/$D175</f>
        <v>0.33710782464962169</v>
      </c>
      <c r="V193" s="1">
        <f t="shared" ref="V193:W193" si="1776">I193/$D175</f>
        <v>0.16446305887491267</v>
      </c>
      <c r="W193" s="1">
        <f t="shared" si="1776"/>
        <v>0.10741174180904457</v>
      </c>
      <c r="X193" s="1"/>
      <c r="Y193" s="1">
        <v>0.3</v>
      </c>
      <c r="Z193" s="1">
        <f>(U193-P193)^2</f>
        <v>0.11364168544000008</v>
      </c>
      <c r="AA193" s="1">
        <f>(V193-Q193)^2</f>
        <v>1.7380002489002903E-2</v>
      </c>
      <c r="AB193" s="1">
        <f t="shared" ref="AB193" si="1777">(W193-R193)^2</f>
        <v>4.3121326377763856E-2</v>
      </c>
      <c r="AC193" s="1"/>
      <c r="AD193" s="1"/>
      <c r="AE193" s="1" t="s">
        <v>212</v>
      </c>
      <c r="AF193" s="1"/>
      <c r="AG193" s="1"/>
      <c r="AH193" s="1"/>
      <c r="AI193" s="1"/>
    </row>
    <row r="194" spans="1:40" x14ac:dyDescent="0.25">
      <c r="A194" s="1"/>
      <c r="B194" s="1"/>
      <c r="C194" s="1"/>
      <c r="D194" s="1"/>
      <c r="E194" s="1"/>
      <c r="F194" s="1"/>
      <c r="G194" s="1">
        <v>0.5</v>
      </c>
      <c r="H194" s="1">
        <f t="shared" ref="H194:H196" si="1778">-C$163/($A$193*SQRT(2)) + ($D166/(2*$A$193))*(2*(C$163/$D166)^2 +4*$A$193^2)^0.5</f>
        <v>1.2121546400483291E-4</v>
      </c>
      <c r="I194" s="1">
        <f t="shared" ref="I194:I195" si="1779">-D$163/($A$193*SQRT(2)) + ($D166/(2*$A$193))*(2*(D$163/$D166)^2 +4*$A$193^2)^0.5</f>
        <v>6.5584185032062359E-5</v>
      </c>
      <c r="J194" s="1">
        <f t="shared" ref="J194:J196" si="1780">-E$163/($A$193*SQRT(2)) + ($D166/(2*$A$193))*(2*(E$163/$D166)^2 +4*$A$193^2)^0.5</f>
        <v>4.3882256518290629E-5</v>
      </c>
      <c r="K194" s="1"/>
      <c r="L194" s="1"/>
      <c r="M194" s="1"/>
      <c r="N194" s="1" t="s">
        <v>199</v>
      </c>
      <c r="O194" s="1">
        <v>0.5</v>
      </c>
      <c r="P194" s="1">
        <f>'estimates new'!AU79</f>
        <v>0.39473684210526316</v>
      </c>
      <c r="Q194" s="1">
        <f>'estimates new'!AU80</f>
        <v>0.31578947368421051</v>
      </c>
      <c r="R194" s="1">
        <f>'estimates new'!AU81</f>
        <v>0.28358208955223879</v>
      </c>
      <c r="S194" s="1"/>
      <c r="T194" s="1">
        <v>0.5</v>
      </c>
      <c r="U194" s="1">
        <f t="shared" ref="U194:U196" si="1781">H194/$D176</f>
        <v>0.48486185601933163</v>
      </c>
      <c r="V194" s="1">
        <f t="shared" ref="V194:V195" si="1782">I194/$D176</f>
        <v>0.26233674012824942</v>
      </c>
      <c r="W194" s="1">
        <f t="shared" ref="W194:W195" si="1783">J194/$D176</f>
        <v>0.17552902607316251</v>
      </c>
      <c r="X194" s="1"/>
      <c r="Y194" s="1">
        <v>0.5</v>
      </c>
      <c r="Z194" s="1">
        <f t="shared" ref="Z194:Z196" si="1784">(U194-P194)^2</f>
        <v>8.1225181330110349E-3</v>
      </c>
      <c r="AA194" s="1">
        <f t="shared" ref="AA194:AA196" si="1785">(V194-Q194)^2</f>
        <v>2.8571947246045682E-3</v>
      </c>
      <c r="AB194" s="1">
        <f t="shared" ref="AB194:AB196" si="1786">(W194-R194)^2</f>
        <v>1.1675464527213289E-2</v>
      </c>
      <c r="AC194" s="1"/>
      <c r="AD194" s="1"/>
      <c r="AE194" s="1">
        <f>(SUM(AG184:AI187)+SUM(Z193:AB196)+SUM(W200:Y203))/36</f>
        <v>2.5930565336831149E-2</v>
      </c>
      <c r="AF194" s="1"/>
      <c r="AG194" s="1"/>
      <c r="AH194" s="1"/>
      <c r="AI194" s="1"/>
    </row>
    <row r="195" spans="1:40" x14ac:dyDescent="0.25">
      <c r="A195" s="1"/>
      <c r="B195" s="1"/>
      <c r="C195" s="1"/>
      <c r="D195" s="1"/>
      <c r="E195" s="1"/>
      <c r="F195" s="1"/>
      <c r="G195" s="1">
        <v>1</v>
      </c>
      <c r="H195" s="1">
        <f>-C$163/($A$193*SQRT(2)) + ($D167/(2*$A$193))*(2*(C$163/$D167)^2 +4*$A$193^2)^0.5</f>
        <v>3.4028435673536038E-4</v>
      </c>
      <c r="I195" s="1">
        <f t="shared" si="1779"/>
        <v>2.2478489794095679E-4</v>
      </c>
      <c r="J195" s="1">
        <f t="shared" si="1780"/>
        <v>1.6207853243774002E-4</v>
      </c>
      <c r="K195" s="1"/>
      <c r="L195" s="1"/>
      <c r="M195" s="1"/>
      <c r="N195" s="1" t="s">
        <v>200</v>
      </c>
      <c r="O195" s="1">
        <v>1</v>
      </c>
      <c r="P195" s="1">
        <f>'estimates new'!AU64</f>
        <v>0.56818181818181823</v>
      </c>
      <c r="Q195" s="1">
        <f>'estimates new'!AU65</f>
        <v>0.37777777777777777</v>
      </c>
      <c r="R195" s="1">
        <f>'estimates new'!AU66</f>
        <v>0.33707865168539325</v>
      </c>
      <c r="S195" s="1"/>
      <c r="T195" s="1">
        <v>1</v>
      </c>
      <c r="U195" s="1">
        <f t="shared" si="1781"/>
        <v>0.68056871347072079</v>
      </c>
      <c r="V195" s="1">
        <f t="shared" si="1782"/>
        <v>0.44956979588191359</v>
      </c>
      <c r="W195" s="1">
        <f t="shared" si="1783"/>
        <v>0.32415706487548002</v>
      </c>
      <c r="X195" s="1"/>
      <c r="Y195" s="1">
        <v>1</v>
      </c>
      <c r="Z195" s="1">
        <f t="shared" si="1784"/>
        <v>1.2630814232678747E-2</v>
      </c>
      <c r="AA195" s="1">
        <f t="shared" si="1785"/>
        <v>5.1540938634645657E-3</v>
      </c>
      <c r="AB195" s="1">
        <f>(W195-R195)^2</f>
        <v>1.6696740568612363E-4</v>
      </c>
      <c r="AC195" s="1"/>
      <c r="AD195" s="1"/>
      <c r="AE195" s="1"/>
      <c r="AF195" s="1"/>
      <c r="AG195" s="1"/>
      <c r="AH195" s="1"/>
      <c r="AI195" s="1"/>
    </row>
    <row r="196" spans="1:40" x14ac:dyDescent="0.25">
      <c r="A196" s="1"/>
      <c r="B196" s="1"/>
      <c r="C196" s="1"/>
      <c r="D196" s="1"/>
      <c r="E196" s="1"/>
      <c r="F196" s="1"/>
      <c r="G196" s="1">
        <v>1.6</v>
      </c>
      <c r="H196" s="1">
        <f t="shared" si="1778"/>
        <v>6.267482844210208E-4</v>
      </c>
      <c r="I196" s="1">
        <f>-D$163/($A$193*SQRT(2)) + ($D168/(2*$A$193))*(2*(D$163/$D168)^2 +4*$A$193^2)^0.5</f>
        <v>4.7110853435279593E-4</v>
      </c>
      <c r="J196" s="1">
        <f t="shared" si="1780"/>
        <v>3.6638981918441752E-4</v>
      </c>
      <c r="K196" s="1"/>
      <c r="L196" s="1"/>
      <c r="M196" s="1"/>
      <c r="N196" s="1" t="s">
        <v>201</v>
      </c>
      <c r="O196" s="1">
        <v>1.6</v>
      </c>
      <c r="P196" s="1">
        <f>'estimates new'!AU82</f>
        <v>0.75155279503105588</v>
      </c>
      <c r="Q196" s="1">
        <f>'estimates new'!AU83</f>
        <v>0.57309941520467833</v>
      </c>
      <c r="R196" s="1">
        <f>'estimates new'!AU84</f>
        <v>0.54651162790697672</v>
      </c>
      <c r="S196" s="1"/>
      <c r="T196" s="1">
        <v>1.6</v>
      </c>
      <c r="U196" s="1">
        <f t="shared" si="1781"/>
        <v>0.78343535552627597</v>
      </c>
      <c r="V196" s="1">
        <f>I196/$D178</f>
        <v>0.58888566794099484</v>
      </c>
      <c r="W196" s="1">
        <f>J196/$D178</f>
        <v>0.45798727398052186</v>
      </c>
      <c r="X196" s="1"/>
      <c r="Y196" s="1">
        <v>1.6</v>
      </c>
      <c r="Z196" s="1">
        <f t="shared" si="1784"/>
        <v>1.0164976637313688E-3</v>
      </c>
      <c r="AA196" s="1">
        <f t="shared" si="1785"/>
        <v>2.4920577545486044E-4</v>
      </c>
      <c r="AB196" s="1">
        <f t="shared" si="1786"/>
        <v>7.8365612380962429E-3</v>
      </c>
      <c r="AC196" s="1"/>
      <c r="AD196" s="1"/>
      <c r="AE196" s="1"/>
      <c r="AF196" s="1"/>
      <c r="AG196" s="1"/>
      <c r="AH196" s="1"/>
      <c r="AI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 t="s">
        <v>190</v>
      </c>
      <c r="I198" s="1"/>
      <c r="J198" s="1"/>
      <c r="K198" s="1"/>
      <c r="L198" s="1"/>
      <c r="M198" s="1" t="s">
        <v>189</v>
      </c>
      <c r="N198" s="1"/>
      <c r="O198" s="1"/>
      <c r="P198" s="1"/>
      <c r="Q198" s="1" t="s">
        <v>191</v>
      </c>
      <c r="R198" s="1"/>
      <c r="S198" s="1"/>
      <c r="T198" s="1"/>
      <c r="U198" s="1"/>
      <c r="V198" s="1" t="s">
        <v>211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>
        <v>12</v>
      </c>
      <c r="I199" s="1">
        <v>27</v>
      </c>
      <c r="J199" s="1">
        <v>42</v>
      </c>
      <c r="K199" s="1"/>
      <c r="L199" s="1"/>
      <c r="M199" s="1">
        <v>12</v>
      </c>
      <c r="N199" s="1">
        <v>27</v>
      </c>
      <c r="O199" s="1">
        <v>42</v>
      </c>
      <c r="P199" s="1"/>
      <c r="Q199" s="1"/>
      <c r="R199" s="1">
        <v>12</v>
      </c>
      <c r="S199" s="1">
        <v>27</v>
      </c>
      <c r="T199" s="1">
        <v>42</v>
      </c>
      <c r="U199" s="1"/>
      <c r="V199" s="1"/>
      <c r="W199" s="1">
        <v>12</v>
      </c>
      <c r="X199" s="1">
        <v>27</v>
      </c>
      <c r="Y199" s="1">
        <v>42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40" x14ac:dyDescent="0.25">
      <c r="A200" s="1"/>
      <c r="B200" s="1"/>
      <c r="C200" s="1"/>
      <c r="D200" s="1"/>
      <c r="E200" s="1"/>
      <c r="F200" s="1"/>
      <c r="G200" s="1">
        <v>0.3</v>
      </c>
      <c r="H200" s="1">
        <f>-C$163/($A$193*SQRT(2)) + ($D165/(2*$A$193))*(2*(C$163/$D165)^2 +4*$A$193^2)^0.5</f>
        <v>5.0566173697443246E-5</v>
      </c>
      <c r="I200" s="1">
        <f t="shared" ref="I200:J200" si="1787">-D$163/($A$193*SQRT(2)) + ($D165/(2*$A$193))*(2*(D$163/$D165)^2 +4*$A$193^2)^0.5</f>
        <v>2.4669458831236897E-5</v>
      </c>
      <c r="J200" s="1">
        <f t="shared" si="1787"/>
        <v>1.6111761271356685E-5</v>
      </c>
      <c r="K200" s="1"/>
      <c r="L200" s="1">
        <v>0.3</v>
      </c>
      <c r="M200" s="1">
        <f>H200/$D165</f>
        <v>0.33710782464962169</v>
      </c>
      <c r="N200" s="1">
        <f>I200/$D165</f>
        <v>0.16446305887491267</v>
      </c>
      <c r="O200" s="1">
        <f>J200/$D165</f>
        <v>0.10741174180904457</v>
      </c>
      <c r="P200" s="1" t="s">
        <v>202</v>
      </c>
      <c r="Q200" s="1">
        <v>0.3</v>
      </c>
      <c r="R200" s="1">
        <f>'estimates new'!AU70</f>
        <v>0.32</v>
      </c>
      <c r="S200" s="1">
        <f>'estimates new'!AU71</f>
        <v>0.1</v>
      </c>
      <c r="T200" s="1">
        <f>'estimates new'!AU72</f>
        <v>0</v>
      </c>
      <c r="U200" s="1"/>
      <c r="V200" s="1">
        <v>0.3</v>
      </c>
      <c r="W200" s="1">
        <f>(R200-M200)^2</f>
        <v>2.9267766424220326E-4</v>
      </c>
      <c r="X200" s="1">
        <f t="shared" ref="X200:Y200" si="1788">(S200-N200)^2</f>
        <v>4.1554859595104559E-3</v>
      </c>
      <c r="Y200" s="1">
        <f t="shared" si="1788"/>
        <v>1.1537282278452854E-2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40" x14ac:dyDescent="0.25">
      <c r="A201" s="1"/>
      <c r="B201" s="1"/>
      <c r="C201" s="1"/>
      <c r="D201" s="1"/>
      <c r="E201" s="1"/>
      <c r="F201" s="1"/>
      <c r="G201" s="1">
        <v>0.5</v>
      </c>
      <c r="H201" s="1">
        <f t="shared" ref="H201:H203" si="1789">-C$163/($A$193*SQRT(2)) + ($D166/(2*$A$193))*(2*(C$163/$D166)^2 +4*$A$193^2)^0.5</f>
        <v>1.2121546400483291E-4</v>
      </c>
      <c r="I201" s="1">
        <f t="shared" ref="I201:I203" si="1790">-D$163/($A$193*SQRT(2)) + ($D166/(2*$A$193))*(2*(D$163/$D166)^2 +4*$A$193^2)^0.5</f>
        <v>6.5584185032062359E-5</v>
      </c>
      <c r="J201" s="1">
        <f t="shared" ref="J201:J203" si="1791">-E$163/($A$193*SQRT(2)) + ($D166/(2*$A$193))*(2*(E$163/$D166)^2 +4*$A$193^2)^0.5</f>
        <v>4.3882256518290629E-5</v>
      </c>
      <c r="K201" s="1"/>
      <c r="L201" s="1">
        <v>0.5</v>
      </c>
      <c r="M201" s="1">
        <f>H201/$D166</f>
        <v>0.48486185601933163</v>
      </c>
      <c r="N201" s="1">
        <f t="shared" ref="N201:N203" si="1792">I201/$D166</f>
        <v>0.26233674012824942</v>
      </c>
      <c r="O201" s="1">
        <f>J201/$D166</f>
        <v>0.17552902607316251</v>
      </c>
      <c r="P201" s="1" t="s">
        <v>203</v>
      </c>
      <c r="Q201" s="1">
        <v>0.5</v>
      </c>
      <c r="R201" s="1">
        <f>'estimates new'!AU73</f>
        <v>0.35526315789473684</v>
      </c>
      <c r="S201" s="1">
        <f>'estimates new'!AU74</f>
        <v>0.30303030303030304</v>
      </c>
      <c r="T201" s="1">
        <f>'estimates new'!AU75</f>
        <v>4.2253521126760563E-2</v>
      </c>
      <c r="U201" s="1"/>
      <c r="V201" s="1">
        <v>0.5</v>
      </c>
      <c r="W201" s="1">
        <f t="shared" ref="W201:W203" si="1793">(R201-M201)^2</f>
        <v>1.679582255558985E-2</v>
      </c>
      <c r="X201" s="1">
        <f t="shared" ref="X201:X203" si="1794">(S201-N201)^2</f>
        <v>1.6559660616633943E-3</v>
      </c>
      <c r="Y201" s="1">
        <f t="shared" ref="Y201:Y203" si="1795">(T201-O201)^2</f>
        <v>1.7762360218718409E-2</v>
      </c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40" x14ac:dyDescent="0.25">
      <c r="A202" s="1"/>
      <c r="B202" s="1"/>
      <c r="C202" s="1"/>
      <c r="D202" s="1"/>
      <c r="E202" s="1"/>
      <c r="F202" s="1"/>
      <c r="G202" s="1">
        <v>1</v>
      </c>
      <c r="H202" s="1">
        <f t="shared" si="1789"/>
        <v>3.4028435673536038E-4</v>
      </c>
      <c r="I202" s="1">
        <f t="shared" si="1790"/>
        <v>2.2478489794095679E-4</v>
      </c>
      <c r="J202" s="1">
        <f t="shared" si="1791"/>
        <v>1.6207853243774002E-4</v>
      </c>
      <c r="K202" s="1"/>
      <c r="L202" s="1">
        <v>1</v>
      </c>
      <c r="M202" s="1">
        <f t="shared" ref="M202:M203" si="1796">H202/$D167</f>
        <v>0.68056871347072079</v>
      </c>
      <c r="N202" s="1">
        <f t="shared" si="1792"/>
        <v>0.44956979588191359</v>
      </c>
      <c r="O202" s="1">
        <f>J202/$D167</f>
        <v>0.32415706487548002</v>
      </c>
      <c r="P202" s="1" t="s">
        <v>204</v>
      </c>
      <c r="Q202" s="1">
        <v>1</v>
      </c>
      <c r="R202" s="1">
        <f>'estimates new'!AU61</f>
        <v>0.40229885057471265</v>
      </c>
      <c r="S202" s="1">
        <f>'estimates new'!AU62</f>
        <v>0.41111111111111109</v>
      </c>
      <c r="T202" s="1">
        <f>'estimates new'!AU63</f>
        <v>0.39080459770114945</v>
      </c>
      <c r="U202" s="1"/>
      <c r="V202" s="1">
        <v>1</v>
      </c>
      <c r="W202" s="1">
        <f t="shared" si="1793"/>
        <v>7.7434116596163172E-2</v>
      </c>
      <c r="X202" s="1">
        <f>(S202-N202)^2</f>
        <v>1.4790704342999561E-3</v>
      </c>
      <c r="Y202" s="1">
        <f t="shared" si="1795"/>
        <v>4.4418936317486843E-3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40" x14ac:dyDescent="0.25">
      <c r="A203" s="1"/>
      <c r="B203" s="1"/>
      <c r="C203" s="1"/>
      <c r="D203" s="1"/>
      <c r="E203" s="1"/>
      <c r="F203" s="1"/>
      <c r="G203" s="1">
        <v>1.6</v>
      </c>
      <c r="H203" s="1">
        <f t="shared" si="1789"/>
        <v>6.267482844210208E-4</v>
      </c>
      <c r="I203" s="1">
        <f t="shared" si="1790"/>
        <v>4.7110853435279593E-4</v>
      </c>
      <c r="J203" s="1">
        <f t="shared" si="1791"/>
        <v>3.6638981918441752E-4</v>
      </c>
      <c r="K203" s="1"/>
      <c r="L203" s="1">
        <v>1.6</v>
      </c>
      <c r="M203" s="1">
        <f t="shared" si="1796"/>
        <v>0.78343535552627597</v>
      </c>
      <c r="N203" s="1">
        <f t="shared" si="1792"/>
        <v>0.58888566794099484</v>
      </c>
      <c r="O203" s="1">
        <f t="shared" ref="O203" si="1797">J203/$D168</f>
        <v>0.45798727398052186</v>
      </c>
      <c r="P203" s="1" t="s">
        <v>205</v>
      </c>
      <c r="Q203" s="1">
        <v>1.6</v>
      </c>
      <c r="R203" s="1">
        <f>'estimates new'!AU85</f>
        <v>0.58857142857142852</v>
      </c>
      <c r="S203" s="1">
        <f>'estimates new'!AU86</f>
        <v>0.62962962962962965</v>
      </c>
      <c r="T203" s="1">
        <f>'estimates new'!AU87</f>
        <v>0.60509554140127386</v>
      </c>
      <c r="U203" s="1"/>
      <c r="V203" s="1">
        <v>1.6</v>
      </c>
      <c r="W203" s="1">
        <f t="shared" si="1793"/>
        <v>3.7971950028264118E-2</v>
      </c>
      <c r="X203" s="1">
        <f t="shared" si="1794"/>
        <v>1.6600704140849413E-3</v>
      </c>
      <c r="Y203" s="1">
        <f t="shared" si="1795"/>
        <v>2.1640842343535485E-2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6" spans="1:40" x14ac:dyDescent="0.25">
      <c r="A206" t="s">
        <v>182</v>
      </c>
      <c r="B206">
        <f>B8/(0.15*10^-3)</f>
        <v>0</v>
      </c>
      <c r="C206" s="8">
        <f t="shared" ref="C206:P206" si="1798">C8/(0.15*10^-3)</f>
        <v>6.666666666666668E-2</v>
      </c>
      <c r="D206" s="8">
        <f t="shared" si="1798"/>
        <v>0.13333333333333336</v>
      </c>
      <c r="E206" s="8">
        <f t="shared" si="1798"/>
        <v>0.20000000000000004</v>
      </c>
      <c r="F206" s="8">
        <f t="shared" si="1798"/>
        <v>0.26666666666666672</v>
      </c>
      <c r="G206" s="8">
        <f t="shared" si="1798"/>
        <v>0.33333333333333337</v>
      </c>
      <c r="H206" s="8">
        <f t="shared" si="1798"/>
        <v>0.4</v>
      </c>
      <c r="I206" s="8">
        <f t="shared" si="1798"/>
        <v>0.46666666666666673</v>
      </c>
      <c r="J206" s="8">
        <f t="shared" si="1798"/>
        <v>0.53333333333333344</v>
      </c>
      <c r="K206" s="8">
        <f t="shared" si="1798"/>
        <v>0.60000000000000009</v>
      </c>
      <c r="L206" s="8">
        <f t="shared" si="1798"/>
        <v>0.66666666666666674</v>
      </c>
      <c r="M206" s="8">
        <f t="shared" si="1798"/>
        <v>0.73333333333333339</v>
      </c>
      <c r="N206" s="8">
        <f t="shared" si="1798"/>
        <v>0.8</v>
      </c>
      <c r="O206" s="8">
        <f t="shared" si="1798"/>
        <v>0.86666666666666681</v>
      </c>
      <c r="P206" s="8">
        <f t="shared" si="1798"/>
        <v>0.93333333333333346</v>
      </c>
      <c r="Q206" s="8">
        <f>Q8/(0.15*10^-3)</f>
        <v>1.0000000000000002</v>
      </c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x14ac:dyDescent="0.25">
      <c r="B207">
        <f>B103/(0.15*10^-3)</f>
        <v>0</v>
      </c>
      <c r="C207" s="8">
        <f t="shared" ref="C207:AF207" si="1799">C103/(0.15*10^-3)</f>
        <v>3.333333333333334E-2</v>
      </c>
      <c r="D207" s="8">
        <f t="shared" si="1799"/>
        <v>6.666666666666668E-2</v>
      </c>
      <c r="E207" s="8">
        <f t="shared" si="1799"/>
        <v>0.10000000000000002</v>
      </c>
      <c r="F207" s="8">
        <f t="shared" si="1799"/>
        <v>0.13333333333333336</v>
      </c>
      <c r="G207" s="8">
        <f t="shared" si="1799"/>
        <v>0.16666666666666669</v>
      </c>
      <c r="H207" s="8">
        <f t="shared" si="1799"/>
        <v>0.2</v>
      </c>
      <c r="I207" s="8">
        <f t="shared" si="1799"/>
        <v>0.23333333333333336</v>
      </c>
      <c r="J207" s="8">
        <f t="shared" si="1799"/>
        <v>0.26666666666666672</v>
      </c>
      <c r="K207" s="8">
        <f t="shared" si="1799"/>
        <v>0.30000000000000004</v>
      </c>
      <c r="L207" s="8">
        <f t="shared" si="1799"/>
        <v>0.33333333333333337</v>
      </c>
      <c r="M207" s="8">
        <f t="shared" si="1799"/>
        <v>0.3666666666666667</v>
      </c>
      <c r="N207" s="8">
        <f t="shared" si="1799"/>
        <v>0.4</v>
      </c>
      <c r="O207" s="8">
        <f t="shared" si="1799"/>
        <v>0.4333333333333334</v>
      </c>
      <c r="P207" s="8">
        <f t="shared" si="1799"/>
        <v>0.46666666666666673</v>
      </c>
      <c r="Q207" s="8">
        <f t="shared" si="1799"/>
        <v>0.50000000000000011</v>
      </c>
      <c r="R207" s="8">
        <f t="shared" si="1799"/>
        <v>0.53333333333333344</v>
      </c>
      <c r="S207" s="8">
        <f t="shared" si="1799"/>
        <v>0.56666666666666676</v>
      </c>
      <c r="T207" s="8">
        <f t="shared" si="1799"/>
        <v>0.60000000000000009</v>
      </c>
      <c r="U207" s="8">
        <f t="shared" si="1799"/>
        <v>0.63333333333333341</v>
      </c>
      <c r="V207" s="8">
        <f t="shared" si="1799"/>
        <v>0.66666666666666674</v>
      </c>
      <c r="W207" s="8">
        <f t="shared" si="1799"/>
        <v>0.70000000000000007</v>
      </c>
      <c r="X207" s="8">
        <f t="shared" si="1799"/>
        <v>0.73333333333333339</v>
      </c>
      <c r="Y207" s="8">
        <f t="shared" si="1799"/>
        <v>0.76666666666666672</v>
      </c>
      <c r="Z207" s="8">
        <f t="shared" si="1799"/>
        <v>0.8</v>
      </c>
      <c r="AA207" s="8">
        <f t="shared" si="1799"/>
        <v>0.83333333333333337</v>
      </c>
      <c r="AB207" s="8">
        <f t="shared" si="1799"/>
        <v>0.86666666666666681</v>
      </c>
      <c r="AC207" s="8">
        <f t="shared" si="1799"/>
        <v>0.90000000000000024</v>
      </c>
      <c r="AD207" s="8">
        <f t="shared" si="1799"/>
        <v>0.93333333333333368</v>
      </c>
      <c r="AE207" s="8">
        <f t="shared" si="1799"/>
        <v>0.96666666666666712</v>
      </c>
      <c r="AF207" s="8">
        <f t="shared" si="1799"/>
        <v>1.0000000000000004</v>
      </c>
      <c r="AG207" s="8"/>
      <c r="AH207" s="8"/>
      <c r="AI207" s="8"/>
      <c r="AJ207" s="8"/>
      <c r="AK207" s="8"/>
      <c r="AL207" s="8"/>
    </row>
    <row r="211" spans="1:165" x14ac:dyDescent="0.25">
      <c r="A211" t="s">
        <v>183</v>
      </c>
      <c r="B211">
        <f>B8/(0.25*10^-3)</f>
        <v>0</v>
      </c>
      <c r="C211" s="8">
        <f t="shared" ref="C211:AA211" si="1800">C8/(0.25*10^-3)</f>
        <v>0.04</v>
      </c>
      <c r="D211" s="8">
        <f t="shared" si="1800"/>
        <v>0.08</v>
      </c>
      <c r="E211" s="8">
        <f t="shared" si="1800"/>
        <v>0.12000000000000001</v>
      </c>
      <c r="F211" s="8">
        <f t="shared" si="1800"/>
        <v>0.16</v>
      </c>
      <c r="G211" s="8">
        <f t="shared" si="1800"/>
        <v>0.2</v>
      </c>
      <c r="H211" s="8">
        <f t="shared" si="1800"/>
        <v>0.24</v>
      </c>
      <c r="I211" s="8">
        <f t="shared" si="1800"/>
        <v>0.28000000000000003</v>
      </c>
      <c r="J211" s="8">
        <f t="shared" si="1800"/>
        <v>0.32</v>
      </c>
      <c r="K211" s="8">
        <f t="shared" si="1800"/>
        <v>0.36000000000000004</v>
      </c>
      <c r="L211" s="8">
        <f t="shared" si="1800"/>
        <v>0.4</v>
      </c>
      <c r="M211" s="8">
        <f t="shared" si="1800"/>
        <v>0.44</v>
      </c>
      <c r="N211" s="8">
        <f t="shared" si="1800"/>
        <v>0.48</v>
      </c>
      <c r="O211" s="8">
        <f t="shared" si="1800"/>
        <v>0.52</v>
      </c>
      <c r="P211" s="8">
        <f t="shared" si="1800"/>
        <v>0.56000000000000005</v>
      </c>
      <c r="Q211" s="8">
        <f t="shared" si="1800"/>
        <v>0.60000000000000009</v>
      </c>
      <c r="R211" s="8">
        <f t="shared" si="1800"/>
        <v>0.64</v>
      </c>
      <c r="S211" s="8">
        <f t="shared" si="1800"/>
        <v>0.68</v>
      </c>
      <c r="T211" s="8">
        <f t="shared" si="1800"/>
        <v>0.72000000000000008</v>
      </c>
      <c r="U211" s="8">
        <f t="shared" si="1800"/>
        <v>0.76</v>
      </c>
      <c r="V211" s="8">
        <f t="shared" si="1800"/>
        <v>0.8</v>
      </c>
      <c r="W211" s="8">
        <f t="shared" si="1800"/>
        <v>0.84</v>
      </c>
      <c r="X211" s="8">
        <f t="shared" si="1800"/>
        <v>0.88</v>
      </c>
      <c r="Y211" s="8">
        <f t="shared" si="1800"/>
        <v>0.92</v>
      </c>
      <c r="Z211" s="8">
        <f t="shared" si="1800"/>
        <v>0.96</v>
      </c>
      <c r="AA211" s="8">
        <f t="shared" si="1800"/>
        <v>1</v>
      </c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165" x14ac:dyDescent="0.25">
      <c r="B212">
        <f>B103/(0.25*10^-3)</f>
        <v>0</v>
      </c>
      <c r="C212" s="8">
        <f t="shared" ref="C212:AZ212" si="1801">C103/(0.25*10^-3)</f>
        <v>0.02</v>
      </c>
      <c r="D212" s="8">
        <f t="shared" si="1801"/>
        <v>0.04</v>
      </c>
      <c r="E212" s="8">
        <f t="shared" si="1801"/>
        <v>6.0000000000000005E-2</v>
      </c>
      <c r="F212" s="8">
        <f t="shared" si="1801"/>
        <v>0.08</v>
      </c>
      <c r="G212" s="8">
        <f t="shared" si="1801"/>
        <v>0.1</v>
      </c>
      <c r="H212" s="8">
        <f t="shared" si="1801"/>
        <v>0.12</v>
      </c>
      <c r="I212" s="8">
        <f t="shared" si="1801"/>
        <v>0.14000000000000001</v>
      </c>
      <c r="J212" s="8">
        <f t="shared" si="1801"/>
        <v>0.16</v>
      </c>
      <c r="K212" s="8">
        <f t="shared" si="1801"/>
        <v>0.18000000000000002</v>
      </c>
      <c r="L212" s="8">
        <f t="shared" si="1801"/>
        <v>0.2</v>
      </c>
      <c r="M212" s="8">
        <f t="shared" si="1801"/>
        <v>0.22</v>
      </c>
      <c r="N212" s="8">
        <f t="shared" si="1801"/>
        <v>0.24</v>
      </c>
      <c r="O212" s="8">
        <f t="shared" si="1801"/>
        <v>0.26</v>
      </c>
      <c r="P212" s="8">
        <f t="shared" si="1801"/>
        <v>0.28000000000000003</v>
      </c>
      <c r="Q212" s="8">
        <f t="shared" si="1801"/>
        <v>0.30000000000000004</v>
      </c>
      <c r="R212" s="8">
        <f t="shared" si="1801"/>
        <v>0.32</v>
      </c>
      <c r="S212" s="8">
        <f t="shared" si="1801"/>
        <v>0.34</v>
      </c>
      <c r="T212" s="8">
        <f t="shared" si="1801"/>
        <v>0.36000000000000004</v>
      </c>
      <c r="U212" s="8">
        <f t="shared" si="1801"/>
        <v>0.38</v>
      </c>
      <c r="V212" s="8">
        <f t="shared" si="1801"/>
        <v>0.4</v>
      </c>
      <c r="W212" s="8">
        <f t="shared" si="1801"/>
        <v>0.42</v>
      </c>
      <c r="X212" s="8">
        <f t="shared" si="1801"/>
        <v>0.44</v>
      </c>
      <c r="Y212" s="8">
        <f t="shared" si="1801"/>
        <v>0.46</v>
      </c>
      <c r="Z212" s="8">
        <f t="shared" si="1801"/>
        <v>0.48</v>
      </c>
      <c r="AA212" s="8">
        <f t="shared" si="1801"/>
        <v>0.5</v>
      </c>
      <c r="AB212" s="8">
        <f t="shared" si="1801"/>
        <v>0.52</v>
      </c>
      <c r="AC212" s="8">
        <f t="shared" si="1801"/>
        <v>0.54000000000000015</v>
      </c>
      <c r="AD212" s="8">
        <f t="shared" si="1801"/>
        <v>0.56000000000000016</v>
      </c>
      <c r="AE212" s="8">
        <f t="shared" si="1801"/>
        <v>0.58000000000000018</v>
      </c>
      <c r="AF212" s="8">
        <f t="shared" si="1801"/>
        <v>0.60000000000000031</v>
      </c>
      <c r="AG212" s="8">
        <f t="shared" si="1801"/>
        <v>0.62000000000000033</v>
      </c>
      <c r="AH212" s="8">
        <f t="shared" si="1801"/>
        <v>0.64000000000000035</v>
      </c>
      <c r="AI212" s="8">
        <f t="shared" si="1801"/>
        <v>0.66000000000000036</v>
      </c>
      <c r="AJ212" s="8">
        <f t="shared" si="1801"/>
        <v>0.68000000000000049</v>
      </c>
      <c r="AK212" s="8">
        <f t="shared" si="1801"/>
        <v>0.70000000000000051</v>
      </c>
      <c r="AL212" s="8">
        <f t="shared" si="1801"/>
        <v>0.72000000000000053</v>
      </c>
      <c r="AM212" s="8">
        <f>AM103/(0.25*10^-3)</f>
        <v>0.74000000000000066</v>
      </c>
      <c r="AN212" s="8">
        <f t="shared" si="1801"/>
        <v>0.76000000000000068</v>
      </c>
      <c r="AO212" s="8">
        <f t="shared" si="1801"/>
        <v>0.78000000000000069</v>
      </c>
      <c r="AP212" s="8">
        <f>AP103/(0.25*10^-3)</f>
        <v>0.80000000000000082</v>
      </c>
      <c r="AQ212" s="8">
        <f t="shared" si="1801"/>
        <v>0.82000000000000084</v>
      </c>
      <c r="AR212" s="8">
        <f t="shared" si="1801"/>
        <v>0.84000000000000086</v>
      </c>
      <c r="AS212" s="8">
        <f t="shared" si="1801"/>
        <v>0.86000000000000099</v>
      </c>
      <c r="AT212" s="8">
        <f t="shared" si="1801"/>
        <v>0.880000000000001</v>
      </c>
      <c r="AU212" s="8">
        <f t="shared" si="1801"/>
        <v>0.90000000000000102</v>
      </c>
      <c r="AV212" s="8">
        <f t="shared" si="1801"/>
        <v>0.92000000000000104</v>
      </c>
      <c r="AW212" s="8">
        <f t="shared" si="1801"/>
        <v>0.94000000000000117</v>
      </c>
      <c r="AX212" s="8">
        <f t="shared" si="1801"/>
        <v>0.96000000000000119</v>
      </c>
      <c r="AY212" s="8">
        <f t="shared" si="1801"/>
        <v>0.9800000000000012</v>
      </c>
      <c r="AZ212" s="8">
        <f t="shared" si="1801"/>
        <v>1.0000000000000013</v>
      </c>
      <c r="BA212" s="8"/>
      <c r="BB212" s="8"/>
      <c r="BC212" s="8"/>
      <c r="BD212" s="8"/>
      <c r="BE212" s="8"/>
      <c r="BF212" s="8"/>
      <c r="BG212" s="8"/>
      <c r="BH212" s="8"/>
    </row>
    <row r="216" spans="1:165" x14ac:dyDescent="0.25">
      <c r="A216" t="s">
        <v>184</v>
      </c>
      <c r="B216">
        <f>B8/(0.5*10^-3)</f>
        <v>0</v>
      </c>
      <c r="C216" s="8">
        <f t="shared" ref="C216:AN216" si="1802">C8/(0.5*10^-3)</f>
        <v>0.02</v>
      </c>
      <c r="D216" s="8">
        <f t="shared" si="1802"/>
        <v>0.04</v>
      </c>
      <c r="E216" s="8">
        <f t="shared" si="1802"/>
        <v>6.0000000000000005E-2</v>
      </c>
      <c r="F216" s="8">
        <f t="shared" si="1802"/>
        <v>0.08</v>
      </c>
      <c r="G216" s="8">
        <f t="shared" si="1802"/>
        <v>0.1</v>
      </c>
      <c r="H216" s="8">
        <f t="shared" si="1802"/>
        <v>0.12</v>
      </c>
      <c r="I216" s="8">
        <f t="shared" si="1802"/>
        <v>0.14000000000000001</v>
      </c>
      <c r="J216" s="8">
        <f t="shared" si="1802"/>
        <v>0.16</v>
      </c>
      <c r="K216" s="8">
        <f t="shared" si="1802"/>
        <v>0.18000000000000002</v>
      </c>
      <c r="L216" s="8">
        <f t="shared" si="1802"/>
        <v>0.2</v>
      </c>
      <c r="M216" s="8">
        <f t="shared" si="1802"/>
        <v>0.22</v>
      </c>
      <c r="N216" s="8">
        <f t="shared" si="1802"/>
        <v>0.24</v>
      </c>
      <c r="O216" s="8">
        <f t="shared" si="1802"/>
        <v>0.26</v>
      </c>
      <c r="P216" s="8">
        <f t="shared" si="1802"/>
        <v>0.28000000000000003</v>
      </c>
      <c r="Q216" s="8">
        <f t="shared" si="1802"/>
        <v>0.30000000000000004</v>
      </c>
      <c r="R216" s="8">
        <f t="shared" si="1802"/>
        <v>0.32</v>
      </c>
      <c r="S216" s="8">
        <f t="shared" si="1802"/>
        <v>0.34</v>
      </c>
      <c r="T216" s="8">
        <f t="shared" si="1802"/>
        <v>0.36000000000000004</v>
      </c>
      <c r="U216" s="8">
        <f t="shared" si="1802"/>
        <v>0.38</v>
      </c>
      <c r="V216" s="8">
        <f t="shared" si="1802"/>
        <v>0.4</v>
      </c>
      <c r="W216" s="8">
        <f t="shared" si="1802"/>
        <v>0.42</v>
      </c>
      <c r="X216" s="8">
        <f t="shared" si="1802"/>
        <v>0.44</v>
      </c>
      <c r="Y216" s="8">
        <f t="shared" si="1802"/>
        <v>0.46</v>
      </c>
      <c r="Z216" s="8">
        <f t="shared" si="1802"/>
        <v>0.48</v>
      </c>
      <c r="AA216" s="8">
        <f t="shared" si="1802"/>
        <v>0.5</v>
      </c>
      <c r="AB216" s="8">
        <f t="shared" si="1802"/>
        <v>0.52</v>
      </c>
      <c r="AC216" s="8">
        <f t="shared" si="1802"/>
        <v>0.54000000000000015</v>
      </c>
      <c r="AD216" s="8">
        <f t="shared" si="1802"/>
        <v>0.56000000000000016</v>
      </c>
      <c r="AE216" s="8">
        <f t="shared" si="1802"/>
        <v>0.58000000000000018</v>
      </c>
      <c r="AF216" s="8">
        <f t="shared" si="1802"/>
        <v>0.60000000000000031</v>
      </c>
      <c r="AG216" s="8">
        <f t="shared" si="1802"/>
        <v>0.62000000000000033</v>
      </c>
      <c r="AH216" s="8">
        <f t="shared" si="1802"/>
        <v>0.64000000000000035</v>
      </c>
      <c r="AI216" s="8">
        <f t="shared" si="1802"/>
        <v>0.66000000000000036</v>
      </c>
      <c r="AJ216" s="8">
        <f t="shared" si="1802"/>
        <v>0.68000000000000049</v>
      </c>
      <c r="AK216" s="8">
        <f t="shared" si="1802"/>
        <v>0.70000000000000051</v>
      </c>
      <c r="AL216" s="8">
        <f t="shared" si="1802"/>
        <v>0.72000000000000053</v>
      </c>
      <c r="AM216" s="8">
        <f t="shared" si="1802"/>
        <v>0.74000000000000066</v>
      </c>
      <c r="AN216" s="8">
        <f t="shared" si="1802"/>
        <v>0.76000000000000068</v>
      </c>
      <c r="AO216" s="8">
        <f>AO8/(0.5*10^-3)</f>
        <v>0.78000000000000069</v>
      </c>
      <c r="AP216" s="8">
        <f>AP8/(0.5*10^-3)</f>
        <v>0.80000000000000082</v>
      </c>
      <c r="AQ216" s="8">
        <f t="shared" ref="AQ216:AZ216" si="1803">AQ8/(0.5*10^-3)</f>
        <v>0.82000000000000084</v>
      </c>
      <c r="AR216" s="8">
        <f t="shared" si="1803"/>
        <v>0.84000000000000086</v>
      </c>
      <c r="AS216" s="8">
        <f t="shared" si="1803"/>
        <v>0.86000000000000099</v>
      </c>
      <c r="AT216" s="8">
        <f t="shared" si="1803"/>
        <v>0.880000000000001</v>
      </c>
      <c r="AU216" s="8">
        <f t="shared" si="1803"/>
        <v>0.90000000000000102</v>
      </c>
      <c r="AV216" s="8">
        <f t="shared" si="1803"/>
        <v>0.92000000000000104</v>
      </c>
      <c r="AW216" s="8">
        <f t="shared" si="1803"/>
        <v>0.94000000000000117</v>
      </c>
      <c r="AX216" s="8">
        <f t="shared" si="1803"/>
        <v>0.96000000000000119</v>
      </c>
      <c r="AY216" s="8">
        <f t="shared" si="1803"/>
        <v>0.9800000000000012</v>
      </c>
      <c r="AZ216" s="8">
        <f t="shared" si="1803"/>
        <v>1.0000000000000013</v>
      </c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</row>
    <row r="217" spans="1:165" x14ac:dyDescent="0.25">
      <c r="B217">
        <f>B103/(0.5*10^-3)</f>
        <v>0</v>
      </c>
      <c r="C217" s="8">
        <f>C103/(0.5*10^-3)</f>
        <v>0.01</v>
      </c>
      <c r="D217" s="8">
        <f t="shared" ref="D217:BN217" si="1804">D103/(0.5*10^-3)</f>
        <v>0.02</v>
      </c>
      <c r="E217" s="8">
        <f t="shared" si="1804"/>
        <v>3.0000000000000002E-2</v>
      </c>
      <c r="F217" s="8">
        <f t="shared" si="1804"/>
        <v>0.04</v>
      </c>
      <c r="G217" s="8">
        <f t="shared" si="1804"/>
        <v>0.05</v>
      </c>
      <c r="H217" s="8">
        <f t="shared" si="1804"/>
        <v>0.06</v>
      </c>
      <c r="I217" s="8">
        <f t="shared" si="1804"/>
        <v>7.0000000000000007E-2</v>
      </c>
      <c r="J217" s="8">
        <f t="shared" si="1804"/>
        <v>0.08</v>
      </c>
      <c r="K217" s="8">
        <f t="shared" si="1804"/>
        <v>9.0000000000000011E-2</v>
      </c>
      <c r="L217" s="8">
        <f t="shared" si="1804"/>
        <v>0.1</v>
      </c>
      <c r="M217" s="8">
        <f t="shared" si="1804"/>
        <v>0.11</v>
      </c>
      <c r="N217" s="8">
        <f t="shared" si="1804"/>
        <v>0.12</v>
      </c>
      <c r="O217" s="8">
        <f t="shared" si="1804"/>
        <v>0.13</v>
      </c>
      <c r="P217" s="8">
        <f t="shared" si="1804"/>
        <v>0.14000000000000001</v>
      </c>
      <c r="Q217" s="8">
        <f t="shared" si="1804"/>
        <v>0.15000000000000002</v>
      </c>
      <c r="R217" s="8">
        <f t="shared" si="1804"/>
        <v>0.16</v>
      </c>
      <c r="S217" s="8">
        <f t="shared" si="1804"/>
        <v>0.17</v>
      </c>
      <c r="T217" s="8">
        <f t="shared" si="1804"/>
        <v>0.18000000000000002</v>
      </c>
      <c r="U217" s="8">
        <f t="shared" si="1804"/>
        <v>0.19</v>
      </c>
      <c r="V217" s="8">
        <f t="shared" si="1804"/>
        <v>0.2</v>
      </c>
      <c r="W217" s="8">
        <f>W103/(0.5*10^-3)</f>
        <v>0.21</v>
      </c>
      <c r="X217" s="8">
        <f t="shared" si="1804"/>
        <v>0.22</v>
      </c>
      <c r="Y217" s="8">
        <f t="shared" si="1804"/>
        <v>0.23</v>
      </c>
      <c r="Z217" s="8">
        <f t="shared" si="1804"/>
        <v>0.24</v>
      </c>
      <c r="AA217" s="8">
        <f t="shared" si="1804"/>
        <v>0.25</v>
      </c>
      <c r="AB217" s="8">
        <f t="shared" si="1804"/>
        <v>0.26</v>
      </c>
      <c r="AC217" s="8">
        <f t="shared" si="1804"/>
        <v>0.27000000000000007</v>
      </c>
      <c r="AD217" s="8">
        <f t="shared" si="1804"/>
        <v>0.28000000000000008</v>
      </c>
      <c r="AE217" s="8">
        <f t="shared" si="1804"/>
        <v>0.29000000000000009</v>
      </c>
      <c r="AF217" s="8">
        <f t="shared" si="1804"/>
        <v>0.30000000000000016</v>
      </c>
      <c r="AG217" s="8">
        <f t="shared" si="1804"/>
        <v>0.31000000000000016</v>
      </c>
      <c r="AH217" s="8">
        <f t="shared" si="1804"/>
        <v>0.32000000000000017</v>
      </c>
      <c r="AI217" s="8">
        <f t="shared" si="1804"/>
        <v>0.33000000000000018</v>
      </c>
      <c r="AJ217" s="8">
        <f t="shared" si="1804"/>
        <v>0.34000000000000025</v>
      </c>
      <c r="AK217" s="8">
        <f>AK103/(0.5*10^-3)</f>
        <v>0.35000000000000026</v>
      </c>
      <c r="AL217" s="8">
        <f t="shared" si="1804"/>
        <v>0.36000000000000026</v>
      </c>
      <c r="AM217" s="8">
        <f t="shared" si="1804"/>
        <v>0.37000000000000033</v>
      </c>
      <c r="AN217" s="8">
        <f t="shared" si="1804"/>
        <v>0.38000000000000034</v>
      </c>
      <c r="AO217" s="8">
        <f t="shared" si="1804"/>
        <v>0.39000000000000035</v>
      </c>
      <c r="AP217" s="8">
        <f t="shared" si="1804"/>
        <v>0.40000000000000041</v>
      </c>
      <c r="AQ217" s="8">
        <f t="shared" si="1804"/>
        <v>0.41000000000000042</v>
      </c>
      <c r="AR217" s="8">
        <f t="shared" si="1804"/>
        <v>0.42000000000000043</v>
      </c>
      <c r="AS217" s="8">
        <f t="shared" si="1804"/>
        <v>0.43000000000000049</v>
      </c>
      <c r="AT217" s="8">
        <f t="shared" si="1804"/>
        <v>0.4400000000000005</v>
      </c>
      <c r="AU217" s="8">
        <f t="shared" si="1804"/>
        <v>0.45000000000000051</v>
      </c>
      <c r="AV217" s="8">
        <f t="shared" si="1804"/>
        <v>0.46000000000000052</v>
      </c>
      <c r="AW217" s="8">
        <f t="shared" si="1804"/>
        <v>0.47000000000000058</v>
      </c>
      <c r="AX217" s="8">
        <f t="shared" si="1804"/>
        <v>0.48000000000000059</v>
      </c>
      <c r="AY217" s="8">
        <f t="shared" si="1804"/>
        <v>0.4900000000000006</v>
      </c>
      <c r="AZ217" s="8">
        <f t="shared" si="1804"/>
        <v>0.50000000000000067</v>
      </c>
      <c r="BA217" s="8">
        <f t="shared" si="1804"/>
        <v>0.51000000000000068</v>
      </c>
      <c r="BB217" s="8">
        <f t="shared" si="1804"/>
        <v>0.52000000000000068</v>
      </c>
      <c r="BC217" s="8">
        <f t="shared" si="1804"/>
        <v>0.53000000000000069</v>
      </c>
      <c r="BD217" s="8">
        <f t="shared" si="1804"/>
        <v>0.5400000000000007</v>
      </c>
      <c r="BE217" s="8">
        <f t="shared" si="1804"/>
        <v>0.55000000000000082</v>
      </c>
      <c r="BF217" s="8">
        <f t="shared" si="1804"/>
        <v>0.56000000000000083</v>
      </c>
      <c r="BG217" s="8">
        <f t="shared" si="1804"/>
        <v>0.57000000000000084</v>
      </c>
      <c r="BH217" s="8">
        <f t="shared" si="1804"/>
        <v>0.58000000000000085</v>
      </c>
      <c r="BI217" s="8">
        <f t="shared" si="1804"/>
        <v>0.59000000000000086</v>
      </c>
      <c r="BJ217" s="8">
        <f t="shared" si="1804"/>
        <v>0.60000000000000087</v>
      </c>
      <c r="BK217" s="8">
        <f t="shared" si="1804"/>
        <v>0.61000000000000099</v>
      </c>
      <c r="BL217" s="8">
        <f t="shared" si="1804"/>
        <v>0.62000000000000099</v>
      </c>
      <c r="BM217" s="8">
        <f t="shared" si="1804"/>
        <v>0.630000000000001</v>
      </c>
      <c r="BN217" s="8">
        <f t="shared" si="1804"/>
        <v>0.64000000000000101</v>
      </c>
      <c r="BO217" s="8">
        <f t="shared" ref="BO217:BZ217" si="1805">BO103/(0.5*10^-3)</f>
        <v>0.65000000000000102</v>
      </c>
      <c r="BP217" s="8">
        <f t="shared" si="1805"/>
        <v>0.66000000000000103</v>
      </c>
      <c r="BQ217" s="8">
        <f t="shared" si="1805"/>
        <v>0.67000000000000104</v>
      </c>
      <c r="BR217" s="8">
        <f t="shared" si="1805"/>
        <v>0.68000000000000116</v>
      </c>
      <c r="BS217" s="8">
        <f t="shared" si="1805"/>
        <v>0.69000000000000117</v>
      </c>
      <c r="BT217" s="8">
        <f t="shared" si="1805"/>
        <v>0.70000000000000118</v>
      </c>
      <c r="BU217" s="8">
        <f t="shared" si="1805"/>
        <v>0.71000000000000119</v>
      </c>
      <c r="BV217" s="8">
        <f t="shared" si="1805"/>
        <v>0.72000000000000119</v>
      </c>
      <c r="BW217" s="8">
        <f t="shared" si="1805"/>
        <v>0.7300000000000012</v>
      </c>
      <c r="BX217" s="8">
        <f t="shared" si="1805"/>
        <v>0.74000000000000132</v>
      </c>
      <c r="BY217" s="8">
        <f t="shared" si="1805"/>
        <v>0.75000000000000133</v>
      </c>
      <c r="BZ217" s="8">
        <f t="shared" si="1805"/>
        <v>0.76000000000000134</v>
      </c>
      <c r="CA217" s="8">
        <f>CA103/(0.5*10^-3)</f>
        <v>0.77000000000000135</v>
      </c>
      <c r="CB217" s="8">
        <f t="shared" ref="CB217:CO217" si="1806">CB103/(0.5*10^-3)</f>
        <v>0.78000000000000136</v>
      </c>
      <c r="CC217" s="8">
        <f t="shared" si="1806"/>
        <v>0.79000000000000137</v>
      </c>
      <c r="CD217" s="8">
        <f t="shared" si="1806"/>
        <v>0.80000000000000138</v>
      </c>
      <c r="CE217" s="8">
        <f t="shared" si="1806"/>
        <v>0.8100000000000015</v>
      </c>
      <c r="CF217" s="8">
        <f t="shared" si="1806"/>
        <v>0.82000000000000151</v>
      </c>
      <c r="CG217" s="8">
        <f t="shared" si="1806"/>
        <v>0.83000000000000151</v>
      </c>
      <c r="CH217" s="8">
        <f t="shared" si="1806"/>
        <v>0.84000000000000152</v>
      </c>
      <c r="CI217" s="8">
        <f t="shared" si="1806"/>
        <v>0.85000000000000153</v>
      </c>
      <c r="CJ217" s="8">
        <f t="shared" si="1806"/>
        <v>0.86000000000000154</v>
      </c>
      <c r="CK217" s="8">
        <f t="shared" si="1806"/>
        <v>0.87000000000000166</v>
      </c>
      <c r="CL217" s="8">
        <f t="shared" si="1806"/>
        <v>0.88000000000000167</v>
      </c>
      <c r="CM217" s="8">
        <f t="shared" si="1806"/>
        <v>0.89000000000000168</v>
      </c>
      <c r="CN217" s="8">
        <f t="shared" si="1806"/>
        <v>0.90000000000000169</v>
      </c>
      <c r="CO217" s="8">
        <f t="shared" si="1806"/>
        <v>0.9100000000000017</v>
      </c>
      <c r="CP217" s="8">
        <f>CP103/(0.5*10^-3)</f>
        <v>0.92000000000000171</v>
      </c>
      <c r="CQ217" s="8">
        <f t="shared" ref="CQ217" si="1807">CQ103/(0.5*10^-3)</f>
        <v>0.93000000000000171</v>
      </c>
      <c r="CR217" s="8">
        <f>CR103/(0.5*10^-3)</f>
        <v>0.94000000000000183</v>
      </c>
      <c r="CS217" s="8">
        <f t="shared" ref="CS217:CU217" si="1808">CS103/(0.5*10^-3)</f>
        <v>0.95000000000000184</v>
      </c>
      <c r="CT217" s="8">
        <f t="shared" si="1808"/>
        <v>0.96000000000000185</v>
      </c>
      <c r="CU217" s="8">
        <f t="shared" si="1808"/>
        <v>0.97000000000000186</v>
      </c>
      <c r="CV217" s="8">
        <f>CV103/(0.5*10^-3)</f>
        <v>0.98000000000000187</v>
      </c>
      <c r="CW217" s="8">
        <f t="shared" ref="CW217" si="1809">CW103/(0.5*10^-3)</f>
        <v>0.99000000000000188</v>
      </c>
      <c r="CX217" s="8">
        <f>CX103/(0.5*10^-3)</f>
        <v>1.000000000000002</v>
      </c>
    </row>
    <row r="221" spans="1:165" x14ac:dyDescent="0.25">
      <c r="A221" t="s">
        <v>185</v>
      </c>
      <c r="B221">
        <f>B8/(0.8*10^-3)</f>
        <v>0</v>
      </c>
      <c r="C221" s="8">
        <f t="shared" ref="C221:BN221" si="1810">C8/(0.8*10^-3)</f>
        <v>1.2500000000000001E-2</v>
      </c>
      <c r="D221" s="8">
        <f t="shared" si="1810"/>
        <v>2.5000000000000001E-2</v>
      </c>
      <c r="E221" s="8">
        <f t="shared" si="1810"/>
        <v>3.7500000000000006E-2</v>
      </c>
      <c r="F221" s="8">
        <f t="shared" si="1810"/>
        <v>0.05</v>
      </c>
      <c r="G221" s="8">
        <f t="shared" si="1810"/>
        <v>6.25E-2</v>
      </c>
      <c r="H221" s="8">
        <f t="shared" si="1810"/>
        <v>7.4999999999999997E-2</v>
      </c>
      <c r="I221" s="8">
        <f t="shared" si="1810"/>
        <v>8.7500000000000008E-2</v>
      </c>
      <c r="J221" s="8">
        <f t="shared" si="1810"/>
        <v>0.1</v>
      </c>
      <c r="K221" s="8">
        <f t="shared" si="1810"/>
        <v>0.1125</v>
      </c>
      <c r="L221" s="8">
        <f t="shared" si="1810"/>
        <v>0.125</v>
      </c>
      <c r="M221" s="8">
        <f t="shared" si="1810"/>
        <v>0.13750000000000001</v>
      </c>
      <c r="N221" s="8">
        <f t="shared" si="1810"/>
        <v>0.15</v>
      </c>
      <c r="O221" s="8">
        <f t="shared" si="1810"/>
        <v>0.16250000000000001</v>
      </c>
      <c r="P221" s="8">
        <f t="shared" si="1810"/>
        <v>0.17500000000000002</v>
      </c>
      <c r="Q221" s="8">
        <f t="shared" si="1810"/>
        <v>0.1875</v>
      </c>
      <c r="R221" s="8">
        <f t="shared" si="1810"/>
        <v>0.2</v>
      </c>
      <c r="S221" s="8">
        <f t="shared" si="1810"/>
        <v>0.21249999999999999</v>
      </c>
      <c r="T221" s="8">
        <f t="shared" si="1810"/>
        <v>0.22500000000000001</v>
      </c>
      <c r="U221" s="8">
        <f t="shared" si="1810"/>
        <v>0.23749999999999999</v>
      </c>
      <c r="V221" s="8">
        <f t="shared" si="1810"/>
        <v>0.25</v>
      </c>
      <c r="W221" s="8">
        <f t="shared" si="1810"/>
        <v>0.26250000000000001</v>
      </c>
      <c r="X221" s="8">
        <f t="shared" si="1810"/>
        <v>0.27500000000000002</v>
      </c>
      <c r="Y221" s="8">
        <f t="shared" si="1810"/>
        <v>0.28749999999999998</v>
      </c>
      <c r="Z221" s="8">
        <f t="shared" si="1810"/>
        <v>0.3</v>
      </c>
      <c r="AA221" s="8">
        <f t="shared" si="1810"/>
        <v>0.3125</v>
      </c>
      <c r="AB221" s="8">
        <f t="shared" si="1810"/>
        <v>0.32500000000000001</v>
      </c>
      <c r="AC221" s="8">
        <f t="shared" si="1810"/>
        <v>0.33750000000000008</v>
      </c>
      <c r="AD221" s="8">
        <f t="shared" si="1810"/>
        <v>0.35000000000000009</v>
      </c>
      <c r="AE221" s="8">
        <f t="shared" si="1810"/>
        <v>0.3625000000000001</v>
      </c>
      <c r="AF221" s="8">
        <f t="shared" si="1810"/>
        <v>0.37500000000000017</v>
      </c>
      <c r="AG221" s="8">
        <f t="shared" si="1810"/>
        <v>0.38750000000000018</v>
      </c>
      <c r="AH221" s="8">
        <f t="shared" si="1810"/>
        <v>0.40000000000000024</v>
      </c>
      <c r="AI221" s="8">
        <f t="shared" si="1810"/>
        <v>0.41250000000000026</v>
      </c>
      <c r="AJ221" s="8">
        <f t="shared" si="1810"/>
        <v>0.42500000000000027</v>
      </c>
      <c r="AK221" s="8">
        <f t="shared" si="1810"/>
        <v>0.43750000000000033</v>
      </c>
      <c r="AL221" s="8">
        <f t="shared" si="1810"/>
        <v>0.45000000000000034</v>
      </c>
      <c r="AM221" s="8">
        <f t="shared" si="1810"/>
        <v>0.46250000000000036</v>
      </c>
      <c r="AN221" s="8">
        <f t="shared" si="1810"/>
        <v>0.47500000000000042</v>
      </c>
      <c r="AO221" s="8">
        <f t="shared" si="1810"/>
        <v>0.48750000000000043</v>
      </c>
      <c r="AP221" s="8">
        <f t="shared" si="1810"/>
        <v>0.50000000000000044</v>
      </c>
      <c r="AQ221" s="8">
        <f t="shared" si="1810"/>
        <v>0.51250000000000051</v>
      </c>
      <c r="AR221" s="8">
        <f t="shared" si="1810"/>
        <v>0.52500000000000058</v>
      </c>
      <c r="AS221" s="8">
        <f t="shared" si="1810"/>
        <v>0.53750000000000053</v>
      </c>
      <c r="AT221" s="8">
        <f t="shared" si="1810"/>
        <v>0.5500000000000006</v>
      </c>
      <c r="AU221" s="8">
        <f t="shared" si="1810"/>
        <v>0.56250000000000067</v>
      </c>
      <c r="AV221" s="8">
        <f t="shared" si="1810"/>
        <v>0.57500000000000062</v>
      </c>
      <c r="AW221" s="8">
        <f t="shared" si="1810"/>
        <v>0.58750000000000069</v>
      </c>
      <c r="AX221" s="8">
        <f t="shared" si="1810"/>
        <v>0.60000000000000075</v>
      </c>
      <c r="AY221" s="8">
        <f t="shared" si="1810"/>
        <v>0.61250000000000071</v>
      </c>
      <c r="AZ221" s="8">
        <f t="shared" si="1810"/>
        <v>0.62500000000000078</v>
      </c>
      <c r="BA221" s="8">
        <f t="shared" si="1810"/>
        <v>0.63750000000000084</v>
      </c>
      <c r="BB221" s="8">
        <f t="shared" si="1810"/>
        <v>0.65000000000000091</v>
      </c>
      <c r="BC221" s="8">
        <f t="shared" si="1810"/>
        <v>0.66250000000000087</v>
      </c>
      <c r="BD221" s="8">
        <f t="shared" si="1810"/>
        <v>0.67500000000000093</v>
      </c>
      <c r="BE221" s="8">
        <f t="shared" si="1810"/>
        <v>0.687500000000001</v>
      </c>
      <c r="BF221" s="8">
        <f t="shared" si="1810"/>
        <v>0.70000000000000095</v>
      </c>
      <c r="BG221" s="8">
        <f t="shared" si="1810"/>
        <v>0.71250000000000102</v>
      </c>
      <c r="BH221" s="8">
        <f t="shared" si="1810"/>
        <v>0.72500000000000109</v>
      </c>
      <c r="BI221" s="8">
        <f t="shared" si="1810"/>
        <v>0.73750000000000104</v>
      </c>
      <c r="BJ221" s="8">
        <f t="shared" si="1810"/>
        <v>0.75000000000000111</v>
      </c>
      <c r="BK221" s="8">
        <f t="shared" si="1810"/>
        <v>0.76250000000000118</v>
      </c>
      <c r="BL221" s="8">
        <f t="shared" si="1810"/>
        <v>0.77500000000000113</v>
      </c>
      <c r="BM221" s="8">
        <f t="shared" si="1810"/>
        <v>0.7875000000000012</v>
      </c>
      <c r="BN221" s="8">
        <f t="shared" si="1810"/>
        <v>0.80000000000000127</v>
      </c>
      <c r="BO221" s="8">
        <f t="shared" ref="BO221:CD221" si="1811">BO8/(0.8*10^-3)</f>
        <v>0.81250000000000133</v>
      </c>
      <c r="BP221" s="8">
        <f t="shared" si="1811"/>
        <v>0.82500000000000129</v>
      </c>
      <c r="BQ221" s="8">
        <f t="shared" si="1811"/>
        <v>0.83750000000000135</v>
      </c>
      <c r="BR221" s="8">
        <f t="shared" si="1811"/>
        <v>0.85000000000000142</v>
      </c>
      <c r="BS221" s="8">
        <f t="shared" si="1811"/>
        <v>0.86250000000000138</v>
      </c>
      <c r="BT221" s="8">
        <f t="shared" si="1811"/>
        <v>0.87500000000000144</v>
      </c>
      <c r="BU221" s="8">
        <f t="shared" si="1811"/>
        <v>0.88750000000000151</v>
      </c>
      <c r="BV221" s="8">
        <f t="shared" si="1811"/>
        <v>0.90000000000000147</v>
      </c>
      <c r="BW221" s="8">
        <f t="shared" si="1811"/>
        <v>0.91250000000000153</v>
      </c>
      <c r="BX221" s="8">
        <f t="shared" si="1811"/>
        <v>0.9250000000000016</v>
      </c>
      <c r="BY221" s="8">
        <f t="shared" si="1811"/>
        <v>0.93750000000000155</v>
      </c>
      <c r="BZ221" s="8">
        <f t="shared" si="1811"/>
        <v>0.95000000000000162</v>
      </c>
      <c r="CA221" s="8">
        <f t="shared" si="1811"/>
        <v>0.96250000000000169</v>
      </c>
      <c r="CB221" s="8">
        <f t="shared" si="1811"/>
        <v>0.97500000000000164</v>
      </c>
      <c r="CC221" s="8">
        <f t="shared" si="1811"/>
        <v>0.98750000000000171</v>
      </c>
      <c r="CD221" s="8">
        <f t="shared" si="1811"/>
        <v>1.0000000000000018</v>
      </c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</row>
    <row r="222" spans="1:165" x14ac:dyDescent="0.25">
      <c r="B222">
        <f>B103/(0.8*10^-3)</f>
        <v>0</v>
      </c>
      <c r="C222" s="8">
        <f t="shared" ref="C222:BN222" si="1812">C103/(0.8*10^-3)</f>
        <v>6.2500000000000003E-3</v>
      </c>
      <c r="D222" s="8">
        <f t="shared" si="1812"/>
        <v>1.2500000000000001E-2</v>
      </c>
      <c r="E222" s="8">
        <f t="shared" si="1812"/>
        <v>1.8750000000000003E-2</v>
      </c>
      <c r="F222" s="8">
        <f t="shared" si="1812"/>
        <v>2.5000000000000001E-2</v>
      </c>
      <c r="G222" s="8">
        <f t="shared" si="1812"/>
        <v>3.125E-2</v>
      </c>
      <c r="H222" s="8">
        <f t="shared" si="1812"/>
        <v>3.7499999999999999E-2</v>
      </c>
      <c r="I222" s="8">
        <f t="shared" si="1812"/>
        <v>4.3750000000000004E-2</v>
      </c>
      <c r="J222" s="8">
        <f t="shared" si="1812"/>
        <v>0.05</v>
      </c>
      <c r="K222" s="8">
        <f t="shared" si="1812"/>
        <v>5.6250000000000001E-2</v>
      </c>
      <c r="L222" s="8">
        <f t="shared" si="1812"/>
        <v>6.25E-2</v>
      </c>
      <c r="M222" s="8">
        <f t="shared" si="1812"/>
        <v>6.8750000000000006E-2</v>
      </c>
      <c r="N222" s="8">
        <f t="shared" si="1812"/>
        <v>7.4999999999999997E-2</v>
      </c>
      <c r="O222" s="8">
        <f t="shared" si="1812"/>
        <v>8.1250000000000003E-2</v>
      </c>
      <c r="P222" s="8">
        <f t="shared" si="1812"/>
        <v>8.7500000000000008E-2</v>
      </c>
      <c r="Q222" s="8">
        <f t="shared" si="1812"/>
        <v>9.375E-2</v>
      </c>
      <c r="R222" s="8">
        <f t="shared" si="1812"/>
        <v>0.1</v>
      </c>
      <c r="S222" s="8">
        <f t="shared" si="1812"/>
        <v>0.10625</v>
      </c>
      <c r="T222" s="8">
        <f t="shared" si="1812"/>
        <v>0.1125</v>
      </c>
      <c r="U222" s="8">
        <f t="shared" si="1812"/>
        <v>0.11874999999999999</v>
      </c>
      <c r="V222" s="8">
        <f t="shared" si="1812"/>
        <v>0.125</v>
      </c>
      <c r="W222" s="8">
        <f t="shared" si="1812"/>
        <v>0.13125000000000001</v>
      </c>
      <c r="X222" s="8">
        <f t="shared" si="1812"/>
        <v>0.13750000000000001</v>
      </c>
      <c r="Y222" s="8">
        <f t="shared" si="1812"/>
        <v>0.14374999999999999</v>
      </c>
      <c r="Z222" s="8">
        <f t="shared" si="1812"/>
        <v>0.15</v>
      </c>
      <c r="AA222" s="8">
        <f t="shared" si="1812"/>
        <v>0.15625</v>
      </c>
      <c r="AB222" s="8">
        <f t="shared" si="1812"/>
        <v>0.16250000000000001</v>
      </c>
      <c r="AC222" s="8">
        <f t="shared" si="1812"/>
        <v>0.16875000000000004</v>
      </c>
      <c r="AD222" s="8">
        <f t="shared" si="1812"/>
        <v>0.17500000000000004</v>
      </c>
      <c r="AE222" s="8">
        <f t="shared" si="1812"/>
        <v>0.18125000000000005</v>
      </c>
      <c r="AF222" s="8">
        <f t="shared" si="1812"/>
        <v>0.18750000000000008</v>
      </c>
      <c r="AG222" s="8">
        <f t="shared" si="1812"/>
        <v>0.19375000000000009</v>
      </c>
      <c r="AH222" s="8">
        <f t="shared" si="1812"/>
        <v>0.20000000000000012</v>
      </c>
      <c r="AI222" s="8">
        <f t="shared" si="1812"/>
        <v>0.20625000000000013</v>
      </c>
      <c r="AJ222" s="8">
        <f t="shared" si="1812"/>
        <v>0.21250000000000013</v>
      </c>
      <c r="AK222" s="8">
        <f t="shared" si="1812"/>
        <v>0.21875000000000017</v>
      </c>
      <c r="AL222" s="8">
        <f t="shared" si="1812"/>
        <v>0.22500000000000017</v>
      </c>
      <c r="AM222" s="8">
        <f t="shared" si="1812"/>
        <v>0.23125000000000018</v>
      </c>
      <c r="AN222" s="8">
        <f t="shared" si="1812"/>
        <v>0.23750000000000021</v>
      </c>
      <c r="AO222" s="8">
        <f t="shared" si="1812"/>
        <v>0.24375000000000022</v>
      </c>
      <c r="AP222" s="8">
        <f t="shared" si="1812"/>
        <v>0.25000000000000022</v>
      </c>
      <c r="AQ222" s="8">
        <f t="shared" si="1812"/>
        <v>0.25625000000000026</v>
      </c>
      <c r="AR222" s="8">
        <f t="shared" si="1812"/>
        <v>0.26250000000000029</v>
      </c>
      <c r="AS222" s="8">
        <f t="shared" si="1812"/>
        <v>0.26875000000000027</v>
      </c>
      <c r="AT222" s="8">
        <f t="shared" si="1812"/>
        <v>0.2750000000000003</v>
      </c>
      <c r="AU222" s="8">
        <f t="shared" si="1812"/>
        <v>0.28125000000000033</v>
      </c>
      <c r="AV222" s="8">
        <f t="shared" si="1812"/>
        <v>0.28750000000000031</v>
      </c>
      <c r="AW222" s="8">
        <f t="shared" si="1812"/>
        <v>0.29375000000000034</v>
      </c>
      <c r="AX222" s="8">
        <f t="shared" si="1812"/>
        <v>0.30000000000000038</v>
      </c>
      <c r="AY222" s="8">
        <f t="shared" si="1812"/>
        <v>0.30625000000000036</v>
      </c>
      <c r="AZ222" s="8">
        <f t="shared" si="1812"/>
        <v>0.31250000000000039</v>
      </c>
      <c r="BA222" s="8">
        <f t="shared" si="1812"/>
        <v>0.31875000000000042</v>
      </c>
      <c r="BB222" s="8">
        <f t="shared" si="1812"/>
        <v>0.32500000000000046</v>
      </c>
      <c r="BC222" s="8">
        <f t="shared" si="1812"/>
        <v>0.33125000000000043</v>
      </c>
      <c r="BD222" s="8">
        <f t="shared" si="1812"/>
        <v>0.33750000000000047</v>
      </c>
      <c r="BE222" s="8">
        <f t="shared" si="1812"/>
        <v>0.3437500000000005</v>
      </c>
      <c r="BF222" s="8">
        <f t="shared" si="1812"/>
        <v>0.35000000000000048</v>
      </c>
      <c r="BG222" s="8">
        <f t="shared" si="1812"/>
        <v>0.35625000000000051</v>
      </c>
      <c r="BH222" s="8">
        <f t="shared" si="1812"/>
        <v>0.36250000000000054</v>
      </c>
      <c r="BI222" s="8">
        <f t="shared" si="1812"/>
        <v>0.36875000000000052</v>
      </c>
      <c r="BJ222" s="8">
        <f t="shared" si="1812"/>
        <v>0.37500000000000056</v>
      </c>
      <c r="BK222" s="8">
        <f t="shared" si="1812"/>
        <v>0.38125000000000059</v>
      </c>
      <c r="BL222" s="8">
        <f t="shared" si="1812"/>
        <v>0.38750000000000057</v>
      </c>
      <c r="BM222" s="8">
        <f t="shared" si="1812"/>
        <v>0.3937500000000006</v>
      </c>
      <c r="BN222" s="8">
        <f t="shared" si="1812"/>
        <v>0.40000000000000063</v>
      </c>
      <c r="BO222" s="8">
        <f t="shared" ref="BO222:CH222" si="1813">BO103/(0.8*10^-3)</f>
        <v>0.40625000000000067</v>
      </c>
      <c r="BP222" s="8">
        <f t="shared" si="1813"/>
        <v>0.41250000000000064</v>
      </c>
      <c r="BQ222" s="8">
        <f t="shared" si="1813"/>
        <v>0.41875000000000068</v>
      </c>
      <c r="BR222" s="8">
        <f t="shared" si="1813"/>
        <v>0.42500000000000071</v>
      </c>
      <c r="BS222" s="8">
        <f t="shared" si="1813"/>
        <v>0.43125000000000069</v>
      </c>
      <c r="BT222" s="8">
        <f t="shared" si="1813"/>
        <v>0.43750000000000072</v>
      </c>
      <c r="BU222" s="8">
        <f t="shared" si="1813"/>
        <v>0.44375000000000075</v>
      </c>
      <c r="BV222" s="8">
        <f t="shared" si="1813"/>
        <v>0.45000000000000073</v>
      </c>
      <c r="BW222" s="8">
        <f t="shared" si="1813"/>
        <v>0.45625000000000077</v>
      </c>
      <c r="BX222" s="8">
        <f t="shared" si="1813"/>
        <v>0.4625000000000008</v>
      </c>
      <c r="BY222" s="8">
        <f t="shared" si="1813"/>
        <v>0.46875000000000078</v>
      </c>
      <c r="BZ222" s="8">
        <f t="shared" si="1813"/>
        <v>0.47500000000000081</v>
      </c>
      <c r="CA222" s="8">
        <f t="shared" si="1813"/>
        <v>0.48125000000000084</v>
      </c>
      <c r="CB222" s="8">
        <f t="shared" si="1813"/>
        <v>0.48750000000000082</v>
      </c>
      <c r="CC222" s="8">
        <f t="shared" si="1813"/>
        <v>0.49375000000000085</v>
      </c>
      <c r="CD222" s="8">
        <f t="shared" si="1813"/>
        <v>0.50000000000000089</v>
      </c>
      <c r="CE222" s="8">
        <f t="shared" si="1813"/>
        <v>0.50625000000000087</v>
      </c>
      <c r="CF222" s="8">
        <f t="shared" si="1813"/>
        <v>0.51250000000000095</v>
      </c>
      <c r="CG222" s="8">
        <f t="shared" si="1813"/>
        <v>0.51875000000000093</v>
      </c>
      <c r="CH222" s="8">
        <f t="shared" si="1813"/>
        <v>0.52500000000000091</v>
      </c>
      <c r="CI222" s="8">
        <f>CI103/(0.8*10^-3)</f>
        <v>0.531250000000001</v>
      </c>
      <c r="CJ222" s="8">
        <f t="shared" ref="CJ222:EK222" si="1814">CJ103/(0.8*10^-3)</f>
        <v>0.53750000000000098</v>
      </c>
      <c r="CK222" s="8">
        <f t="shared" si="1814"/>
        <v>0.54375000000000095</v>
      </c>
      <c r="CL222" s="8">
        <f t="shared" si="1814"/>
        <v>0.55000000000000104</v>
      </c>
      <c r="CM222" s="8">
        <f t="shared" si="1814"/>
        <v>0.55625000000000102</v>
      </c>
      <c r="CN222" s="8">
        <f t="shared" si="1814"/>
        <v>0.562500000000001</v>
      </c>
      <c r="CO222" s="8">
        <f t="shared" si="1814"/>
        <v>0.56875000000000109</v>
      </c>
      <c r="CP222" s="8">
        <f t="shared" si="1814"/>
        <v>0.57500000000000107</v>
      </c>
      <c r="CQ222" s="8">
        <f t="shared" si="1814"/>
        <v>0.58125000000000104</v>
      </c>
      <c r="CR222" s="8">
        <f t="shared" si="1814"/>
        <v>0.58750000000000113</v>
      </c>
      <c r="CS222" s="8">
        <f t="shared" si="1814"/>
        <v>0.59375000000000111</v>
      </c>
      <c r="CT222" s="8">
        <f t="shared" si="1814"/>
        <v>0.60000000000000109</v>
      </c>
      <c r="CU222" s="8">
        <f t="shared" si="1814"/>
        <v>0.60625000000000118</v>
      </c>
      <c r="CV222" s="8">
        <f t="shared" si="1814"/>
        <v>0.61250000000000115</v>
      </c>
      <c r="CW222" s="8">
        <f t="shared" si="1814"/>
        <v>0.61875000000000113</v>
      </c>
      <c r="CX222" s="8">
        <f t="shared" si="1814"/>
        <v>0.62500000000000122</v>
      </c>
      <c r="CY222" s="8">
        <f t="shared" si="1814"/>
        <v>0.6312500000000012</v>
      </c>
      <c r="CZ222" s="8">
        <f t="shared" si="1814"/>
        <v>0.63750000000000129</v>
      </c>
      <c r="DA222" s="8">
        <f t="shared" si="1814"/>
        <v>0.64375000000000127</v>
      </c>
      <c r="DB222" s="8">
        <f t="shared" si="1814"/>
        <v>0.65000000000000124</v>
      </c>
      <c r="DC222" s="8">
        <f t="shared" si="1814"/>
        <v>0.65625000000000133</v>
      </c>
      <c r="DD222" s="8">
        <f t="shared" si="1814"/>
        <v>0.66250000000000131</v>
      </c>
      <c r="DE222" s="8">
        <f t="shared" si="1814"/>
        <v>0.66875000000000129</v>
      </c>
      <c r="DF222" s="8">
        <f t="shared" si="1814"/>
        <v>0.67500000000000138</v>
      </c>
      <c r="DG222" s="8">
        <f t="shared" si="1814"/>
        <v>0.68125000000000135</v>
      </c>
      <c r="DH222" s="8">
        <f t="shared" si="1814"/>
        <v>0.68750000000000133</v>
      </c>
      <c r="DI222" s="8">
        <f t="shared" si="1814"/>
        <v>0.69375000000000142</v>
      </c>
      <c r="DJ222" s="8">
        <f t="shared" si="1814"/>
        <v>0.7000000000000014</v>
      </c>
      <c r="DK222" s="8">
        <f t="shared" si="1814"/>
        <v>0.70625000000000138</v>
      </c>
      <c r="DL222" s="8">
        <f t="shared" si="1814"/>
        <v>0.71250000000000147</v>
      </c>
      <c r="DM222" s="8">
        <f t="shared" si="1814"/>
        <v>0.71875000000000144</v>
      </c>
      <c r="DN222" s="8">
        <f t="shared" si="1814"/>
        <v>0.72500000000000142</v>
      </c>
      <c r="DO222" s="8">
        <f t="shared" si="1814"/>
        <v>0.73125000000000151</v>
      </c>
      <c r="DP222" s="8">
        <f t="shared" si="1814"/>
        <v>0.73750000000000149</v>
      </c>
      <c r="DQ222" s="8">
        <f t="shared" si="1814"/>
        <v>0.74375000000000147</v>
      </c>
      <c r="DR222" s="8">
        <f t="shared" si="1814"/>
        <v>0.75000000000000155</v>
      </c>
      <c r="DS222" s="8">
        <f t="shared" si="1814"/>
        <v>0.75625000000000153</v>
      </c>
      <c r="DT222" s="8">
        <f t="shared" si="1814"/>
        <v>0.76250000000000151</v>
      </c>
      <c r="DU222" s="8">
        <f t="shared" si="1814"/>
        <v>0.7687500000000016</v>
      </c>
      <c r="DV222" s="8">
        <f t="shared" si="1814"/>
        <v>0.77500000000000158</v>
      </c>
      <c r="DW222" s="8">
        <f t="shared" si="1814"/>
        <v>0.78125000000000155</v>
      </c>
      <c r="DX222" s="8">
        <f t="shared" si="1814"/>
        <v>0.78750000000000164</v>
      </c>
      <c r="DY222" s="8">
        <f t="shared" si="1814"/>
        <v>0.79375000000000162</v>
      </c>
      <c r="DZ222" s="8">
        <f t="shared" si="1814"/>
        <v>0.8000000000000016</v>
      </c>
      <c r="EA222" s="8">
        <f t="shared" si="1814"/>
        <v>0.80625000000000169</v>
      </c>
      <c r="EB222" s="8">
        <f t="shared" si="1814"/>
        <v>0.81250000000000167</v>
      </c>
      <c r="EC222" s="8">
        <f t="shared" si="1814"/>
        <v>0.81875000000000175</v>
      </c>
      <c r="ED222" s="8">
        <f t="shared" si="1814"/>
        <v>0.82500000000000173</v>
      </c>
      <c r="EE222" s="8">
        <f t="shared" si="1814"/>
        <v>0.83125000000000171</v>
      </c>
      <c r="EF222" s="8">
        <f t="shared" si="1814"/>
        <v>0.8375000000000018</v>
      </c>
      <c r="EG222" s="8">
        <f t="shared" si="1814"/>
        <v>0.84375000000000178</v>
      </c>
      <c r="EH222" s="8">
        <f t="shared" si="1814"/>
        <v>0.85000000000000175</v>
      </c>
      <c r="EI222" s="8">
        <f t="shared" si="1814"/>
        <v>0.85625000000000184</v>
      </c>
      <c r="EJ222" s="8">
        <f t="shared" si="1814"/>
        <v>0.86250000000000182</v>
      </c>
      <c r="EK222" s="8">
        <f t="shared" si="1814"/>
        <v>0.8687500000000018</v>
      </c>
      <c r="EL222" s="8">
        <f>EL103/(0.8*10^-3)</f>
        <v>0.87500000000000189</v>
      </c>
      <c r="EM222" s="8">
        <f t="shared" ref="EM222:FD222" si="1815">EM103/(0.8*10^-3)</f>
        <v>0.88125000000000187</v>
      </c>
      <c r="EN222" s="8">
        <f t="shared" si="1815"/>
        <v>0.88750000000000184</v>
      </c>
      <c r="EO222" s="8">
        <f t="shared" si="1815"/>
        <v>0.89375000000000193</v>
      </c>
      <c r="EP222" s="8">
        <f t="shared" si="1815"/>
        <v>0.90000000000000191</v>
      </c>
      <c r="EQ222" s="8">
        <f t="shared" si="1815"/>
        <v>0.90625000000000189</v>
      </c>
      <c r="ER222" s="8">
        <f t="shared" si="1815"/>
        <v>0.91250000000000198</v>
      </c>
      <c r="ES222" s="8">
        <f t="shared" si="1815"/>
        <v>0.91875000000000195</v>
      </c>
      <c r="ET222" s="8">
        <f t="shared" si="1815"/>
        <v>0.92500000000000193</v>
      </c>
      <c r="EU222" s="8">
        <f t="shared" si="1815"/>
        <v>0.93125000000000202</v>
      </c>
      <c r="EV222" s="8">
        <f t="shared" si="1815"/>
        <v>0.937500000000002</v>
      </c>
      <c r="EW222" s="8">
        <f t="shared" si="1815"/>
        <v>0.94375000000000198</v>
      </c>
      <c r="EX222" s="8">
        <f t="shared" si="1815"/>
        <v>0.95000000000000207</v>
      </c>
      <c r="EY222" s="8">
        <f t="shared" si="1815"/>
        <v>0.95625000000000204</v>
      </c>
      <c r="EZ222" s="8">
        <f t="shared" si="1815"/>
        <v>0.96250000000000202</v>
      </c>
      <c r="FA222" s="8">
        <f t="shared" si="1815"/>
        <v>0.96875000000000211</v>
      </c>
      <c r="FB222" s="8">
        <f t="shared" si="1815"/>
        <v>0.97500000000000209</v>
      </c>
      <c r="FC222" s="8">
        <f t="shared" si="1815"/>
        <v>0.98125000000000207</v>
      </c>
      <c r="FD222" s="8">
        <f t="shared" si="1815"/>
        <v>0.98750000000000215</v>
      </c>
      <c r="FE222" s="8">
        <f>FE103/(0.8*10^-3)</f>
        <v>0.99375000000000213</v>
      </c>
      <c r="FF222" s="8"/>
      <c r="FG222" s="8"/>
      <c r="FH222" s="8"/>
      <c r="FI222" s="8"/>
    </row>
    <row r="229" spans="1:30" x14ac:dyDescent="0.25">
      <c r="A229" s="1"/>
      <c r="B229" s="1"/>
      <c r="C229" s="1" t="s">
        <v>187</v>
      </c>
      <c r="D229" s="1"/>
      <c r="E229" s="1"/>
      <c r="F229" s="1"/>
      <c r="G229" s="1"/>
      <c r="H229" s="1"/>
      <c r="I229" s="1" t="s">
        <v>215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 t="s">
        <v>192</v>
      </c>
      <c r="W229" s="1"/>
      <c r="X229" s="1"/>
      <c r="Y229" s="1"/>
      <c r="Z229" s="1"/>
      <c r="AA229" s="1"/>
      <c r="AB229" s="1"/>
      <c r="AC229" s="1"/>
      <c r="AD229" s="1"/>
    </row>
    <row r="230" spans="1:30" x14ac:dyDescent="0.25">
      <c r="A230" s="1"/>
      <c r="B230" s="1"/>
      <c r="C230" s="1">
        <f>0.012</f>
        <v>1.2E-2</v>
      </c>
      <c r="D230" s="1">
        <f>0.027</f>
        <v>2.7E-2</v>
      </c>
      <c r="E230" s="1">
        <f>0.042</f>
        <v>4.2000000000000003E-2</v>
      </c>
      <c r="F230" s="1"/>
      <c r="G230" s="1"/>
      <c r="H230" s="1" t="s">
        <v>190</v>
      </c>
      <c r="I230" s="1"/>
      <c r="J230" s="1"/>
      <c r="K230" s="1"/>
      <c r="L230" s="1"/>
      <c r="M230" s="1" t="s">
        <v>189</v>
      </c>
      <c r="N230" s="1"/>
      <c r="O230" s="1"/>
      <c r="P230" s="1"/>
      <c r="Q230" s="1" t="s">
        <v>191</v>
      </c>
      <c r="R230" s="1"/>
      <c r="S230" s="1"/>
      <c r="T230" s="1"/>
      <c r="U230" s="1"/>
      <c r="V230" s="1"/>
      <c r="W230" s="1"/>
      <c r="X230" s="1"/>
      <c r="Y230" s="1"/>
      <c r="Z230" s="1"/>
      <c r="AA230" s="1" t="s">
        <v>193</v>
      </c>
      <c r="AB230" s="1"/>
      <c r="AC230" s="1"/>
      <c r="AD230" s="1"/>
    </row>
    <row r="231" spans="1:30" x14ac:dyDescent="0.25">
      <c r="A231" s="1" t="s">
        <v>194</v>
      </c>
      <c r="B231" s="1"/>
      <c r="C231" s="1"/>
      <c r="D231" s="1" t="s">
        <v>188</v>
      </c>
      <c r="E231" s="1"/>
      <c r="F231" s="1"/>
      <c r="G231" s="1"/>
      <c r="H231" s="1">
        <v>12</v>
      </c>
      <c r="I231" s="1">
        <v>27</v>
      </c>
      <c r="J231" s="1">
        <v>42</v>
      </c>
      <c r="K231" s="1"/>
      <c r="L231" s="1"/>
      <c r="M231" s="1">
        <v>12</v>
      </c>
      <c r="N231" s="1">
        <v>27</v>
      </c>
      <c r="O231" s="1">
        <v>42</v>
      </c>
      <c r="P231" s="1"/>
      <c r="Q231" s="1"/>
      <c r="R231" s="1">
        <v>12</v>
      </c>
      <c r="S231" s="1">
        <v>27</v>
      </c>
      <c r="T231" s="1">
        <v>42</v>
      </c>
      <c r="U231" s="1"/>
      <c r="V231" s="1"/>
      <c r="W231" s="1">
        <v>12</v>
      </c>
      <c r="X231" s="1">
        <v>27</v>
      </c>
      <c r="Y231" s="1">
        <v>42</v>
      </c>
      <c r="Z231" s="1"/>
      <c r="AA231" s="1">
        <f>SUM(W232:Y232)/3</f>
        <v>4.8976941453592215E-2</v>
      </c>
      <c r="AB231" s="1"/>
      <c r="AC231" s="1"/>
      <c r="AD231" s="1"/>
    </row>
    <row r="232" spans="1:30" x14ac:dyDescent="0.25">
      <c r="A232" s="1" t="s">
        <v>186</v>
      </c>
      <c r="B232" s="1"/>
      <c r="C232" s="1"/>
      <c r="D232" s="1">
        <f>D175</f>
        <v>1.4999999999999999E-4</v>
      </c>
      <c r="E232" s="1"/>
      <c r="F232" s="1"/>
      <c r="G232" s="1">
        <v>0.3</v>
      </c>
      <c r="H232" s="1">
        <f>-C$163/($A233*SQRT(2)) + ($D232/(2*$A233))*(2*(C$163/$D232)^2 +4*$A233^2)^0.5</f>
        <v>2.7612762095934637E-5</v>
      </c>
      <c r="I232" s="1">
        <f t="shared" ref="I232:J232" si="1816">-D$163/($A233*SQRT(2)) + ($D232/(2*$A233))*(2*(D$163/$D232)^2 +4*$A233^2)^0.5</f>
        <v>1.2612986771921614E-5</v>
      </c>
      <c r="J232" s="1">
        <f t="shared" si="1816"/>
        <v>8.1420273350912668E-6</v>
      </c>
      <c r="K232" s="1"/>
      <c r="L232" s="1">
        <v>0.3</v>
      </c>
      <c r="M232" s="1">
        <f>H232/$D232</f>
        <v>0.18408508063956427</v>
      </c>
      <c r="N232" s="1">
        <f t="shared" ref="N232:O232" si="1817">I232/$D232</f>
        <v>8.4086578479477439E-2</v>
      </c>
      <c r="O232" s="1">
        <f t="shared" si="1817"/>
        <v>5.4280182233941786E-2</v>
      </c>
      <c r="P232" s="1"/>
      <c r="Q232" s="1">
        <v>0.3</v>
      </c>
      <c r="R232" s="1">
        <f>P193</f>
        <v>0</v>
      </c>
      <c r="S232" s="1">
        <f t="shared" ref="S232:T232" si="1818">Q193</f>
        <v>0.29629629629629628</v>
      </c>
      <c r="T232" s="1">
        <f t="shared" si="1818"/>
        <v>0.31506849315068491</v>
      </c>
      <c r="U232" s="1"/>
      <c r="V232" s="1">
        <v>0.3</v>
      </c>
      <c r="W232" s="1">
        <f>(R232-M232)^2</f>
        <v>3.3887316914074879E-2</v>
      </c>
      <c r="X232" s="1">
        <f>(S232-N232)^2</f>
        <v>4.5032964335893884E-2</v>
      </c>
      <c r="Y232" s="1">
        <f>(T232-O232)^2</f>
        <v>6.8010543110807897E-2</v>
      </c>
      <c r="Z232" s="1"/>
      <c r="AA232" s="1">
        <f>SUM(W233:Y233)/3</f>
        <v>7.53167076362598E-3</v>
      </c>
      <c r="AB232" s="1"/>
      <c r="AC232" s="1"/>
      <c r="AD232" s="1"/>
    </row>
    <row r="233" spans="1:30" x14ac:dyDescent="0.25">
      <c r="A233" s="1">
        <v>21.557370872263995</v>
      </c>
      <c r="B233" s="1"/>
      <c r="C233" s="1"/>
      <c r="D233" s="1">
        <f t="shared" ref="D233:D235" si="1819">D176</f>
        <v>2.5000000000000001E-4</v>
      </c>
      <c r="E233" s="1"/>
      <c r="F233" s="1"/>
      <c r="G233" s="1">
        <v>0.5</v>
      </c>
      <c r="H233" s="1">
        <f>-C$163/($A234*SQRT(2)) + ($D233/(2*$A234))*(2*(C$163/$D233)^2 +4*$A234^2)^0.5</f>
        <v>1.2272305316163076E-4</v>
      </c>
      <c r="I233" s="1">
        <f t="shared" ref="I233:I235" si="1820">-D$163/($A234*SQRT(2)) + ($D233/(2*$A234))*(2*(D$163/$D233)^2 +4*$A234^2)^0.5</f>
        <v>6.6738937083890353E-5</v>
      </c>
      <c r="J233" s="1">
        <f t="shared" ref="J233:J234" si="1821">-E$163/($A234*SQRT(2)) + ($D233/(2*$A234))*(2*(E$163/$D233)^2 +4*$A234^2)^0.5</f>
        <v>4.4717735674507531E-5</v>
      </c>
      <c r="K233" s="1"/>
      <c r="L233" s="1">
        <v>0.5</v>
      </c>
      <c r="M233" s="1">
        <f t="shared" ref="M233:M235" si="1822">H233/$D233</f>
        <v>0.49089221264652305</v>
      </c>
      <c r="N233" s="1">
        <f t="shared" ref="N233:N235" si="1823">I233/$D233</f>
        <v>0.2669557483355614</v>
      </c>
      <c r="O233" s="1">
        <f t="shared" ref="O233:O235" si="1824">J233/$D233</f>
        <v>0.17887094269803011</v>
      </c>
      <c r="P233" s="1"/>
      <c r="Q233" s="1">
        <v>0.5</v>
      </c>
      <c r="R233" s="1">
        <f>P194</f>
        <v>0.39473684210526316</v>
      </c>
      <c r="S233" s="1">
        <f t="shared" ref="S233:S235" si="1825">Q194</f>
        <v>0.31578947368421051</v>
      </c>
      <c r="T233" s="1">
        <f t="shared" ref="T233:T235" si="1826">R194</f>
        <v>0.28358208955223879</v>
      </c>
      <c r="U233" s="1"/>
      <c r="V233" s="1">
        <v>0.5</v>
      </c>
      <c r="W233" s="1">
        <f t="shared" ref="W233:W235" si="1827">(R233-M233)^2</f>
        <v>9.2458552839269903E-3</v>
      </c>
      <c r="X233" s="1">
        <f>(S233-N233)^2</f>
        <v>2.3847327314272943E-3</v>
      </c>
      <c r="Y233" s="1">
        <f>(T233-O233)^2</f>
        <v>1.0964424275523656E-2</v>
      </c>
      <c r="Z233" s="1"/>
      <c r="AA233" s="1">
        <f>SUM(W234:Y234)/3</f>
        <v>2.5281616277501896E-3</v>
      </c>
      <c r="AB233" s="1"/>
      <c r="AC233" s="1"/>
      <c r="AD233" s="1"/>
    </row>
    <row r="234" spans="1:30" x14ac:dyDescent="0.25">
      <c r="A234" s="1">
        <v>43.902210874443178</v>
      </c>
      <c r="B234" s="1"/>
      <c r="C234" s="1"/>
      <c r="D234" s="1">
        <f t="shared" si="1819"/>
        <v>5.0000000000000001E-4</v>
      </c>
      <c r="E234" s="1"/>
      <c r="F234" s="1"/>
      <c r="G234" s="1">
        <v>1</v>
      </c>
      <c r="H234" s="1">
        <f>-C$163/($A235*SQRT(2)) + ($D234/(2*$A235))*(2*(C$163/$D234)^2 +4*$A235^2)^0.5</f>
        <v>3.1044148849854522E-4</v>
      </c>
      <c r="I234" s="1">
        <f t="shared" si="1820"/>
        <v>1.9156919394617471E-4</v>
      </c>
      <c r="J234" s="1">
        <f t="shared" si="1821"/>
        <v>1.3397656914572009E-4</v>
      </c>
      <c r="K234" s="1"/>
      <c r="L234" s="1">
        <v>1</v>
      </c>
      <c r="M234" s="1">
        <f t="shared" si="1822"/>
        <v>0.62088297699709039</v>
      </c>
      <c r="N234" s="1">
        <f t="shared" si="1823"/>
        <v>0.38313838789234939</v>
      </c>
      <c r="O234" s="1">
        <f t="shared" si="1824"/>
        <v>0.26795313829144018</v>
      </c>
      <c r="P234" s="1"/>
      <c r="Q234" s="1">
        <v>1</v>
      </c>
      <c r="R234" s="1">
        <f t="shared" ref="R234:R235" si="1828">P195</f>
        <v>0.56818181818181823</v>
      </c>
      <c r="S234" s="1">
        <f t="shared" si="1825"/>
        <v>0.37777777777777777</v>
      </c>
      <c r="T234" s="1">
        <f t="shared" si="1826"/>
        <v>0.33707865168539325</v>
      </c>
      <c r="U234" s="1"/>
      <c r="V234" s="1">
        <v>1</v>
      </c>
      <c r="W234" s="1">
        <f t="shared" si="1827"/>
        <v>2.7774121404725376E-3</v>
      </c>
      <c r="X234" s="1">
        <f t="shared" ref="X234:X235" si="1829">(S234-N234)^2</f>
        <v>2.8736140800447535E-5</v>
      </c>
      <c r="Y234" s="1">
        <f t="shared" ref="Y234:Y235" si="1830">(T234-O234)^2</f>
        <v>4.7783366019775843E-3</v>
      </c>
      <c r="Z234" s="1"/>
      <c r="AA234" s="1">
        <f>SUM(W235:Y235)/3</f>
        <v>2.5981642901841051E-3</v>
      </c>
      <c r="AB234" s="1"/>
      <c r="AC234" s="1"/>
      <c r="AD234" s="1"/>
    </row>
    <row r="235" spans="1:30" x14ac:dyDescent="0.25">
      <c r="A235" s="1">
        <v>34.293439526704475</v>
      </c>
      <c r="B235" s="1"/>
      <c r="C235" s="1"/>
      <c r="D235" s="1">
        <f t="shared" si="1819"/>
        <v>8.0000000000000004E-4</v>
      </c>
      <c r="E235" s="1"/>
      <c r="F235" s="1"/>
      <c r="G235" s="1">
        <v>1.6</v>
      </c>
      <c r="H235" s="1">
        <f t="shared" ref="H235" si="1831">-C$163/($A236*SQRT(2)) + ($D235/(2*$A236))*(2*(C$163/$D235)^2 +4*$A236^2)^0.5</f>
        <v>6.3875734109204415E-4</v>
      </c>
      <c r="I235" s="1">
        <f t="shared" si="1820"/>
        <v>4.8971346544841041E-4</v>
      </c>
      <c r="J235" s="1">
        <f>-E$163/($A236*SQRT(2)) + ($D235/(2*$A236))*(2*(E$163/$D235)^2 +4*$A236^2)^0.5</f>
        <v>3.861648732415041E-4</v>
      </c>
      <c r="K235" s="1"/>
      <c r="L235" s="1">
        <v>1.6</v>
      </c>
      <c r="M235" s="1">
        <f t="shared" si="1822"/>
        <v>0.79844667636505517</v>
      </c>
      <c r="N235" s="1">
        <f t="shared" si="1823"/>
        <v>0.61214183181051296</v>
      </c>
      <c r="O235" s="1">
        <f t="shared" si="1824"/>
        <v>0.4827060915518801</v>
      </c>
      <c r="P235" s="1"/>
      <c r="Q235" s="1">
        <v>1.6</v>
      </c>
      <c r="R235" s="1">
        <f t="shared" si="1828"/>
        <v>0.75155279503105588</v>
      </c>
      <c r="S235" s="1">
        <f t="shared" si="1825"/>
        <v>0.57309941520467833</v>
      </c>
      <c r="T235" s="1">
        <f t="shared" si="1826"/>
        <v>0.54651162790697672</v>
      </c>
      <c r="U235" s="1"/>
      <c r="V235" s="1">
        <v>1.6</v>
      </c>
      <c r="W235" s="1">
        <f t="shared" si="1827"/>
        <v>2.1990361065672079E-3</v>
      </c>
      <c r="X235" s="1">
        <f t="shared" si="1829"/>
        <v>1.5243102944235516E-3</v>
      </c>
      <c r="Y235" s="1">
        <f t="shared" si="1830"/>
        <v>4.0711464695615558E-3</v>
      </c>
      <c r="Z235" s="1"/>
      <c r="AA235" s="1"/>
      <c r="AB235" s="1"/>
      <c r="AC235" s="1"/>
      <c r="AD235" s="1"/>
    </row>
    <row r="236" spans="1:30" x14ac:dyDescent="0.25">
      <c r="A236" s="1">
        <v>46.726649848861491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9" spans="1:30" x14ac:dyDescent="0.25">
      <c r="A239" s="1"/>
      <c r="B239" s="1"/>
      <c r="C239" s="1" t="s">
        <v>187</v>
      </c>
      <c r="D239" s="1"/>
      <c r="E239" s="1"/>
      <c r="F239" s="1"/>
      <c r="G239" s="1"/>
      <c r="H239" s="1"/>
      <c r="I239" s="1" t="s">
        <v>216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 t="s">
        <v>192</v>
      </c>
      <c r="W239" s="1"/>
      <c r="X239" s="1"/>
      <c r="Y239" s="1"/>
      <c r="Z239" s="1"/>
      <c r="AA239" s="1"/>
      <c r="AB239" s="1"/>
      <c r="AC239" s="1"/>
      <c r="AD239" s="1"/>
    </row>
    <row r="240" spans="1:30" x14ac:dyDescent="0.25">
      <c r="A240" s="1"/>
      <c r="B240" s="1"/>
      <c r="C240" s="1">
        <f>0.012</f>
        <v>1.2E-2</v>
      </c>
      <c r="D240" s="1">
        <f>0.027</f>
        <v>2.7E-2</v>
      </c>
      <c r="E240" s="1">
        <f>0.042</f>
        <v>4.2000000000000003E-2</v>
      </c>
      <c r="F240" s="1"/>
      <c r="G240" s="1"/>
      <c r="H240" s="1" t="s">
        <v>190</v>
      </c>
      <c r="I240" s="1"/>
      <c r="J240" s="1"/>
      <c r="K240" s="1"/>
      <c r="L240" s="1"/>
      <c r="M240" s="1" t="s">
        <v>189</v>
      </c>
      <c r="N240" s="1"/>
      <c r="O240" s="1"/>
      <c r="P240" s="1"/>
      <c r="Q240" s="1" t="s">
        <v>191</v>
      </c>
      <c r="R240" s="1"/>
      <c r="S240" s="1"/>
      <c r="T240" s="1"/>
      <c r="U240" s="1"/>
      <c r="V240" s="1"/>
      <c r="W240" s="1"/>
      <c r="X240" s="1"/>
      <c r="Y240" s="1"/>
      <c r="Z240" s="1"/>
      <c r="AA240" s="1" t="s">
        <v>193</v>
      </c>
      <c r="AB240" s="1"/>
      <c r="AC240" s="1"/>
      <c r="AD240" s="1"/>
    </row>
    <row r="241" spans="1:30" x14ac:dyDescent="0.25">
      <c r="A241" s="1" t="s">
        <v>194</v>
      </c>
      <c r="B241" s="1"/>
      <c r="C241" s="1"/>
      <c r="D241" s="1" t="s">
        <v>188</v>
      </c>
      <c r="E241" s="1"/>
      <c r="F241" s="1"/>
      <c r="G241" s="1"/>
      <c r="H241" s="1">
        <v>12</v>
      </c>
      <c r="I241" s="1">
        <v>27</v>
      </c>
      <c r="J241" s="1">
        <v>42</v>
      </c>
      <c r="K241" s="1"/>
      <c r="L241" s="1"/>
      <c r="M241" s="1">
        <v>12</v>
      </c>
      <c r="N241" s="1">
        <v>27</v>
      </c>
      <c r="O241" s="1">
        <v>42</v>
      </c>
      <c r="P241" s="1"/>
      <c r="Q241" s="1"/>
      <c r="R241" s="1">
        <v>12</v>
      </c>
      <c r="S241" s="1">
        <v>27</v>
      </c>
      <c r="T241" s="1">
        <v>42</v>
      </c>
      <c r="U241" s="1"/>
      <c r="V241" s="1"/>
      <c r="W241" s="1">
        <v>12</v>
      </c>
      <c r="X241" s="1">
        <v>27</v>
      </c>
      <c r="Y241" s="1">
        <v>42</v>
      </c>
      <c r="Z241" s="1"/>
      <c r="AA241" s="1">
        <f>SUM(W242:Y242)/3</f>
        <v>2.6613610927469698E-2</v>
      </c>
      <c r="AB241" s="1"/>
      <c r="AC241" s="1"/>
      <c r="AD241" s="1"/>
    </row>
    <row r="242" spans="1:30" x14ac:dyDescent="0.25">
      <c r="A242" s="1" t="s">
        <v>186</v>
      </c>
      <c r="B242" s="1"/>
      <c r="C242" s="1"/>
      <c r="D242" s="1">
        <f>D232</f>
        <v>1.4999999999999999E-4</v>
      </c>
      <c r="E242" s="1"/>
      <c r="F242" s="1"/>
      <c r="G242" s="1">
        <v>0.3</v>
      </c>
      <c r="H242" s="1">
        <f>-C$163/($A243*SQRT(2)) + ($D242/(2*$A243))*(2*(C$163/$D242)^2 +4*$A243^2)^0.5</f>
        <v>1.6355855273146808E-5</v>
      </c>
      <c r="I242" s="1">
        <f t="shared" ref="I242:J242" si="1832">-D$163/($A243*SQRT(2)) + ($D242/(2*$A243))*(2*(D$163/$D242)^2 +4*$A243^2)^0.5</f>
        <v>7.339125719274921E-6</v>
      </c>
      <c r="J242" s="1">
        <f t="shared" si="1832"/>
        <v>4.724638978182219E-6</v>
      </c>
      <c r="K242" s="1"/>
      <c r="L242" s="1">
        <v>0.3</v>
      </c>
      <c r="M242" s="1">
        <f>H242/$D242</f>
        <v>0.10903903515431207</v>
      </c>
      <c r="N242" s="1">
        <f t="shared" ref="N242:O242" si="1833">I242/$D242</f>
        <v>4.8927504795166145E-2</v>
      </c>
      <c r="O242" s="1">
        <f t="shared" si="1833"/>
        <v>3.1497593187881465E-2</v>
      </c>
      <c r="P242" s="1"/>
      <c r="Q242" s="1">
        <v>0.3</v>
      </c>
      <c r="R242" s="1">
        <f>V184</f>
        <v>0</v>
      </c>
      <c r="S242" s="1">
        <f t="shared" ref="S242:T242" si="1834">W184</f>
        <v>0.30769230769230771</v>
      </c>
      <c r="T242" s="1">
        <f t="shared" si="1834"/>
        <v>0</v>
      </c>
      <c r="U242" s="1"/>
      <c r="V242" s="1">
        <v>0.3</v>
      </c>
      <c r="W242" s="1">
        <f>(R242-M242)^2</f>
        <v>1.1889511187383303E-2</v>
      </c>
      <c r="X242" s="1">
        <f>(S242-N242)^2</f>
        <v>6.6959223218396507E-2</v>
      </c>
      <c r="Y242" s="1">
        <f>(T242-O242)^2</f>
        <v>9.9209837662927688E-4</v>
      </c>
      <c r="Z242" s="1"/>
      <c r="AA242" s="1">
        <f>SUM(W243:Y243)/3</f>
        <v>3.692086112952585E-3</v>
      </c>
      <c r="AB242" s="1"/>
      <c r="AC242" s="1"/>
      <c r="AD242" s="1"/>
    </row>
    <row r="243" spans="1:30" x14ac:dyDescent="0.25">
      <c r="A243" s="1">
        <v>12.484796717711864</v>
      </c>
      <c r="B243" s="1"/>
      <c r="C243" s="1"/>
      <c r="D243" s="1">
        <f t="shared" ref="D243:D245" si="1835">D233</f>
        <v>2.5000000000000001E-4</v>
      </c>
      <c r="E243" s="1"/>
      <c r="F243" s="1"/>
      <c r="G243" s="1">
        <v>0.5</v>
      </c>
      <c r="H243" s="1">
        <f t="shared" ref="H243:H245" si="1836">-C$163/($A244*SQRT(2)) + ($D243/(2*$A244))*(2*(C$163/$D243)^2 +4*$A244^2)^0.5</f>
        <v>1.5694622799541425E-4</v>
      </c>
      <c r="I243" s="1">
        <f t="shared" ref="I243:I245" si="1837">-D$163/($A244*SQRT(2)) + ($D243/(2*$A244))*(2*(D$163/$D243)^2 +4*$A244^2)^0.5</f>
        <v>9.7585499955184045E-5</v>
      </c>
      <c r="J243" s="1">
        <f t="shared" ref="J243:J245" si="1838">-E$163/($A244*SQRT(2)) + ($D243/(2*$A244))*(2*(E$163/$D243)^2 +4*$A244^2)^0.5</f>
        <v>6.8460292384918148E-5</v>
      </c>
      <c r="K243" s="1"/>
      <c r="L243" s="1">
        <v>0.5</v>
      </c>
      <c r="M243" s="1">
        <f t="shared" ref="M243:M245" si="1839">H243/$D243</f>
        <v>0.62778491198165698</v>
      </c>
      <c r="N243" s="1">
        <f t="shared" ref="N243:N245" si="1840">I243/$D243</f>
        <v>0.3903419998207362</v>
      </c>
      <c r="O243" s="1">
        <f t="shared" ref="O243:O245" si="1841">J243/$D243</f>
        <v>0.27384116953967258</v>
      </c>
      <c r="P243" s="1"/>
      <c r="Q243" s="1">
        <v>0.5</v>
      </c>
      <c r="R243" s="1">
        <f t="shared" ref="R243:R245" si="1842">V185</f>
        <v>0.56164383561643838</v>
      </c>
      <c r="S243" s="1">
        <f t="shared" ref="S243:S245" si="1843">W185</f>
        <v>0.46969696969696972</v>
      </c>
      <c r="T243" s="1">
        <f t="shared" ref="T243:T245" si="1844">X185</f>
        <v>0.2537313432835821</v>
      </c>
      <c r="U243" s="1"/>
      <c r="V243" s="1">
        <v>0.5</v>
      </c>
      <c r="W243" s="1">
        <f t="shared" ref="W243:W245" si="1845">(R243-M243)^2</f>
        <v>4.3746419827496779E-3</v>
      </c>
      <c r="X243" s="1">
        <f>(S243-N243)^2</f>
        <v>6.2972112440579306E-3</v>
      </c>
      <c r="Y243" s="1">
        <f>(T243-O243)^2</f>
        <v>4.0440511205014601E-4</v>
      </c>
      <c r="Z243" s="1"/>
      <c r="AA243" s="1">
        <f>SUM(W244:Y244)/3</f>
        <v>8.6173816801224856E-4</v>
      </c>
      <c r="AB243" s="1"/>
      <c r="AC243" s="1"/>
      <c r="AD243" s="1"/>
    </row>
    <row r="244" spans="1:30" x14ac:dyDescent="0.25">
      <c r="A244" s="1">
        <v>70.335749019023666</v>
      </c>
      <c r="B244" s="1"/>
      <c r="C244" s="1"/>
      <c r="D244" s="1">
        <f t="shared" si="1835"/>
        <v>5.0000000000000001E-4</v>
      </c>
      <c r="E244" s="1"/>
      <c r="F244" s="1"/>
      <c r="G244" s="1">
        <v>1</v>
      </c>
      <c r="H244" s="1">
        <f t="shared" si="1836"/>
        <v>3.1820073658199541E-4</v>
      </c>
      <c r="I244" s="1">
        <f t="shared" si="1837"/>
        <v>1.9975193744945603E-4</v>
      </c>
      <c r="J244" s="1">
        <f>-E$163/($A245*SQRT(2)) + ($D244/(2*$A245))*(2*(E$163/$D244)^2 +4*$A245^2)^0.5</f>
        <v>1.4069972208182575E-4</v>
      </c>
      <c r="K244" s="1"/>
      <c r="L244" s="1">
        <v>1</v>
      </c>
      <c r="M244" s="1">
        <f t="shared" si="1839"/>
        <v>0.63640147316399076</v>
      </c>
      <c r="N244" s="1">
        <f t="shared" si="1840"/>
        <v>0.39950387489891204</v>
      </c>
      <c r="O244" s="1">
        <f>J244/$D244</f>
        <v>0.28139944416365148</v>
      </c>
      <c r="P244" s="1"/>
      <c r="Q244" s="1">
        <v>1</v>
      </c>
      <c r="R244" s="1">
        <f t="shared" si="1842"/>
        <v>0.6067415730337079</v>
      </c>
      <c r="S244" s="1">
        <f t="shared" si="1843"/>
        <v>0.39325842696629215</v>
      </c>
      <c r="T244" s="1">
        <f t="shared" si="1844"/>
        <v>0.32222222222222224</v>
      </c>
      <c r="U244" s="1"/>
      <c r="V244" s="1">
        <v>1</v>
      </c>
      <c r="W244" s="1">
        <f t="shared" si="1845"/>
        <v>8.7970967573835308E-4</v>
      </c>
      <c r="X244" s="1">
        <f>(S244-N244)^2</f>
        <v>3.9005619879066002E-5</v>
      </c>
      <c r="Y244" s="1">
        <f t="shared" ref="Y244:Y245" si="1846">(T244-O244)^2</f>
        <v>1.6664992084193266E-3</v>
      </c>
      <c r="Z244" s="1"/>
      <c r="AA244" s="1">
        <f>SUM(W245:Y245)/3</f>
        <v>8.8440611418577082E-3</v>
      </c>
      <c r="AB244" s="1"/>
      <c r="AC244" s="1"/>
      <c r="AD244" s="1"/>
    </row>
    <row r="245" spans="1:30" x14ac:dyDescent="0.25">
      <c r="A245" s="1">
        <v>36.303244372143403</v>
      </c>
      <c r="B245" s="1"/>
      <c r="C245" s="1"/>
      <c r="D245" s="1">
        <f t="shared" si="1835"/>
        <v>8.0000000000000004E-4</v>
      </c>
      <c r="E245" s="1"/>
      <c r="F245" s="1"/>
      <c r="G245" s="1">
        <v>1.6</v>
      </c>
      <c r="H245" s="1">
        <f t="shared" si="1836"/>
        <v>7.6558154104653124E-4</v>
      </c>
      <c r="I245" s="1">
        <f t="shared" si="1837"/>
        <v>7.2472678576126766E-4</v>
      </c>
      <c r="J245" s="1">
        <f t="shared" si="1838"/>
        <v>6.8625413862131383E-4</v>
      </c>
      <c r="K245" s="1"/>
      <c r="L245" s="1">
        <v>1.6</v>
      </c>
      <c r="M245" s="1">
        <f t="shared" si="1839"/>
        <v>0.956976926308164</v>
      </c>
      <c r="N245" s="1">
        <f t="shared" si="1840"/>
        <v>0.90590848220158449</v>
      </c>
      <c r="O245" s="1">
        <f t="shared" si="1841"/>
        <v>0.85781767327664227</v>
      </c>
      <c r="P245" s="1"/>
      <c r="Q245" s="1">
        <v>1.6</v>
      </c>
      <c r="R245" s="1">
        <f t="shared" si="1842"/>
        <v>0.80107526881720426</v>
      </c>
      <c r="S245" s="1">
        <f t="shared" si="1843"/>
        <v>0.9107142857142857</v>
      </c>
      <c r="T245" s="1">
        <f t="shared" si="1844"/>
        <v>0.90476190476190477</v>
      </c>
      <c r="U245" s="1"/>
      <c r="V245" s="1">
        <v>1.6</v>
      </c>
      <c r="W245" s="1">
        <f t="shared" si="1845"/>
        <v>2.4305326808428524E-2</v>
      </c>
      <c r="X245" s="1">
        <f t="shared" ref="X245" si="1847">(S245-N245)^2</f>
        <v>2.309574740269131E-5</v>
      </c>
      <c r="Y245" s="1">
        <f t="shared" si="1846"/>
        <v>2.2037608697419108E-3</v>
      </c>
      <c r="Z245" s="1"/>
      <c r="AA245" s="1"/>
      <c r="AB245" s="1"/>
      <c r="AC245" s="1"/>
      <c r="AD245" s="1"/>
    </row>
    <row r="246" spans="1:30" x14ac:dyDescent="0.25">
      <c r="A246" s="1">
        <v>241.11297626659419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51" spans="1:30" x14ac:dyDescent="0.25">
      <c r="W251" t="s">
        <v>99</v>
      </c>
    </row>
    <row r="252" spans="1:30" x14ac:dyDescent="0.25">
      <c r="W252" t="s">
        <v>82</v>
      </c>
      <c r="X252" t="s">
        <v>225</v>
      </c>
      <c r="Y252" t="s">
        <v>226</v>
      </c>
      <c r="AA252" t="s">
        <v>227</v>
      </c>
    </row>
    <row r="253" spans="1:30" x14ac:dyDescent="0.25">
      <c r="A253" t="s">
        <v>217</v>
      </c>
      <c r="B253" t="s">
        <v>218</v>
      </c>
      <c r="C253" t="s">
        <v>220</v>
      </c>
      <c r="D253" t="s">
        <v>76</v>
      </c>
      <c r="G253" t="s">
        <v>221</v>
      </c>
      <c r="I253" t="s">
        <v>98</v>
      </c>
      <c r="J253" t="s">
        <v>222</v>
      </c>
      <c r="P253" t="s">
        <v>223</v>
      </c>
      <c r="R253" t="s">
        <v>228</v>
      </c>
      <c r="W253">
        <f>B261</f>
        <v>29.666934458607511</v>
      </c>
      <c r="X253">
        <f>B258</f>
        <v>36.303244372143403</v>
      </c>
      <c r="Y253">
        <f>B256</f>
        <v>34.293439526704475</v>
      </c>
      <c r="AA253">
        <f>AVERAGE(W253:W256)</f>
        <v>35.525310438207555</v>
      </c>
      <c r="AB253" s="8">
        <f>AVERAGE(X253:X256)</f>
        <v>34.854225453289985</v>
      </c>
      <c r="AC253" s="8">
        <f>AVERAGE(Y253:Y256)</f>
        <v>91.824883921146579</v>
      </c>
    </row>
    <row r="254" spans="1:30" x14ac:dyDescent="0.25">
      <c r="A254">
        <v>6</v>
      </c>
      <c r="B254">
        <f>A233</f>
        <v>21.557370872263995</v>
      </c>
      <c r="C254">
        <f>_xlfn.STDEV.S(B254:B263)</f>
        <v>11.087865625844662</v>
      </c>
      <c r="D254">
        <f>AVERAGE(B254:B263)</f>
        <v>33.736895396495861</v>
      </c>
      <c r="G254" t="s">
        <v>186</v>
      </c>
      <c r="I254">
        <v>0.3</v>
      </c>
      <c r="J254">
        <f>A233</f>
        <v>21.557370872263995</v>
      </c>
      <c r="K254">
        <f>A243</f>
        <v>12.484796717711864</v>
      </c>
      <c r="L254">
        <f>A176</f>
        <v>33.594579420197043</v>
      </c>
      <c r="N254">
        <f>AVERAGE(J254,L254)</f>
        <v>27.575975146230519</v>
      </c>
      <c r="P254">
        <f>AVERAGE(J254,L254,A243)</f>
        <v>22.545582336724298</v>
      </c>
      <c r="Q254" t="s">
        <v>224</v>
      </c>
      <c r="R254">
        <f>_xlfn.STDEV.S(J254,L254,A243)</f>
        <v>10.589530341823661</v>
      </c>
      <c r="W254">
        <f>B259</f>
        <v>33.594579420197043</v>
      </c>
      <c r="X254">
        <f>A243</f>
        <v>12.484796717711864</v>
      </c>
      <c r="Y254">
        <f>B254</f>
        <v>21.557370872263995</v>
      </c>
      <c r="AA254" t="s">
        <v>220</v>
      </c>
    </row>
    <row r="255" spans="1:30" x14ac:dyDescent="0.25">
      <c r="A255">
        <v>10</v>
      </c>
      <c r="B255" s="8">
        <f t="shared" ref="B255:B257" si="1848">A234</f>
        <v>43.902210874443178</v>
      </c>
      <c r="G255">
        <f>A193</f>
        <v>43.029321191689561</v>
      </c>
      <c r="I255">
        <v>0.5</v>
      </c>
      <c r="J255" s="8">
        <f t="shared" ref="J255:J257" si="1849">A234</f>
        <v>43.902210874443178</v>
      </c>
      <c r="L255" s="8">
        <f t="shared" ref="L255:L257" si="1850">A177</f>
        <v>30.866092410041016</v>
      </c>
      <c r="N255" s="8">
        <f t="shared" ref="N255:N257" si="1851">AVERAGE(J255,L255)</f>
        <v>37.384151642242095</v>
      </c>
      <c r="P255" s="8">
        <f>AVERAGE(J255,L255,A244)</f>
        <v>48.368017434502612</v>
      </c>
      <c r="R255" s="8">
        <f t="shared" ref="R255:R257" si="1852">_xlfn.STDEV.S(J255,L255,A244)</f>
        <v>20.110221763612024</v>
      </c>
      <c r="W255">
        <f>B260</f>
        <v>30.866092410041016</v>
      </c>
      <c r="X255">
        <f>B255</f>
        <v>43.902210874443178</v>
      </c>
      <c r="Y255">
        <f>B266</f>
        <v>70.335749019023666</v>
      </c>
      <c r="AA255">
        <f>_xlfn.STDEV.S(W253:W256)</f>
        <v>8.4600512205628817</v>
      </c>
      <c r="AB255" s="8">
        <f t="shared" ref="AB255:AC255" si="1853">_xlfn.STDEV.S(X253:X256)</f>
        <v>15.548971016257685</v>
      </c>
      <c r="AC255" s="8">
        <f t="shared" si="1853"/>
        <v>101.64662302829709</v>
      </c>
    </row>
    <row r="256" spans="1:30" x14ac:dyDescent="0.25">
      <c r="A256">
        <v>3</v>
      </c>
      <c r="B256" s="8">
        <f t="shared" si="1848"/>
        <v>34.293439526704475</v>
      </c>
      <c r="I256">
        <v>1</v>
      </c>
      <c r="J256" s="8">
        <f t="shared" si="1849"/>
        <v>34.293439526704475</v>
      </c>
      <c r="K256">
        <f>A245</f>
        <v>36.303244372143403</v>
      </c>
      <c r="L256" s="8">
        <f t="shared" si="1850"/>
        <v>29.666934458607511</v>
      </c>
      <c r="N256" s="8">
        <f>AVERAGE(J256,L256,K256)</f>
        <v>33.421206119151798</v>
      </c>
      <c r="P256" s="8">
        <f>AVERAGE(J256,L256,A245)</f>
        <v>33.421206119151798</v>
      </c>
      <c r="R256" s="8">
        <f t="shared" si="1852"/>
        <v>3.403049464092744</v>
      </c>
      <c r="W256">
        <f>B262</f>
        <v>47.973635463984643</v>
      </c>
      <c r="X256">
        <f>B257</f>
        <v>46.726649848861491</v>
      </c>
      <c r="Y256">
        <f>B267</f>
        <v>241.11297626659419</v>
      </c>
    </row>
    <row r="257" spans="1:29" x14ac:dyDescent="0.25">
      <c r="A257">
        <v>11</v>
      </c>
      <c r="B257" s="8">
        <f t="shared" si="1848"/>
        <v>46.726649848861491</v>
      </c>
      <c r="I257">
        <v>1.6</v>
      </c>
      <c r="J257" s="8">
        <f t="shared" si="1849"/>
        <v>46.726649848861491</v>
      </c>
      <c r="L257" s="8">
        <f t="shared" si="1850"/>
        <v>47.973635463984643</v>
      </c>
      <c r="N257" s="8">
        <f t="shared" si="1851"/>
        <v>47.350142656423067</v>
      </c>
      <c r="P257" s="8">
        <f>AVERAGE(J257,L257,A246)</f>
        <v>111.93775385981344</v>
      </c>
      <c r="R257" s="8">
        <f t="shared" si="1852"/>
        <v>111.87076162323216</v>
      </c>
    </row>
    <row r="258" spans="1:29" x14ac:dyDescent="0.25">
      <c r="A258">
        <v>4</v>
      </c>
      <c r="B258" s="8">
        <f>A245</f>
        <v>36.303244372143403</v>
      </c>
      <c r="W258">
        <v>0</v>
      </c>
      <c r="X258">
        <v>30</v>
      </c>
      <c r="Y258">
        <v>60</v>
      </c>
      <c r="AA258" t="s">
        <v>229</v>
      </c>
    </row>
    <row r="259" spans="1:29" x14ac:dyDescent="0.25">
      <c r="A259">
        <v>5</v>
      </c>
      <c r="B259">
        <f>A176</f>
        <v>33.594579420197043</v>
      </c>
      <c r="AA259">
        <f>AVERAGE(W253:W256)</f>
        <v>35.525310438207555</v>
      </c>
      <c r="AB259">
        <f>AVERAGE(X253,X255,X256,X254)</f>
        <v>34.854225453289985</v>
      </c>
      <c r="AC259">
        <f>AVERAGE(Y253,Y254)</f>
        <v>27.925405199484235</v>
      </c>
    </row>
    <row r="260" spans="1:29" x14ac:dyDescent="0.25">
      <c r="A260">
        <v>8</v>
      </c>
      <c r="B260" s="8">
        <f t="shared" ref="B260:B262" si="1854">A177</f>
        <v>30.866092410041016</v>
      </c>
      <c r="N260" t="s">
        <v>228</v>
      </c>
    </row>
    <row r="261" spans="1:29" x14ac:dyDescent="0.25">
      <c r="A261">
        <v>2</v>
      </c>
      <c r="B261" s="8">
        <f t="shared" si="1854"/>
        <v>29.666934458607511</v>
      </c>
      <c r="N261">
        <f>_xlfn.STDEV.S(J254,L254)</f>
        <v>8.5115917908001286</v>
      </c>
      <c r="AA261" t="s">
        <v>230</v>
      </c>
    </row>
    <row r="262" spans="1:29" x14ac:dyDescent="0.25">
      <c r="A262">
        <v>12</v>
      </c>
      <c r="B262" s="8">
        <f t="shared" si="1854"/>
        <v>47.973635463984643</v>
      </c>
      <c r="N262" s="8">
        <f t="shared" ref="N262" si="1855">_xlfn.STDEV.S(J255,L255)</f>
        <v>9.2179277665299466</v>
      </c>
      <c r="AA262">
        <f>_xlfn.STDEV.S(W253:W256)</f>
        <v>8.4600512205628817</v>
      </c>
      <c r="AB262">
        <f>_xlfn.STDEV.S(X253,X255,X256)</f>
        <v>5.3908739111478461</v>
      </c>
      <c r="AC262">
        <f>_xlfn.STDEV.S(Y253,Y254)</f>
        <v>9.0057605112122907</v>
      </c>
    </row>
    <row r="263" spans="1:29" x14ac:dyDescent="0.25">
      <c r="A263">
        <v>7</v>
      </c>
      <c r="B263">
        <f>A243</f>
        <v>12.484796717711864</v>
      </c>
      <c r="N263" s="8">
        <f>_xlfn.STDEV.S(J256,L256,K256)</f>
        <v>3.403049464092744</v>
      </c>
    </row>
    <row r="264" spans="1:29" x14ac:dyDescent="0.25">
      <c r="N264" s="8">
        <f>_xlfn.STDEV.S(J257,L257)</f>
        <v>0.88175198449565839</v>
      </c>
    </row>
    <row r="265" spans="1:29" x14ac:dyDescent="0.25">
      <c r="A265" t="s">
        <v>219</v>
      </c>
    </row>
    <row r="266" spans="1:29" x14ac:dyDescent="0.25">
      <c r="A266">
        <v>9</v>
      </c>
      <c r="B266" s="8">
        <f>A244</f>
        <v>70.335749019023666</v>
      </c>
    </row>
    <row r="267" spans="1:29" x14ac:dyDescent="0.25">
      <c r="A267">
        <v>14</v>
      </c>
      <c r="B267" s="8">
        <f>A246</f>
        <v>241.11297626659419</v>
      </c>
    </row>
    <row r="268" spans="1:29" x14ac:dyDescent="0.25">
      <c r="B26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estimates new</vt:lpstr>
      <vt:lpstr>Sheet2</vt:lpstr>
      <vt:lpstr>Sheet1</vt:lpstr>
      <vt:lpstr>Sheet3</vt:lpstr>
      <vt:lpstr>Plots for injection pts</vt:lpstr>
      <vt:lpstr>shear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2021-01-26T11:40:17Z</dcterms:created>
  <dcterms:modified xsi:type="dcterms:W3CDTF">2021-02-11T12:19:32Z</dcterms:modified>
</cp:coreProperties>
</file>