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ownloads\"/>
    </mc:Choice>
  </mc:AlternateContent>
  <xr:revisionPtr revIDLastSave="0" documentId="13_ncr:1_{32705049-9C04-4762-8D60-83A0312C6ED2}" xr6:coauthVersionLast="46" xr6:coauthVersionMax="46" xr10:uidLastSave="{00000000-0000-0000-0000-000000000000}"/>
  <bookViews>
    <workbookView xWindow="-120" yWindow="-120" windowWidth="29040" windowHeight="15840" activeTab="1" xr2:uid="{CA253134-21FC-406A-8311-117D04202720}"/>
  </bookViews>
  <sheets>
    <sheet name="skinn and core estimates initia" sheetId="1" r:id="rId1"/>
    <sheet name="estimates new" sheetId="2" r:id="rId2"/>
    <sheet name="Sheet2" sheetId="4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90" i="2" l="1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B95" i="2"/>
  <c r="BB96" i="2"/>
  <c r="BB94" i="2"/>
  <c r="BB92" i="2"/>
  <c r="BB93" i="2"/>
  <c r="BB91" i="2"/>
  <c r="BB89" i="2"/>
  <c r="BB88" i="2"/>
  <c r="BB86" i="2"/>
  <c r="BB87" i="2"/>
  <c r="BB85" i="2"/>
  <c r="BB83" i="2"/>
  <c r="BB84" i="2"/>
  <c r="BB82" i="2"/>
  <c r="BB80" i="2"/>
  <c r="BB81" i="2"/>
  <c r="BB79" i="2"/>
  <c r="BB77" i="2"/>
  <c r="BB78" i="2"/>
  <c r="BB76" i="2"/>
  <c r="BB74" i="2"/>
  <c r="BB75" i="2"/>
  <c r="BB73" i="2"/>
  <c r="BB71" i="2"/>
  <c r="BB72" i="2"/>
  <c r="BB70" i="2"/>
  <c r="BB68" i="2"/>
  <c r="BB69" i="2"/>
  <c r="BB67" i="2"/>
  <c r="BB65" i="2"/>
  <c r="BB66" i="2"/>
  <c r="BB64" i="2"/>
  <c r="BC61" i="2"/>
  <c r="BB62" i="2"/>
  <c r="BB63" i="2"/>
  <c r="BB61" i="2"/>
  <c r="AY95" i="2"/>
  <c r="AZ95" i="2" s="1"/>
  <c r="AY96" i="2"/>
  <c r="AZ96" i="2" s="1"/>
  <c r="AY94" i="2"/>
  <c r="AY92" i="2"/>
  <c r="AZ92" i="2" s="1"/>
  <c r="AY93" i="2"/>
  <c r="AZ93" i="2" s="1"/>
  <c r="AY91" i="2"/>
  <c r="AY89" i="2"/>
  <c r="AY90" i="2"/>
  <c r="AY88" i="2"/>
  <c r="AZ88" i="2" s="1"/>
  <c r="AY86" i="2"/>
  <c r="AY87" i="2"/>
  <c r="AZ87" i="2" s="1"/>
  <c r="AY85" i="2"/>
  <c r="AZ85" i="2" s="1"/>
  <c r="AY83" i="2"/>
  <c r="AY84" i="2"/>
  <c r="AZ84" i="2" s="1"/>
  <c r="AY82" i="2"/>
  <c r="AZ82" i="2" s="1"/>
  <c r="AY80" i="2"/>
  <c r="AY81" i="2"/>
  <c r="AY79" i="2"/>
  <c r="AY77" i="2"/>
  <c r="AZ77" i="2" s="1"/>
  <c r="AY78" i="2"/>
  <c r="AY76" i="2"/>
  <c r="AY74" i="2"/>
  <c r="AZ74" i="2" s="1"/>
  <c r="AY75" i="2"/>
  <c r="AZ75" i="2" s="1"/>
  <c r="AY73" i="2"/>
  <c r="AZ73" i="2" s="1"/>
  <c r="AY71" i="2"/>
  <c r="AZ71" i="2" s="1"/>
  <c r="AY72" i="2"/>
  <c r="AZ72" i="2" s="1"/>
  <c r="AY70" i="2"/>
  <c r="AZ62" i="2"/>
  <c r="AZ63" i="2"/>
  <c r="AZ64" i="2"/>
  <c r="AZ65" i="2"/>
  <c r="AZ66" i="2"/>
  <c r="AZ67" i="2"/>
  <c r="AZ68" i="2"/>
  <c r="AZ69" i="2"/>
  <c r="AZ70" i="2"/>
  <c r="AZ76" i="2"/>
  <c r="AZ78" i="2"/>
  <c r="AZ79" i="2"/>
  <c r="AZ80" i="2"/>
  <c r="AZ81" i="2"/>
  <c r="AZ83" i="2"/>
  <c r="AZ86" i="2"/>
  <c r="AZ89" i="2"/>
  <c r="AZ90" i="2"/>
  <c r="AZ91" i="2"/>
  <c r="AZ94" i="2"/>
  <c r="AZ61" i="2"/>
  <c r="AY68" i="2"/>
  <c r="AY69" i="2"/>
  <c r="AY67" i="2"/>
  <c r="AY65" i="2"/>
  <c r="AY66" i="2"/>
  <c r="AY64" i="2"/>
  <c r="AY62" i="2"/>
  <c r="AY63" i="2"/>
  <c r="AY61" i="2"/>
  <c r="B2" i="1"/>
  <c r="L2" i="1" s="1"/>
  <c r="E2" i="1"/>
  <c r="F2" i="1"/>
  <c r="O2" i="1" s="1"/>
  <c r="G2" i="1"/>
  <c r="I2" i="1"/>
  <c r="Q2" i="1" s="1"/>
  <c r="J2" i="1"/>
  <c r="R2" i="1" s="1"/>
  <c r="B3" i="1"/>
  <c r="E3" i="1"/>
  <c r="N3" i="1" s="1"/>
  <c r="F3" i="1"/>
  <c r="O3" i="1" s="1"/>
  <c r="S10" i="1" s="1"/>
  <c r="G3" i="1"/>
  <c r="I3" i="1"/>
  <c r="J3" i="1"/>
  <c r="R3" i="1" s="1"/>
  <c r="B4" i="1"/>
  <c r="E4" i="1"/>
  <c r="N4" i="1" s="1"/>
  <c r="Q11" i="1" s="1"/>
  <c r="F4" i="1"/>
  <c r="O4" i="1" s="1"/>
  <c r="J4" i="1"/>
  <c r="B5" i="1"/>
  <c r="D5" i="1"/>
  <c r="F5" i="1"/>
  <c r="O5" i="1" s="1"/>
  <c r="H5" i="1"/>
  <c r="P5" i="1" s="1"/>
  <c r="J5" i="1"/>
  <c r="R5" i="1" s="1"/>
  <c r="F6" i="1"/>
  <c r="J6" i="1"/>
  <c r="A9" i="1"/>
  <c r="C2" i="1" s="1"/>
  <c r="B9" i="1"/>
  <c r="I4" i="1" s="1"/>
  <c r="Q4" i="1" s="1"/>
  <c r="AV88" i="2"/>
  <c r="AV93" i="2"/>
  <c r="AU92" i="2"/>
  <c r="AU93" i="2"/>
  <c r="AU88" i="2"/>
  <c r="AU89" i="2"/>
  <c r="AV90" i="2"/>
  <c r="AU90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I49" i="2"/>
  <c r="G49" i="2"/>
  <c r="F49" i="2"/>
  <c r="I48" i="2"/>
  <c r="G48" i="2"/>
  <c r="I47" i="2"/>
  <c r="I46" i="2"/>
  <c r="AD43" i="2"/>
  <c r="AB43" i="2"/>
  <c r="I42" i="2"/>
  <c r="G42" i="2"/>
  <c r="B42" i="2"/>
  <c r="E42" i="2" s="1"/>
  <c r="J42" i="2" s="1"/>
  <c r="M44" i="2"/>
  <c r="R44" i="2" s="1"/>
  <c r="F98" i="2" s="1"/>
  <c r="E44" i="2"/>
  <c r="J44" i="2" s="1"/>
  <c r="K44" i="2" s="1"/>
  <c r="I40" i="2"/>
  <c r="G40" i="2"/>
  <c r="AB40" i="2"/>
  <c r="AD40" i="2"/>
  <c r="AD39" i="2"/>
  <c r="AB39" i="2"/>
  <c r="Y39" i="2"/>
  <c r="Z39" i="2" s="1"/>
  <c r="AE39" i="2" s="1"/>
  <c r="E38" i="2"/>
  <c r="J38" i="2" s="1"/>
  <c r="D15" i="2"/>
  <c r="C15" i="2"/>
  <c r="G15" i="2" s="1"/>
  <c r="B15" i="2"/>
  <c r="C14" i="2"/>
  <c r="I14" i="2" s="1"/>
  <c r="AT4" i="2"/>
  <c r="H27" i="5"/>
  <c r="H28" i="5"/>
  <c r="H26" i="5"/>
  <c r="H11" i="5"/>
  <c r="H12" i="5"/>
  <c r="H13" i="5"/>
  <c r="H14" i="5"/>
  <c r="H15" i="5"/>
  <c r="H16" i="5"/>
  <c r="H3" i="5"/>
  <c r="H4" i="5"/>
  <c r="H2" i="5"/>
  <c r="A1" i="5"/>
  <c r="F35" i="5"/>
  <c r="C35" i="5"/>
  <c r="A35" i="5"/>
  <c r="F34" i="5"/>
  <c r="C34" i="5"/>
  <c r="A34" i="5"/>
  <c r="F33" i="5"/>
  <c r="C33" i="5"/>
  <c r="A33" i="5"/>
  <c r="F32" i="5"/>
  <c r="C32" i="5"/>
  <c r="A32" i="5"/>
  <c r="F31" i="5"/>
  <c r="C31" i="5"/>
  <c r="A31" i="5"/>
  <c r="F30" i="5"/>
  <c r="C30" i="5"/>
  <c r="B30" i="5"/>
  <c r="A30" i="5"/>
  <c r="F29" i="5"/>
  <c r="C29" i="5"/>
  <c r="A29" i="5"/>
  <c r="F28" i="5"/>
  <c r="C28" i="5"/>
  <c r="B28" i="5"/>
  <c r="A28" i="5"/>
  <c r="F27" i="5"/>
  <c r="C27" i="5"/>
  <c r="A27" i="5"/>
  <c r="F26" i="5"/>
  <c r="C26" i="5"/>
  <c r="A26" i="5"/>
  <c r="F25" i="5"/>
  <c r="C25" i="5"/>
  <c r="A25" i="5"/>
  <c r="F24" i="5"/>
  <c r="C24" i="5"/>
  <c r="A24" i="5"/>
  <c r="F23" i="5"/>
  <c r="C23" i="5"/>
  <c r="A23" i="5"/>
  <c r="F22" i="5"/>
  <c r="C22" i="5"/>
  <c r="B22" i="5"/>
  <c r="A22" i="5"/>
  <c r="F21" i="5"/>
  <c r="C21" i="5"/>
  <c r="A21" i="5"/>
  <c r="F20" i="5"/>
  <c r="C20" i="5"/>
  <c r="B20" i="5"/>
  <c r="A20" i="5"/>
  <c r="F19" i="5"/>
  <c r="C19" i="5"/>
  <c r="A19" i="5"/>
  <c r="F18" i="5"/>
  <c r="C18" i="5"/>
  <c r="A18" i="5"/>
  <c r="F17" i="5"/>
  <c r="C17" i="5"/>
  <c r="A17" i="5"/>
  <c r="F16" i="5"/>
  <c r="C16" i="5"/>
  <c r="A16" i="5"/>
  <c r="F15" i="5"/>
  <c r="C15" i="5"/>
  <c r="A15" i="5"/>
  <c r="F14" i="5"/>
  <c r="C14" i="5"/>
  <c r="A14" i="5"/>
  <c r="F13" i="5"/>
  <c r="C13" i="5"/>
  <c r="A13" i="5"/>
  <c r="F12" i="5"/>
  <c r="C12" i="5"/>
  <c r="A12" i="5"/>
  <c r="F11" i="5"/>
  <c r="C11" i="5"/>
  <c r="A11" i="5"/>
  <c r="F10" i="5"/>
  <c r="C10" i="5"/>
  <c r="A10" i="5"/>
  <c r="F9" i="5"/>
  <c r="C9" i="5"/>
  <c r="A9" i="5"/>
  <c r="F8" i="5"/>
  <c r="C8" i="5"/>
  <c r="B8" i="5"/>
  <c r="A8" i="5"/>
  <c r="F7" i="5"/>
  <c r="C7" i="5"/>
  <c r="A7" i="5"/>
  <c r="F6" i="5"/>
  <c r="C6" i="5"/>
  <c r="A6" i="5"/>
  <c r="F5" i="5"/>
  <c r="C5" i="5"/>
  <c r="A5" i="5"/>
  <c r="F4" i="5"/>
  <c r="C4" i="5"/>
  <c r="A4" i="5"/>
  <c r="F3" i="5"/>
  <c r="C3" i="5"/>
  <c r="A3" i="5"/>
  <c r="F2" i="5"/>
  <c r="A2" i="5"/>
  <c r="F1" i="5"/>
  <c r="E1" i="5"/>
  <c r="D1" i="5"/>
  <c r="C1" i="5"/>
  <c r="B1" i="5"/>
  <c r="A30" i="4"/>
  <c r="B30" i="4"/>
  <c r="C30" i="4"/>
  <c r="F30" i="4"/>
  <c r="A31" i="4"/>
  <c r="C31" i="4"/>
  <c r="F31" i="4"/>
  <c r="A32" i="4"/>
  <c r="C32" i="4"/>
  <c r="F32" i="4"/>
  <c r="A33" i="4"/>
  <c r="C33" i="4"/>
  <c r="F33" i="4"/>
  <c r="A34" i="4"/>
  <c r="C34" i="4"/>
  <c r="F34" i="4"/>
  <c r="A35" i="4"/>
  <c r="C35" i="4"/>
  <c r="F35" i="4"/>
  <c r="A2" i="4"/>
  <c r="F2" i="4"/>
  <c r="A3" i="4"/>
  <c r="C3" i="4"/>
  <c r="F3" i="4"/>
  <c r="A4" i="4"/>
  <c r="C4" i="4"/>
  <c r="F4" i="4"/>
  <c r="A5" i="4"/>
  <c r="C5" i="4"/>
  <c r="F5" i="4"/>
  <c r="A6" i="4"/>
  <c r="C6" i="4"/>
  <c r="F6" i="4"/>
  <c r="A7" i="4"/>
  <c r="C7" i="4"/>
  <c r="F7" i="4"/>
  <c r="A8" i="4"/>
  <c r="C8" i="4"/>
  <c r="F8" i="4"/>
  <c r="A9" i="4"/>
  <c r="C9" i="4"/>
  <c r="F9" i="4"/>
  <c r="A10" i="4"/>
  <c r="C10" i="4"/>
  <c r="F10" i="4"/>
  <c r="A11" i="4"/>
  <c r="C11" i="4"/>
  <c r="F11" i="4"/>
  <c r="A12" i="4"/>
  <c r="C12" i="4"/>
  <c r="F12" i="4"/>
  <c r="A13" i="4"/>
  <c r="C13" i="4"/>
  <c r="F13" i="4"/>
  <c r="A14" i="4"/>
  <c r="C14" i="4"/>
  <c r="F14" i="4"/>
  <c r="A15" i="4"/>
  <c r="C15" i="4"/>
  <c r="F15" i="4"/>
  <c r="A16" i="4"/>
  <c r="C16" i="4"/>
  <c r="F16" i="4"/>
  <c r="A17" i="4"/>
  <c r="C17" i="4"/>
  <c r="F17" i="4"/>
  <c r="A18" i="4"/>
  <c r="B18" i="4"/>
  <c r="C18" i="4"/>
  <c r="F18" i="4"/>
  <c r="A19" i="4"/>
  <c r="C19" i="4"/>
  <c r="F19" i="4"/>
  <c r="A20" i="4"/>
  <c r="C20" i="4"/>
  <c r="F20" i="4"/>
  <c r="A21" i="4"/>
  <c r="C21" i="4"/>
  <c r="F21" i="4"/>
  <c r="A22" i="4"/>
  <c r="B22" i="4"/>
  <c r="C22" i="4"/>
  <c r="F22" i="4"/>
  <c r="A23" i="4"/>
  <c r="C23" i="4"/>
  <c r="F23" i="4"/>
  <c r="A24" i="4"/>
  <c r="C24" i="4"/>
  <c r="F24" i="4"/>
  <c r="A25" i="4"/>
  <c r="C25" i="4"/>
  <c r="F25" i="4"/>
  <c r="A26" i="4"/>
  <c r="C26" i="4"/>
  <c r="F26" i="4"/>
  <c r="A27" i="4"/>
  <c r="C27" i="4"/>
  <c r="F27" i="4"/>
  <c r="A28" i="4"/>
  <c r="B28" i="4"/>
  <c r="C28" i="4"/>
  <c r="F28" i="4"/>
  <c r="A29" i="4"/>
  <c r="C29" i="4"/>
  <c r="F29" i="4"/>
  <c r="B1" i="4"/>
  <c r="C1" i="4"/>
  <c r="D1" i="4"/>
  <c r="E1" i="4"/>
  <c r="F1" i="4"/>
  <c r="A1" i="4"/>
  <c r="AS96" i="2"/>
  <c r="B35" i="5" s="1"/>
  <c r="AS95" i="2"/>
  <c r="B34" i="5" s="1"/>
  <c r="AS94" i="2"/>
  <c r="B33" i="5" s="1"/>
  <c r="AS92" i="2"/>
  <c r="B32" i="5" s="1"/>
  <c r="AS91" i="2"/>
  <c r="B31" i="5" s="1"/>
  <c r="AS89" i="2"/>
  <c r="B29" i="5" s="1"/>
  <c r="AS86" i="2"/>
  <c r="B27" i="5" s="1"/>
  <c r="AS87" i="2"/>
  <c r="AS85" i="2"/>
  <c r="B26" i="5" s="1"/>
  <c r="AS83" i="2"/>
  <c r="B24" i="5" s="1"/>
  <c r="AS84" i="2"/>
  <c r="B25" i="5" s="1"/>
  <c r="AS82" i="2"/>
  <c r="B23" i="5" s="1"/>
  <c r="AS80" i="2"/>
  <c r="B21" i="5" s="1"/>
  <c r="AS81" i="2"/>
  <c r="AS79" i="2"/>
  <c r="B20" i="4" s="1"/>
  <c r="AS77" i="2"/>
  <c r="B18" i="5" s="1"/>
  <c r="AS78" i="2"/>
  <c r="B19" i="5" s="1"/>
  <c r="AS76" i="2"/>
  <c r="B17" i="5" s="1"/>
  <c r="AS74" i="2"/>
  <c r="B15" i="5" s="1"/>
  <c r="AS75" i="2"/>
  <c r="B16" i="5" s="1"/>
  <c r="AS73" i="2"/>
  <c r="B14" i="4" s="1"/>
  <c r="AS71" i="2"/>
  <c r="B12" i="5" s="1"/>
  <c r="AS72" i="2"/>
  <c r="B13" i="5" s="1"/>
  <c r="AS70" i="2"/>
  <c r="B11" i="5" s="1"/>
  <c r="AS68" i="2"/>
  <c r="B9" i="5" s="1"/>
  <c r="AS69" i="2"/>
  <c r="B10" i="5" s="1"/>
  <c r="AS67" i="2"/>
  <c r="B8" i="4" s="1"/>
  <c r="AS65" i="2"/>
  <c r="B6" i="5" s="1"/>
  <c r="AS66" i="2"/>
  <c r="B7" i="5" s="1"/>
  <c r="AS64" i="2"/>
  <c r="B5" i="5" s="1"/>
  <c r="AS62" i="2"/>
  <c r="B3" i="5" s="1"/>
  <c r="AS63" i="2"/>
  <c r="B4" i="4" s="1"/>
  <c r="AS61" i="2"/>
  <c r="B2" i="5" s="1"/>
  <c r="AT61" i="2"/>
  <c r="C2" i="5" s="1"/>
  <c r="I179" i="2"/>
  <c r="G179" i="2"/>
  <c r="E179" i="2"/>
  <c r="J179" i="2" s="1"/>
  <c r="I178" i="2"/>
  <c r="G178" i="2"/>
  <c r="E178" i="2"/>
  <c r="J178" i="2" s="1"/>
  <c r="I177" i="2"/>
  <c r="G177" i="2"/>
  <c r="F177" i="2"/>
  <c r="E177" i="2"/>
  <c r="J177" i="2" s="1"/>
  <c r="I176" i="2"/>
  <c r="G176" i="2"/>
  <c r="E176" i="2"/>
  <c r="J176" i="2" s="1"/>
  <c r="I175" i="2"/>
  <c r="G175" i="2"/>
  <c r="E175" i="2"/>
  <c r="J175" i="2" s="1"/>
  <c r="I174" i="2"/>
  <c r="G174" i="2"/>
  <c r="D174" i="2"/>
  <c r="E174" i="2" s="1"/>
  <c r="J174" i="2" s="1"/>
  <c r="I173" i="2"/>
  <c r="G173" i="2"/>
  <c r="E173" i="2"/>
  <c r="J173" i="2" s="1"/>
  <c r="I172" i="2"/>
  <c r="G172" i="2"/>
  <c r="E172" i="2"/>
  <c r="J172" i="2" s="1"/>
  <c r="I171" i="2"/>
  <c r="G171" i="2"/>
  <c r="E171" i="2"/>
  <c r="J171" i="2" s="1"/>
  <c r="F170" i="2"/>
  <c r="C170" i="2"/>
  <c r="I170" i="2" s="1"/>
  <c r="I169" i="2"/>
  <c r="G169" i="2"/>
  <c r="F169" i="2"/>
  <c r="E169" i="2"/>
  <c r="J169" i="2" s="1"/>
  <c r="I168" i="2"/>
  <c r="G168" i="2"/>
  <c r="F168" i="2"/>
  <c r="E168" i="2"/>
  <c r="J168" i="2" s="1"/>
  <c r="I167" i="2"/>
  <c r="G167" i="2"/>
  <c r="E167" i="2"/>
  <c r="J167" i="2" s="1"/>
  <c r="I166" i="2"/>
  <c r="G166" i="2"/>
  <c r="E166" i="2"/>
  <c r="J166" i="2" s="1"/>
  <c r="I165" i="2"/>
  <c r="G165" i="2"/>
  <c r="E165" i="2"/>
  <c r="J165" i="2" s="1"/>
  <c r="I164" i="2"/>
  <c r="G164" i="2"/>
  <c r="E164" i="2"/>
  <c r="J164" i="2" s="1"/>
  <c r="I163" i="2"/>
  <c r="G163" i="2"/>
  <c r="E163" i="2"/>
  <c r="J163" i="2" s="1"/>
  <c r="I162" i="2"/>
  <c r="G162" i="2"/>
  <c r="E162" i="2"/>
  <c r="J162" i="2" s="1"/>
  <c r="I161" i="2"/>
  <c r="G161" i="2"/>
  <c r="E161" i="2"/>
  <c r="J161" i="2" s="1"/>
  <c r="I160" i="2"/>
  <c r="G160" i="2"/>
  <c r="E160" i="2"/>
  <c r="J160" i="2" s="1"/>
  <c r="I159" i="2"/>
  <c r="G159" i="2"/>
  <c r="E159" i="2"/>
  <c r="J159" i="2" s="1"/>
  <c r="I158" i="2"/>
  <c r="G158" i="2"/>
  <c r="E158" i="2"/>
  <c r="J158" i="2" s="1"/>
  <c r="I157" i="2"/>
  <c r="G157" i="2"/>
  <c r="E157" i="2"/>
  <c r="J157" i="2" s="1"/>
  <c r="I156" i="2"/>
  <c r="G156" i="2"/>
  <c r="F156" i="2"/>
  <c r="E156" i="2"/>
  <c r="J156" i="2" s="1"/>
  <c r="I155" i="2"/>
  <c r="G155" i="2"/>
  <c r="E155" i="2"/>
  <c r="J155" i="2" s="1"/>
  <c r="F154" i="2"/>
  <c r="C154" i="2"/>
  <c r="I154" i="2" s="1"/>
  <c r="I153" i="2"/>
  <c r="G153" i="2"/>
  <c r="F153" i="2"/>
  <c r="D153" i="2"/>
  <c r="E153" i="2" s="1"/>
  <c r="J153" i="2" s="1"/>
  <c r="I152" i="2"/>
  <c r="G152" i="2"/>
  <c r="F152" i="2"/>
  <c r="E152" i="2"/>
  <c r="J152" i="2" s="1"/>
  <c r="I151" i="2"/>
  <c r="G151" i="2"/>
  <c r="F151" i="2"/>
  <c r="E151" i="2"/>
  <c r="J151" i="2" s="1"/>
  <c r="I150" i="2"/>
  <c r="G150" i="2"/>
  <c r="F150" i="2"/>
  <c r="E150" i="2"/>
  <c r="J150" i="2" s="1"/>
  <c r="I149" i="2"/>
  <c r="G149" i="2"/>
  <c r="E149" i="2"/>
  <c r="J149" i="2" s="1"/>
  <c r="I148" i="2"/>
  <c r="G148" i="2"/>
  <c r="F148" i="2"/>
  <c r="E148" i="2"/>
  <c r="J148" i="2" s="1"/>
  <c r="I147" i="2"/>
  <c r="G147" i="2"/>
  <c r="F147" i="2"/>
  <c r="E147" i="2"/>
  <c r="J147" i="2" s="1"/>
  <c r="J146" i="2"/>
  <c r="I146" i="2"/>
  <c r="G146" i="2"/>
  <c r="F146" i="2"/>
  <c r="E146" i="2"/>
  <c r="AS19" i="2"/>
  <c r="AT5" i="2"/>
  <c r="AT6" i="2"/>
  <c r="AT7" i="2"/>
  <c r="AT8" i="2"/>
  <c r="AT9" i="2"/>
  <c r="AT10" i="2"/>
  <c r="AT11" i="2"/>
  <c r="AT12" i="2"/>
  <c r="AT13" i="2"/>
  <c r="AT14" i="2"/>
  <c r="AT3" i="2"/>
  <c r="AQ14" i="2"/>
  <c r="AQ3" i="2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D108" i="2"/>
  <c r="AM38" i="2"/>
  <c r="C92" i="2" s="1"/>
  <c r="AM44" i="2"/>
  <c r="C98" i="2" s="1"/>
  <c r="AL38" i="2"/>
  <c r="I92" i="2" s="1"/>
  <c r="AL44" i="2"/>
  <c r="I98" i="2" s="1"/>
  <c r="AK38" i="2"/>
  <c r="AK44" i="2"/>
  <c r="AD49" i="2"/>
  <c r="AC49" i="2"/>
  <c r="AB49" i="2"/>
  <c r="AA49" i="2"/>
  <c r="Z49" i="2"/>
  <c r="AE49" i="2" s="1"/>
  <c r="AD48" i="2"/>
  <c r="AB48" i="2"/>
  <c r="Z48" i="2"/>
  <c r="AE48" i="2" s="1"/>
  <c r="AD47" i="2"/>
  <c r="AB47" i="2"/>
  <c r="Z47" i="2"/>
  <c r="AE47" i="2" s="1"/>
  <c r="AD46" i="2"/>
  <c r="AB46" i="2"/>
  <c r="Z46" i="2"/>
  <c r="AE46" i="2" s="1"/>
  <c r="AD45" i="2"/>
  <c r="AB45" i="2"/>
  <c r="Z45" i="2"/>
  <c r="AE45" i="2" s="1"/>
  <c r="Z43" i="2"/>
  <c r="AE43" i="2" s="1"/>
  <c r="AD42" i="2"/>
  <c r="AB42" i="2"/>
  <c r="Z42" i="2"/>
  <c r="AE42" i="2" s="1"/>
  <c r="AD41" i="2"/>
  <c r="AB41" i="2"/>
  <c r="Z41" i="2"/>
  <c r="AE41" i="2" s="1"/>
  <c r="Z40" i="2"/>
  <c r="AE40" i="2" s="1"/>
  <c r="E49" i="2"/>
  <c r="J49" i="2" s="1"/>
  <c r="L49" i="2" s="1"/>
  <c r="E48" i="2"/>
  <c r="J48" i="2" s="1"/>
  <c r="G47" i="2"/>
  <c r="E47" i="2"/>
  <c r="J47" i="2" s="1"/>
  <c r="F46" i="2"/>
  <c r="E46" i="2"/>
  <c r="J46" i="2" s="1"/>
  <c r="L46" i="2" s="1"/>
  <c r="I45" i="2"/>
  <c r="G45" i="2"/>
  <c r="E45" i="2"/>
  <c r="J45" i="2" s="1"/>
  <c r="I43" i="2"/>
  <c r="G43" i="2"/>
  <c r="E43" i="2"/>
  <c r="J43" i="2" s="1"/>
  <c r="I41" i="2"/>
  <c r="G41" i="2"/>
  <c r="F41" i="2"/>
  <c r="E41" i="2"/>
  <c r="J41" i="2" s="1"/>
  <c r="D40" i="2"/>
  <c r="E40" i="2" s="1"/>
  <c r="J40" i="2" s="1"/>
  <c r="I39" i="2"/>
  <c r="G39" i="2"/>
  <c r="E39" i="2"/>
  <c r="J39" i="2" s="1"/>
  <c r="AD16" i="2"/>
  <c r="AB16" i="2"/>
  <c r="AD37" i="2"/>
  <c r="AB37" i="2"/>
  <c r="Z37" i="2"/>
  <c r="AE37" i="2" s="1"/>
  <c r="AD36" i="2"/>
  <c r="AB36" i="2"/>
  <c r="Z36" i="2"/>
  <c r="AE36" i="2" s="1"/>
  <c r="AD35" i="2"/>
  <c r="AB35" i="2"/>
  <c r="AD34" i="2"/>
  <c r="AB34" i="2"/>
  <c r="AA34" i="2"/>
  <c r="Z34" i="2"/>
  <c r="AE34" i="2" s="1"/>
  <c r="W35" i="2"/>
  <c r="Z35" i="2" s="1"/>
  <c r="AE35" i="2" s="1"/>
  <c r="AD33" i="2"/>
  <c r="AB33" i="2"/>
  <c r="Z33" i="2"/>
  <c r="AE33" i="2" s="1"/>
  <c r="AD32" i="2"/>
  <c r="AB32" i="2"/>
  <c r="Z32" i="2"/>
  <c r="AE32" i="2" s="1"/>
  <c r="Y31" i="2"/>
  <c r="X31" i="2"/>
  <c r="AB31" i="2" s="1"/>
  <c r="AD30" i="2"/>
  <c r="AB30" i="2"/>
  <c r="Z30" i="2"/>
  <c r="AE30" i="2" s="1"/>
  <c r="AD29" i="2"/>
  <c r="AB29" i="2"/>
  <c r="AD28" i="2"/>
  <c r="AB28" i="2"/>
  <c r="Z28" i="2"/>
  <c r="AE28" i="2" s="1"/>
  <c r="AD27" i="2"/>
  <c r="AB27" i="2"/>
  <c r="AA27" i="2"/>
  <c r="Z27" i="2"/>
  <c r="AE27" i="2" s="1"/>
  <c r="AD26" i="2"/>
  <c r="AB26" i="2"/>
  <c r="Z26" i="2"/>
  <c r="AE26" i="2" s="1"/>
  <c r="W29" i="2"/>
  <c r="Z29" i="2" s="1"/>
  <c r="AE29" i="2" s="1"/>
  <c r="AB25" i="2"/>
  <c r="AD25" i="2"/>
  <c r="Z25" i="2"/>
  <c r="AE25" i="2" s="1"/>
  <c r="AD24" i="2"/>
  <c r="AB24" i="2"/>
  <c r="Z24" i="2"/>
  <c r="AE24" i="2" s="1"/>
  <c r="AD23" i="2"/>
  <c r="AB23" i="2"/>
  <c r="Z23" i="2"/>
  <c r="AE23" i="2" s="1"/>
  <c r="AD22" i="2"/>
  <c r="AB22" i="2"/>
  <c r="Z22" i="2"/>
  <c r="AE22" i="2" s="1"/>
  <c r="AD21" i="2"/>
  <c r="AB21" i="2"/>
  <c r="Z21" i="2"/>
  <c r="AE21" i="2" s="1"/>
  <c r="AD20" i="2"/>
  <c r="AB20" i="2"/>
  <c r="Z20" i="2"/>
  <c r="AE20" i="2" s="1"/>
  <c r="AD19" i="2"/>
  <c r="AB19" i="2"/>
  <c r="Z19" i="2"/>
  <c r="AE19" i="2" s="1"/>
  <c r="AD18" i="2"/>
  <c r="AB18" i="2"/>
  <c r="Z18" i="2"/>
  <c r="AE18" i="2" s="1"/>
  <c r="AD17" i="2"/>
  <c r="AB17" i="2"/>
  <c r="Z17" i="2"/>
  <c r="AE17" i="2" s="1"/>
  <c r="AA16" i="2"/>
  <c r="Y16" i="2"/>
  <c r="Z16" i="2" s="1"/>
  <c r="AE16" i="2" s="1"/>
  <c r="AD15" i="2"/>
  <c r="AB15" i="2"/>
  <c r="Z15" i="2"/>
  <c r="AE15" i="2" s="1"/>
  <c r="AD14" i="2"/>
  <c r="AB14" i="2"/>
  <c r="Z14" i="2"/>
  <c r="AE14" i="2" s="1"/>
  <c r="S12" i="1" l="1"/>
  <c r="S9" i="1"/>
  <c r="Q10" i="1"/>
  <c r="N2" i="1"/>
  <c r="Q9" i="1" s="1"/>
  <c r="R6" i="1"/>
  <c r="Q3" i="1"/>
  <c r="O6" i="1"/>
  <c r="S13" i="1" s="1"/>
  <c r="R4" i="1"/>
  <c r="S11" i="1" s="1"/>
  <c r="M5" i="1"/>
  <c r="N12" i="1" s="1"/>
  <c r="H4" i="1"/>
  <c r="P4" i="1" s="1"/>
  <c r="C4" i="1"/>
  <c r="C5" i="1"/>
  <c r="H3" i="1"/>
  <c r="P3" i="1" s="1"/>
  <c r="H2" i="1"/>
  <c r="P2" i="1" s="1"/>
  <c r="D2" i="1"/>
  <c r="M2" i="1" s="1"/>
  <c r="N9" i="1" s="1"/>
  <c r="G4" i="1"/>
  <c r="G5" i="1"/>
  <c r="D3" i="1"/>
  <c r="M3" i="1" s="1"/>
  <c r="N10" i="1" s="1"/>
  <c r="D4" i="1"/>
  <c r="M4" i="1" s="1"/>
  <c r="N11" i="1" s="1"/>
  <c r="P15" i="1" s="1"/>
  <c r="C3" i="1"/>
  <c r="B4" i="5"/>
  <c r="K49" i="2"/>
  <c r="B12" i="4"/>
  <c r="B14" i="5"/>
  <c r="M49" i="2"/>
  <c r="R49" i="2" s="1"/>
  <c r="F103" i="2" s="1"/>
  <c r="L47" i="2"/>
  <c r="B98" i="2"/>
  <c r="AW46" i="2"/>
  <c r="M38" i="2"/>
  <c r="R38" i="2" s="1"/>
  <c r="AV46" i="2"/>
  <c r="L38" i="2"/>
  <c r="AU46" i="2"/>
  <c r="K38" i="2"/>
  <c r="Q44" i="2"/>
  <c r="P44" i="2"/>
  <c r="M47" i="2"/>
  <c r="Q49" i="2"/>
  <c r="L44" i="2"/>
  <c r="L48" i="2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B3" i="4"/>
  <c r="B35" i="4"/>
  <c r="B33" i="4"/>
  <c r="B31" i="4"/>
  <c r="G14" i="2"/>
  <c r="K47" i="2"/>
  <c r="C2" i="4"/>
  <c r="B26" i="4"/>
  <c r="B24" i="4"/>
  <c r="B16" i="4"/>
  <c r="B10" i="4"/>
  <c r="B6" i="4"/>
  <c r="B2" i="4"/>
  <c r="B34" i="4"/>
  <c r="B32" i="4"/>
  <c r="K48" i="2"/>
  <c r="M48" i="2"/>
  <c r="AW51" i="2"/>
  <c r="AV51" i="2"/>
  <c r="AU51" i="2"/>
  <c r="L177" i="2"/>
  <c r="L166" i="2"/>
  <c r="L178" i="2"/>
  <c r="L146" i="2"/>
  <c r="L150" i="2"/>
  <c r="L152" i="2"/>
  <c r="K159" i="2"/>
  <c r="AW53" i="2"/>
  <c r="L151" i="2"/>
  <c r="L153" i="2"/>
  <c r="M162" i="2"/>
  <c r="L149" i="2"/>
  <c r="K179" i="2"/>
  <c r="L160" i="2"/>
  <c r="K167" i="2"/>
  <c r="K171" i="2"/>
  <c r="L157" i="2"/>
  <c r="L155" i="2"/>
  <c r="L147" i="2"/>
  <c r="M161" i="2"/>
  <c r="L176" i="2"/>
  <c r="L148" i="2"/>
  <c r="L159" i="2"/>
  <c r="K148" i="2"/>
  <c r="L156" i="2"/>
  <c r="M148" i="2"/>
  <c r="K157" i="2"/>
  <c r="M179" i="2"/>
  <c r="M150" i="2"/>
  <c r="L179" i="2"/>
  <c r="K150" i="2"/>
  <c r="E154" i="2"/>
  <c r="J154" i="2" s="1"/>
  <c r="L154" i="2" s="1"/>
  <c r="K147" i="2"/>
  <c r="G154" i="2"/>
  <c r="M155" i="2"/>
  <c r="K169" i="2"/>
  <c r="M176" i="2"/>
  <c r="M147" i="2"/>
  <c r="K149" i="2"/>
  <c r="M159" i="2"/>
  <c r="K152" i="2"/>
  <c r="M149" i="2"/>
  <c r="K156" i="2"/>
  <c r="L161" i="2"/>
  <c r="K146" i="2"/>
  <c r="K151" i="2"/>
  <c r="K160" i="2"/>
  <c r="M152" i="2"/>
  <c r="K165" i="2"/>
  <c r="M146" i="2"/>
  <c r="M151" i="2"/>
  <c r="M153" i="2"/>
  <c r="M156" i="2"/>
  <c r="L158" i="2"/>
  <c r="M160" i="2"/>
  <c r="M163" i="2"/>
  <c r="K168" i="2"/>
  <c r="K158" i="2"/>
  <c r="L165" i="2"/>
  <c r="M165" i="2"/>
  <c r="M158" i="2"/>
  <c r="L169" i="2"/>
  <c r="M169" i="2"/>
  <c r="K155" i="2"/>
  <c r="M157" i="2"/>
  <c r="L167" i="2"/>
  <c r="M167" i="2"/>
  <c r="L171" i="2"/>
  <c r="M171" i="2"/>
  <c r="M177" i="2"/>
  <c r="K166" i="2"/>
  <c r="M173" i="2"/>
  <c r="L173" i="2"/>
  <c r="K173" i="2"/>
  <c r="M164" i="2"/>
  <c r="L164" i="2"/>
  <c r="M166" i="2"/>
  <c r="L168" i="2"/>
  <c r="M168" i="2"/>
  <c r="M172" i="2"/>
  <c r="L172" i="2"/>
  <c r="K172" i="2"/>
  <c r="K178" i="2"/>
  <c r="K153" i="2"/>
  <c r="L163" i="2"/>
  <c r="K163" i="2"/>
  <c r="K164" i="2"/>
  <c r="M178" i="2"/>
  <c r="M174" i="2"/>
  <c r="L174" i="2"/>
  <c r="K174" i="2"/>
  <c r="M175" i="2"/>
  <c r="L175" i="2"/>
  <c r="K175" i="2"/>
  <c r="K161" i="2"/>
  <c r="L162" i="2"/>
  <c r="E170" i="2"/>
  <c r="J170" i="2" s="1"/>
  <c r="L170" i="2" s="1"/>
  <c r="K162" i="2"/>
  <c r="G170" i="2"/>
  <c r="K176" i="2"/>
  <c r="K177" i="2"/>
  <c r="AW50" i="2"/>
  <c r="AG26" i="2"/>
  <c r="AW49" i="2"/>
  <c r="AV52" i="2"/>
  <c r="AG43" i="2"/>
  <c r="AG14" i="2"/>
  <c r="AI17" i="2"/>
  <c r="AW48" i="2"/>
  <c r="AW52" i="2"/>
  <c r="AU54" i="2"/>
  <c r="AH45" i="2"/>
  <c r="AF22" i="2"/>
  <c r="AU49" i="2"/>
  <c r="AV49" i="2"/>
  <c r="AU52" i="2"/>
  <c r="AV54" i="2"/>
  <c r="AV48" i="2"/>
  <c r="AU50" i="2"/>
  <c r="AV50" i="2"/>
  <c r="AJ49" i="2"/>
  <c r="AU48" i="2"/>
  <c r="AG34" i="2"/>
  <c r="AW47" i="2"/>
  <c r="AH23" i="2"/>
  <c r="AM23" i="2" s="1"/>
  <c r="C77" i="2" s="1"/>
  <c r="AG19" i="2"/>
  <c r="AW54" i="2"/>
  <c r="AU47" i="2"/>
  <c r="AV47" i="2"/>
  <c r="AV53" i="2"/>
  <c r="AU53" i="2"/>
  <c r="AG22" i="2"/>
  <c r="AG47" i="2"/>
  <c r="K40" i="2"/>
  <c r="AG48" i="2"/>
  <c r="AG18" i="2"/>
  <c r="AF26" i="2"/>
  <c r="AH36" i="2"/>
  <c r="AM36" i="2" s="1"/>
  <c r="C90" i="2" s="1"/>
  <c r="H41" i="2"/>
  <c r="K41" i="2" s="1"/>
  <c r="Q41" i="2" s="1"/>
  <c r="AH34" i="2"/>
  <c r="AM34" i="2" s="1"/>
  <c r="C88" i="2" s="1"/>
  <c r="L42" i="2"/>
  <c r="AC29" i="2"/>
  <c r="AF29" i="2" s="1"/>
  <c r="AF20" i="2"/>
  <c r="K42" i="2"/>
  <c r="AH22" i="2"/>
  <c r="AM22" i="2" s="1"/>
  <c r="C76" i="2" s="1"/>
  <c r="AG23" i="2"/>
  <c r="AH47" i="2"/>
  <c r="AM47" i="2" s="1"/>
  <c r="C101" i="2" s="1"/>
  <c r="AG49" i="2"/>
  <c r="AH18" i="2"/>
  <c r="AM18" i="2" s="1"/>
  <c r="C72" i="2" s="1"/>
  <c r="AI21" i="2"/>
  <c r="Z31" i="2"/>
  <c r="AE31" i="2" s="1"/>
  <c r="AF31" i="2" s="1"/>
  <c r="AI33" i="2"/>
  <c r="L43" i="2"/>
  <c r="M41" i="2"/>
  <c r="AC17" i="2"/>
  <c r="AF17" i="2" s="1"/>
  <c r="AL17" i="2" s="1"/>
  <c r="I71" i="2" s="1"/>
  <c r="AC21" i="2"/>
  <c r="AF21" i="2" s="1"/>
  <c r="AL21" i="2" s="1"/>
  <c r="I75" i="2" s="1"/>
  <c r="AH37" i="2"/>
  <c r="M43" i="2"/>
  <c r="R43" i="2" s="1"/>
  <c r="F97" i="2" s="1"/>
  <c r="AC45" i="2"/>
  <c r="AF45" i="2" s="1"/>
  <c r="AL45" i="2" s="1"/>
  <c r="I99" i="2" s="1"/>
  <c r="AH19" i="2"/>
  <c r="AM19" i="2" s="1"/>
  <c r="C73" i="2" s="1"/>
  <c r="K43" i="2"/>
  <c r="AC41" i="2"/>
  <c r="AF41" i="2" s="1"/>
  <c r="AF19" i="2"/>
  <c r="AF28" i="2"/>
  <c r="AH33" i="2"/>
  <c r="AF34" i="2"/>
  <c r="AH21" i="2"/>
  <c r="AF46" i="2"/>
  <c r="AF14" i="2"/>
  <c r="AF24" i="2"/>
  <c r="AH17" i="2"/>
  <c r="AI25" i="2"/>
  <c r="AD31" i="2"/>
  <c r="M42" i="2"/>
  <c r="R42" i="2" s="1"/>
  <c r="AI41" i="2"/>
  <c r="AH49" i="2"/>
  <c r="AF39" i="2"/>
  <c r="AG39" i="2"/>
  <c r="M39" i="2"/>
  <c r="R39" i="2" s="1"/>
  <c r="AF35" i="2"/>
  <c r="AG35" i="2"/>
  <c r="AG36" i="2"/>
  <c r="AF36" i="2"/>
  <c r="L39" i="2"/>
  <c r="K39" i="2"/>
  <c r="AC33" i="2"/>
  <c r="AF33" i="2" s="1"/>
  <c r="AI37" i="2"/>
  <c r="N41" i="2"/>
  <c r="H45" i="2"/>
  <c r="K45" i="2" s="1"/>
  <c r="Q45" i="2" s="1"/>
  <c r="AC37" i="2"/>
  <c r="AF37" i="2" s="1"/>
  <c r="AL37" i="2" s="1"/>
  <c r="I91" i="2" s="1"/>
  <c r="AF18" i="2"/>
  <c r="AF15" i="2"/>
  <c r="AH26" i="2"/>
  <c r="AM26" i="2" s="1"/>
  <c r="C80" i="2" s="1"/>
  <c r="AH41" i="2"/>
  <c r="AF47" i="2"/>
  <c r="AG15" i="2"/>
  <c r="AH25" i="2"/>
  <c r="AI29" i="2"/>
  <c r="AH29" i="2"/>
  <c r="AH14" i="2"/>
  <c r="AM14" i="2" s="1"/>
  <c r="C68" i="2" s="1"/>
  <c r="AH28" i="2"/>
  <c r="AM28" i="2" s="1"/>
  <c r="C82" i="2" s="1"/>
  <c r="AH30" i="2"/>
  <c r="AM30" i="2" s="1"/>
  <c r="C84" i="2" s="1"/>
  <c r="AG30" i="2"/>
  <c r="AF30" i="2"/>
  <c r="M46" i="2"/>
  <c r="R46" i="2" s="1"/>
  <c r="K46" i="2"/>
  <c r="AG32" i="2"/>
  <c r="AH32" i="2"/>
  <c r="AM32" i="2" s="1"/>
  <c r="C86" i="2" s="1"/>
  <c r="AF32" i="2"/>
  <c r="R48" i="2"/>
  <c r="AH43" i="2"/>
  <c r="AM43" i="2" s="1"/>
  <c r="C97" i="2" s="1"/>
  <c r="AF27" i="2"/>
  <c r="AH48" i="2"/>
  <c r="AM48" i="2" s="1"/>
  <c r="C102" i="2" s="1"/>
  <c r="AH27" i="2"/>
  <c r="AM27" i="2" s="1"/>
  <c r="C81" i="2" s="1"/>
  <c r="AG27" i="2"/>
  <c r="N45" i="2"/>
  <c r="M45" i="2"/>
  <c r="R47" i="2"/>
  <c r="AH24" i="2"/>
  <c r="AM24" i="2" s="1"/>
  <c r="C78" i="2" s="1"/>
  <c r="M40" i="2"/>
  <c r="R40" i="2" s="1"/>
  <c r="L40" i="2"/>
  <c r="AI45" i="2"/>
  <c r="AI49" i="2"/>
  <c r="AF49" i="2"/>
  <c r="AH35" i="2"/>
  <c r="AM35" i="2" s="1"/>
  <c r="C89" i="2" s="1"/>
  <c r="AH39" i="2"/>
  <c r="AM39" i="2" s="1"/>
  <c r="C93" i="2" s="1"/>
  <c r="AG24" i="2"/>
  <c r="AG28" i="2"/>
  <c r="AG16" i="2"/>
  <c r="AF43" i="2"/>
  <c r="AF48" i="2"/>
  <c r="AF16" i="2"/>
  <c r="AF23" i="2"/>
  <c r="AG46" i="2"/>
  <c r="AC25" i="2"/>
  <c r="AF25" i="2" s="1"/>
  <c r="AH46" i="2"/>
  <c r="AM46" i="2" s="1"/>
  <c r="C100" i="2" s="1"/>
  <c r="AF42" i="2"/>
  <c r="AH42" i="2"/>
  <c r="AM42" i="2" s="1"/>
  <c r="AG42" i="2"/>
  <c r="AG40" i="2"/>
  <c r="AH40" i="2"/>
  <c r="AM40" i="2" s="1"/>
  <c r="C94" i="2" s="1"/>
  <c r="AF40" i="2"/>
  <c r="AH16" i="2"/>
  <c r="AM16" i="2" s="1"/>
  <c r="C70" i="2" s="1"/>
  <c r="AH20" i="2"/>
  <c r="AM20" i="2" s="1"/>
  <c r="C74" i="2" s="1"/>
  <c r="AG20" i="2"/>
  <c r="AH15" i="2"/>
  <c r="AM15" i="2" s="1"/>
  <c r="C69" i="2" s="1"/>
  <c r="AD13" i="2"/>
  <c r="AB13" i="2"/>
  <c r="Z13" i="2"/>
  <c r="AE13" i="2" s="1"/>
  <c r="AD12" i="2"/>
  <c r="AB12" i="2"/>
  <c r="Z12" i="2"/>
  <c r="AE12" i="2" s="1"/>
  <c r="AD11" i="2"/>
  <c r="AB11" i="2"/>
  <c r="Z11" i="2"/>
  <c r="AE11" i="2" s="1"/>
  <c r="AD10" i="2"/>
  <c r="AB10" i="2"/>
  <c r="Z10" i="2"/>
  <c r="AE10" i="2" s="1"/>
  <c r="AD9" i="2"/>
  <c r="AB9" i="2"/>
  <c r="AA9" i="2"/>
  <c r="Z9" i="2"/>
  <c r="AE9" i="2" s="1"/>
  <c r="X8" i="2"/>
  <c r="AB8" i="2" s="1"/>
  <c r="AD7" i="2"/>
  <c r="AB7" i="2"/>
  <c r="Z7" i="2"/>
  <c r="AE7" i="2" s="1"/>
  <c r="AD6" i="2"/>
  <c r="AB6" i="2"/>
  <c r="Z6" i="2"/>
  <c r="AE6" i="2" s="1"/>
  <c r="AD5" i="2"/>
  <c r="AB5" i="2"/>
  <c r="Z5" i="2"/>
  <c r="AE5" i="2" s="1"/>
  <c r="AD4" i="2"/>
  <c r="AB4" i="2"/>
  <c r="Z4" i="2"/>
  <c r="AE4" i="2" s="1"/>
  <c r="AD2" i="2"/>
  <c r="Y3" i="2"/>
  <c r="X3" i="2"/>
  <c r="AD3" i="2" s="1"/>
  <c r="AB2" i="2"/>
  <c r="Z2" i="2"/>
  <c r="AE2" i="2" s="1"/>
  <c r="H98" i="2" l="1"/>
  <c r="J98" i="2" s="1"/>
  <c r="K98" i="2" s="1"/>
  <c r="H95" i="2"/>
  <c r="AL34" i="2"/>
  <c r="I88" i="2" s="1"/>
  <c r="B101" i="2"/>
  <c r="F101" i="2"/>
  <c r="B102" i="2"/>
  <c r="F102" i="2"/>
  <c r="B96" i="2"/>
  <c r="F96" i="2"/>
  <c r="B100" i="2"/>
  <c r="F100" i="2"/>
  <c r="B94" i="2"/>
  <c r="D94" i="2" s="1"/>
  <c r="E94" i="2" s="1"/>
  <c r="F94" i="2"/>
  <c r="AL24" i="2"/>
  <c r="I78" i="2" s="1"/>
  <c r="B93" i="2"/>
  <c r="F93" i="2"/>
  <c r="B92" i="2"/>
  <c r="D92" i="2" s="1"/>
  <c r="E92" i="2" s="1"/>
  <c r="F92" i="2"/>
  <c r="Q38" i="2"/>
  <c r="P38" i="2"/>
  <c r="M154" i="2"/>
  <c r="AL26" i="2"/>
  <c r="I80" i="2" s="1"/>
  <c r="K154" i="2"/>
  <c r="AM21" i="2"/>
  <c r="C75" i="2" s="1"/>
  <c r="AG31" i="2"/>
  <c r="K170" i="2"/>
  <c r="M170" i="2"/>
  <c r="Q43" i="2"/>
  <c r="AK22" i="2"/>
  <c r="AL19" i="2"/>
  <c r="I73" i="2" s="1"/>
  <c r="AL14" i="2"/>
  <c r="I68" i="2" s="1"/>
  <c r="AH6" i="2"/>
  <c r="AM6" i="2" s="1"/>
  <c r="C60" i="2" s="1"/>
  <c r="AK34" i="2"/>
  <c r="AM17" i="2"/>
  <c r="C71" i="2" s="1"/>
  <c r="AF10" i="2"/>
  <c r="AL22" i="2"/>
  <c r="I76" i="2" s="1"/>
  <c r="AI9" i="2"/>
  <c r="AM49" i="2"/>
  <c r="C103" i="2" s="1"/>
  <c r="AL47" i="2"/>
  <c r="I101" i="2" s="1"/>
  <c r="R41" i="2"/>
  <c r="AG10" i="2"/>
  <c r="AM41" i="2"/>
  <c r="C95" i="2" s="1"/>
  <c r="C96" i="2"/>
  <c r="AU91" i="2" s="1"/>
  <c r="B97" i="2"/>
  <c r="P42" i="2"/>
  <c r="P41" i="2"/>
  <c r="AM25" i="2"/>
  <c r="C79" i="2" s="1"/>
  <c r="AL18" i="2"/>
  <c r="I72" i="2" s="1"/>
  <c r="AL39" i="2"/>
  <c r="I93" i="2" s="1"/>
  <c r="AL20" i="2"/>
  <c r="I74" i="2" s="1"/>
  <c r="AK21" i="2"/>
  <c r="AL36" i="2"/>
  <c r="I90" i="2" s="1"/>
  <c r="AU95" i="2"/>
  <c r="AK41" i="2"/>
  <c r="Q42" i="2"/>
  <c r="AG6" i="2"/>
  <c r="AD8" i="2"/>
  <c r="AH13" i="2"/>
  <c r="AK28" i="2"/>
  <c r="AM37" i="2"/>
  <c r="C91" i="2" s="1"/>
  <c r="AL35" i="2"/>
  <c r="I89" i="2" s="1"/>
  <c r="AG11" i="2"/>
  <c r="H103" i="2"/>
  <c r="AL15" i="2"/>
  <c r="I69" i="2" s="1"/>
  <c r="AK33" i="2"/>
  <c r="Z8" i="2"/>
  <c r="AE8" i="2" s="1"/>
  <c r="D93" i="2"/>
  <c r="E93" i="2" s="1"/>
  <c r="AH31" i="2"/>
  <c r="AM31" i="2" s="1"/>
  <c r="C85" i="2" s="1"/>
  <c r="AL41" i="2"/>
  <c r="I95" i="2" s="1"/>
  <c r="J95" i="2" s="1"/>
  <c r="K95" i="2" s="1"/>
  <c r="AM33" i="2"/>
  <c r="C87" i="2" s="1"/>
  <c r="AC9" i="2"/>
  <c r="AF9" i="2" s="1"/>
  <c r="AG12" i="2"/>
  <c r="AI5" i="2"/>
  <c r="AK19" i="2"/>
  <c r="D100" i="2"/>
  <c r="E100" i="2" s="1"/>
  <c r="AK39" i="2"/>
  <c r="P40" i="2"/>
  <c r="AK47" i="2"/>
  <c r="P43" i="2"/>
  <c r="AK37" i="2"/>
  <c r="AK17" i="2"/>
  <c r="AH7" i="2"/>
  <c r="AM7" i="2" s="1"/>
  <c r="C61" i="2" s="1"/>
  <c r="AH5" i="2"/>
  <c r="AB3" i="2"/>
  <c r="AL33" i="2"/>
  <c r="I87" i="2" s="1"/>
  <c r="AG7" i="2"/>
  <c r="AH12" i="2"/>
  <c r="AM12" i="2" s="1"/>
  <c r="C66" i="2" s="1"/>
  <c r="AK46" i="2"/>
  <c r="Z3" i="2"/>
  <c r="AE3" i="2" s="1"/>
  <c r="AG3" i="2" s="1"/>
  <c r="AH10" i="2"/>
  <c r="AM10" i="2" s="1"/>
  <c r="C64" i="2" s="1"/>
  <c r="AK45" i="2"/>
  <c r="AC5" i="2"/>
  <c r="AF5" i="2" s="1"/>
  <c r="AL5" i="2" s="1"/>
  <c r="I59" i="2" s="1"/>
  <c r="AF7" i="2"/>
  <c r="AC13" i="2"/>
  <c r="AF13" i="2" s="1"/>
  <c r="AL13" i="2" s="1"/>
  <c r="I67" i="2" s="1"/>
  <c r="Q40" i="2"/>
  <c r="AK36" i="2"/>
  <c r="AL28" i="2"/>
  <c r="I82" i="2" s="1"/>
  <c r="AH11" i="2"/>
  <c r="AM11" i="2" s="1"/>
  <c r="C65" i="2" s="1"/>
  <c r="AK20" i="2"/>
  <c r="R45" i="2"/>
  <c r="AH9" i="2"/>
  <c r="AF12" i="2"/>
  <c r="AK18" i="2"/>
  <c r="AK26" i="2"/>
  <c r="AM29" i="2"/>
  <c r="C83" i="2" s="1"/>
  <c r="Q39" i="2"/>
  <c r="P39" i="2"/>
  <c r="AF2" i="2"/>
  <c r="AH4" i="2"/>
  <c r="AM4" i="2" s="1"/>
  <c r="C58" i="2" s="1"/>
  <c r="AF4" i="2"/>
  <c r="AG4" i="2"/>
  <c r="AH2" i="2"/>
  <c r="AM2" i="2" s="1"/>
  <c r="C56" i="2" s="1"/>
  <c r="AG2" i="2"/>
  <c r="AF6" i="2"/>
  <c r="AL46" i="2"/>
  <c r="I100" i="2" s="1"/>
  <c r="AK24" i="2"/>
  <c r="AL48" i="2"/>
  <c r="I102" i="2" s="1"/>
  <c r="AK48" i="2"/>
  <c r="AL49" i="2"/>
  <c r="I103" i="2" s="1"/>
  <c r="AK49" i="2"/>
  <c r="Q47" i="2"/>
  <c r="P47" i="2"/>
  <c r="P49" i="2"/>
  <c r="AM45" i="2"/>
  <c r="AK30" i="2"/>
  <c r="AL30" i="2"/>
  <c r="I84" i="2" s="1"/>
  <c r="AF11" i="2"/>
  <c r="AK32" i="2"/>
  <c r="AL32" i="2"/>
  <c r="I86" i="2" s="1"/>
  <c r="Q46" i="2"/>
  <c r="P46" i="2"/>
  <c r="AL42" i="2"/>
  <c r="I96" i="2" s="1"/>
  <c r="AK42" i="2"/>
  <c r="AK35" i="2"/>
  <c r="AL31" i="2"/>
  <c r="I85" i="2" s="1"/>
  <c r="AK29" i="2"/>
  <c r="AL29" i="2"/>
  <c r="I83" i="2" s="1"/>
  <c r="AI13" i="2"/>
  <c r="AK43" i="2"/>
  <c r="AL43" i="2"/>
  <c r="I97" i="2" s="1"/>
  <c r="H99" i="2"/>
  <c r="P45" i="2"/>
  <c r="AK23" i="2"/>
  <c r="AL23" i="2"/>
  <c r="I77" i="2" s="1"/>
  <c r="D101" i="2"/>
  <c r="E101" i="2" s="1"/>
  <c r="AK15" i="2"/>
  <c r="P48" i="2"/>
  <c r="Q48" i="2"/>
  <c r="AK16" i="2"/>
  <c r="AL16" i="2"/>
  <c r="I70" i="2" s="1"/>
  <c r="AK27" i="2"/>
  <c r="AL27" i="2"/>
  <c r="I81" i="2" s="1"/>
  <c r="AK40" i="2"/>
  <c r="AL40" i="2"/>
  <c r="I94" i="2" s="1"/>
  <c r="AK25" i="2"/>
  <c r="AL25" i="2"/>
  <c r="I79" i="2" s="1"/>
  <c r="AK14" i="2"/>
  <c r="I33" i="2"/>
  <c r="G33" i="2"/>
  <c r="E33" i="2"/>
  <c r="J33" i="2" s="1"/>
  <c r="I32" i="2"/>
  <c r="G32" i="2"/>
  <c r="F32" i="2"/>
  <c r="E32" i="2"/>
  <c r="J32" i="2" s="1"/>
  <c r="I31" i="2"/>
  <c r="G31" i="2"/>
  <c r="F31" i="2"/>
  <c r="E31" i="2"/>
  <c r="J31" i="2" s="1"/>
  <c r="I30" i="2"/>
  <c r="G30" i="2"/>
  <c r="E30" i="2"/>
  <c r="J30" i="2" s="1"/>
  <c r="I37" i="2"/>
  <c r="G37" i="2"/>
  <c r="F37" i="2"/>
  <c r="E37" i="2"/>
  <c r="J37" i="2" s="1"/>
  <c r="I36" i="2"/>
  <c r="G36" i="2"/>
  <c r="E36" i="2"/>
  <c r="J36" i="2" s="1"/>
  <c r="I35" i="2"/>
  <c r="G35" i="2"/>
  <c r="E35" i="2"/>
  <c r="J35" i="2" s="1"/>
  <c r="F34" i="2"/>
  <c r="C34" i="2"/>
  <c r="E34" i="2" s="1"/>
  <c r="J34" i="2" s="1"/>
  <c r="I29" i="2"/>
  <c r="G29" i="2"/>
  <c r="F29" i="2"/>
  <c r="B29" i="2"/>
  <c r="E29" i="2" s="1"/>
  <c r="J29" i="2" s="1"/>
  <c r="I28" i="2"/>
  <c r="G28" i="2"/>
  <c r="E28" i="2"/>
  <c r="J28" i="2" s="1"/>
  <c r="I27" i="2"/>
  <c r="G27" i="2"/>
  <c r="E27" i="2"/>
  <c r="J27" i="2" s="1"/>
  <c r="I26" i="2"/>
  <c r="G26" i="2"/>
  <c r="E26" i="2"/>
  <c r="J26" i="2" s="1"/>
  <c r="I25" i="2"/>
  <c r="G25" i="2"/>
  <c r="E25" i="2"/>
  <c r="J25" i="2" s="1"/>
  <c r="I24" i="2"/>
  <c r="G24" i="2"/>
  <c r="E24" i="2"/>
  <c r="J24" i="2" s="1"/>
  <c r="I23" i="2"/>
  <c r="G23" i="2"/>
  <c r="E23" i="2"/>
  <c r="J23" i="2" s="1"/>
  <c r="I22" i="2"/>
  <c r="G22" i="2"/>
  <c r="E22" i="2"/>
  <c r="J22" i="2" s="1"/>
  <c r="I21" i="2"/>
  <c r="G21" i="2"/>
  <c r="F21" i="2"/>
  <c r="E21" i="2"/>
  <c r="J21" i="2" s="1"/>
  <c r="I20" i="2"/>
  <c r="G20" i="2"/>
  <c r="E20" i="2"/>
  <c r="J20" i="2" s="1"/>
  <c r="I19" i="2"/>
  <c r="G19" i="2"/>
  <c r="E19" i="2"/>
  <c r="J19" i="2" s="1"/>
  <c r="I18" i="2"/>
  <c r="G18" i="2"/>
  <c r="E18" i="2"/>
  <c r="J18" i="2" s="1"/>
  <c r="I17" i="2"/>
  <c r="G17" i="2"/>
  <c r="F17" i="2"/>
  <c r="E17" i="2"/>
  <c r="J17" i="2" s="1"/>
  <c r="E16" i="2"/>
  <c r="J16" i="2" s="1"/>
  <c r="I15" i="2"/>
  <c r="F15" i="2"/>
  <c r="E15" i="2"/>
  <c r="J15" i="2" s="1"/>
  <c r="E14" i="2"/>
  <c r="J14" i="2" s="1"/>
  <c r="I13" i="2"/>
  <c r="G13" i="2"/>
  <c r="F13" i="2"/>
  <c r="E13" i="2"/>
  <c r="J13" i="2" s="1"/>
  <c r="G11" i="2"/>
  <c r="I11" i="2"/>
  <c r="F12" i="2"/>
  <c r="C12" i="2"/>
  <c r="E12" i="2" s="1"/>
  <c r="J12" i="2" s="1"/>
  <c r="D11" i="2"/>
  <c r="E11" i="2" s="1"/>
  <c r="J11" i="2" s="1"/>
  <c r="F11" i="2"/>
  <c r="I10" i="2"/>
  <c r="G9" i="2"/>
  <c r="G10" i="2"/>
  <c r="F10" i="2"/>
  <c r="E10" i="2"/>
  <c r="J10" i="2" s="1"/>
  <c r="I9" i="2"/>
  <c r="G8" i="2"/>
  <c r="F9" i="2"/>
  <c r="E9" i="2"/>
  <c r="J9" i="2" s="1"/>
  <c r="I8" i="2"/>
  <c r="F8" i="2"/>
  <c r="E8" i="2"/>
  <c r="J8" i="2" s="1"/>
  <c r="G7" i="2"/>
  <c r="I7" i="2"/>
  <c r="G6" i="2"/>
  <c r="F7" i="2"/>
  <c r="E7" i="2"/>
  <c r="J7" i="2" s="1"/>
  <c r="I6" i="2"/>
  <c r="J2" i="2"/>
  <c r="I5" i="2"/>
  <c r="E6" i="2"/>
  <c r="J6" i="2" s="1"/>
  <c r="G5" i="2"/>
  <c r="F5" i="2"/>
  <c r="E5" i="2"/>
  <c r="J5" i="2" s="1"/>
  <c r="I3" i="2"/>
  <c r="I4" i="2"/>
  <c r="G4" i="2"/>
  <c r="G2" i="2"/>
  <c r="F4" i="2"/>
  <c r="E4" i="2"/>
  <c r="J4" i="2" s="1"/>
  <c r="I2" i="2"/>
  <c r="G3" i="2"/>
  <c r="F3" i="2"/>
  <c r="E3" i="2"/>
  <c r="J3" i="2" s="1"/>
  <c r="F2" i="2"/>
  <c r="E2" i="2"/>
  <c r="B99" i="2" l="1"/>
  <c r="F99" i="2"/>
  <c r="H101" i="2"/>
  <c r="H92" i="2"/>
  <c r="J92" i="2" s="1"/>
  <c r="K92" i="2" s="1"/>
  <c r="H100" i="2"/>
  <c r="AV94" i="2"/>
  <c r="H93" i="2"/>
  <c r="H97" i="2"/>
  <c r="AV92" i="2"/>
  <c r="AU94" i="2"/>
  <c r="D33" i="4" s="1"/>
  <c r="H94" i="2"/>
  <c r="B95" i="2"/>
  <c r="F95" i="2"/>
  <c r="AU19" i="2"/>
  <c r="H102" i="2"/>
  <c r="H96" i="2"/>
  <c r="D97" i="2"/>
  <c r="E97" i="2" s="1"/>
  <c r="AU96" i="2"/>
  <c r="D30" i="4"/>
  <c r="D30" i="5"/>
  <c r="D31" i="5"/>
  <c r="D31" i="4"/>
  <c r="D33" i="5"/>
  <c r="D29" i="5"/>
  <c r="D29" i="4"/>
  <c r="D34" i="5"/>
  <c r="D34" i="4"/>
  <c r="AM9" i="2"/>
  <c r="C63" i="2" s="1"/>
  <c r="J97" i="2"/>
  <c r="K97" i="2" s="1"/>
  <c r="AU37" i="2"/>
  <c r="AR7" i="2"/>
  <c r="AW21" i="2"/>
  <c r="AW22" i="2"/>
  <c r="AG8" i="2"/>
  <c r="AL10" i="2"/>
  <c r="I64" i="2" s="1"/>
  <c r="AW25" i="2"/>
  <c r="AW39" i="2"/>
  <c r="AW20" i="2"/>
  <c r="AW45" i="2"/>
  <c r="D95" i="2"/>
  <c r="E95" i="2" s="1"/>
  <c r="AW28" i="2"/>
  <c r="AW38" i="2"/>
  <c r="AL7" i="2"/>
  <c r="I61" i="2" s="1"/>
  <c r="AH3" i="2"/>
  <c r="AM3" i="2" s="1"/>
  <c r="C57" i="2" s="1"/>
  <c r="AH8" i="2"/>
  <c r="AM8" i="2" s="1"/>
  <c r="C62" i="2" s="1"/>
  <c r="AL12" i="2"/>
  <c r="I66" i="2" s="1"/>
  <c r="AK31" i="2"/>
  <c r="AU44" i="2"/>
  <c r="AU36" i="2"/>
  <c r="AU28" i="2"/>
  <c r="AV32" i="2"/>
  <c r="AV36" i="2"/>
  <c r="AU38" i="2"/>
  <c r="AU45" i="2"/>
  <c r="AV40" i="2"/>
  <c r="AV42" i="2"/>
  <c r="AM13" i="2"/>
  <c r="C67" i="2" s="1"/>
  <c r="AU32" i="2"/>
  <c r="AU23" i="2"/>
  <c r="AU21" i="2"/>
  <c r="AW19" i="2"/>
  <c r="AU26" i="2"/>
  <c r="AW29" i="2"/>
  <c r="AU33" i="2"/>
  <c r="AV34" i="2"/>
  <c r="AU40" i="2"/>
  <c r="AV24" i="2"/>
  <c r="AW31" i="2"/>
  <c r="AW35" i="2"/>
  <c r="I34" i="2"/>
  <c r="AW43" i="2" s="1"/>
  <c r="AU42" i="2"/>
  <c r="N13" i="2"/>
  <c r="AW37" i="2"/>
  <c r="AW44" i="2"/>
  <c r="AF8" i="2"/>
  <c r="D98" i="2"/>
  <c r="E98" i="2" s="1"/>
  <c r="C99" i="2"/>
  <c r="D99" i="2" s="1"/>
  <c r="E99" i="2" s="1"/>
  <c r="J103" i="2"/>
  <c r="K103" i="2" s="1"/>
  <c r="AS14" i="2"/>
  <c r="AV23" i="2"/>
  <c r="N17" i="2"/>
  <c r="AK7" i="2"/>
  <c r="AK12" i="2"/>
  <c r="AM5" i="2"/>
  <c r="C59" i="2" s="1"/>
  <c r="J100" i="2"/>
  <c r="K100" i="2" s="1"/>
  <c r="AW34" i="2"/>
  <c r="J94" i="2"/>
  <c r="K94" i="2" s="1"/>
  <c r="AW24" i="2"/>
  <c r="AV26" i="2"/>
  <c r="AV28" i="2"/>
  <c r="K20" i="2"/>
  <c r="AW33" i="2"/>
  <c r="AU34" i="2"/>
  <c r="AV38" i="2"/>
  <c r="AV45" i="2"/>
  <c r="AW41" i="2"/>
  <c r="D96" i="2"/>
  <c r="E96" i="2" s="1"/>
  <c r="AV33" i="2"/>
  <c r="H25" i="2"/>
  <c r="K25" i="2" s="1"/>
  <c r="AU39" i="2"/>
  <c r="AU41" i="2"/>
  <c r="AV89" i="2"/>
  <c r="J93" i="2"/>
  <c r="K93" i="2" s="1"/>
  <c r="J96" i="2"/>
  <c r="K96" i="2" s="1"/>
  <c r="AV91" i="2"/>
  <c r="AV20" i="2"/>
  <c r="N9" i="2"/>
  <c r="AV25" i="2"/>
  <c r="AU29" i="2"/>
  <c r="AU31" i="2"/>
  <c r="AU35" i="2"/>
  <c r="L28" i="2"/>
  <c r="AV39" i="2"/>
  <c r="AV41" i="2"/>
  <c r="K10" i="2"/>
  <c r="AU25" i="2"/>
  <c r="AV21" i="2"/>
  <c r="AV29" i="2"/>
  <c r="AV31" i="2"/>
  <c r="AV35" i="2"/>
  <c r="AW42" i="2"/>
  <c r="J102" i="2"/>
  <c r="K102" i="2" s="1"/>
  <c r="J99" i="2"/>
  <c r="K99" i="2" s="1"/>
  <c r="AS8" i="2"/>
  <c r="AV95" i="2"/>
  <c r="J101" i="2"/>
  <c r="K101" i="2" s="1"/>
  <c r="AS7" i="2"/>
  <c r="AV22" i="2"/>
  <c r="L7" i="2"/>
  <c r="AW23" i="2"/>
  <c r="AU20" i="2"/>
  <c r="AV19" i="2"/>
  <c r="AU22" i="2"/>
  <c r="AU24" i="2"/>
  <c r="AW26" i="2"/>
  <c r="H13" i="2"/>
  <c r="K13" i="2" s="1"/>
  <c r="Q13" i="2" s="1"/>
  <c r="M16" i="2"/>
  <c r="R16" i="2" s="1"/>
  <c r="AU30" i="2"/>
  <c r="AW30" i="2"/>
  <c r="AV30" i="2"/>
  <c r="L19" i="2"/>
  <c r="AW32" i="2"/>
  <c r="AW36" i="2"/>
  <c r="AV37" i="2"/>
  <c r="AV44" i="2"/>
  <c r="AW40" i="2"/>
  <c r="AF3" i="2"/>
  <c r="D102" i="2"/>
  <c r="E102" i="2" s="1"/>
  <c r="B103" i="2"/>
  <c r="L6" i="2"/>
  <c r="L35" i="2"/>
  <c r="M31" i="2"/>
  <c r="R31" i="2" s="1"/>
  <c r="F85" i="2" s="1"/>
  <c r="AK9" i="2"/>
  <c r="H33" i="2"/>
  <c r="K33" i="2" s="1"/>
  <c r="Q33" i="2" s="1"/>
  <c r="H5" i="2"/>
  <c r="K5" i="2" s="1"/>
  <c r="Q5" i="2" s="1"/>
  <c r="I12" i="2"/>
  <c r="AW27" i="2" s="1"/>
  <c r="M26" i="2"/>
  <c r="R26" i="2" s="1"/>
  <c r="F80" i="2" s="1"/>
  <c r="N29" i="2"/>
  <c r="L27" i="2"/>
  <c r="M11" i="2"/>
  <c r="R11" i="2" s="1"/>
  <c r="F65" i="2" s="1"/>
  <c r="H9" i="2"/>
  <c r="K9" i="2" s="1"/>
  <c r="Q9" i="2" s="1"/>
  <c r="AL9" i="2"/>
  <c r="I63" i="2" s="1"/>
  <c r="M3" i="2"/>
  <c r="R3" i="2" s="1"/>
  <c r="H21" i="2"/>
  <c r="K21" i="2" s="1"/>
  <c r="K24" i="2"/>
  <c r="H37" i="2"/>
  <c r="K37" i="2" s="1"/>
  <c r="Q37" i="2" s="1"/>
  <c r="M14" i="2"/>
  <c r="R14" i="2" s="1"/>
  <c r="K3" i="2"/>
  <c r="M10" i="2"/>
  <c r="R10" i="2" s="1"/>
  <c r="L4" i="2"/>
  <c r="K8" i="2"/>
  <c r="L15" i="2"/>
  <c r="M25" i="2"/>
  <c r="K4" i="2"/>
  <c r="M7" i="2"/>
  <c r="R7" i="2" s="1"/>
  <c r="L18" i="2"/>
  <c r="L31" i="2"/>
  <c r="M6" i="2"/>
  <c r="R6" i="2" s="1"/>
  <c r="K7" i="2"/>
  <c r="N21" i="2"/>
  <c r="K23" i="2"/>
  <c r="K28" i="2"/>
  <c r="AK10" i="2"/>
  <c r="AK5" i="2"/>
  <c r="K27" i="2"/>
  <c r="N5" i="2"/>
  <c r="L10" i="2"/>
  <c r="G12" i="2"/>
  <c r="K16" i="2"/>
  <c r="M22" i="2"/>
  <c r="R22" i="2" s="1"/>
  <c r="L26" i="2"/>
  <c r="M29" i="2"/>
  <c r="M2" i="2"/>
  <c r="R2" i="2" s="1"/>
  <c r="M8" i="2"/>
  <c r="R8" i="2" s="1"/>
  <c r="M13" i="2"/>
  <c r="K14" i="2"/>
  <c r="L16" i="2"/>
  <c r="M20" i="2"/>
  <c r="R20" i="2" s="1"/>
  <c r="L22" i="2"/>
  <c r="M24" i="2"/>
  <c r="R24" i="2" s="1"/>
  <c r="H29" i="2"/>
  <c r="K29" i="2" s="1"/>
  <c r="L32" i="2"/>
  <c r="K2" i="2"/>
  <c r="L11" i="2"/>
  <c r="N25" i="2"/>
  <c r="M5" i="2"/>
  <c r="M18" i="2"/>
  <c r="R18" i="2" s="1"/>
  <c r="L23" i="2"/>
  <c r="M28" i="2"/>
  <c r="R28" i="2" s="1"/>
  <c r="K15" i="2"/>
  <c r="K19" i="2"/>
  <c r="M23" i="2"/>
  <c r="R23" i="2" s="1"/>
  <c r="N37" i="2"/>
  <c r="M9" i="2"/>
  <c r="M19" i="2"/>
  <c r="R19" i="2" s="1"/>
  <c r="M15" i="2"/>
  <c r="R15" i="2" s="1"/>
  <c r="M17" i="2"/>
  <c r="M27" i="2"/>
  <c r="R27" i="2" s="1"/>
  <c r="L3" i="2"/>
  <c r="M4" i="2"/>
  <c r="R4" i="2" s="1"/>
  <c r="K11" i="2"/>
  <c r="L14" i="2"/>
  <c r="H17" i="2"/>
  <c r="K17" i="2" s="1"/>
  <c r="L24" i="2"/>
  <c r="M35" i="2"/>
  <c r="R35" i="2" s="1"/>
  <c r="M37" i="2"/>
  <c r="K31" i="2"/>
  <c r="K36" i="2"/>
  <c r="L36" i="2"/>
  <c r="L30" i="2"/>
  <c r="K30" i="2"/>
  <c r="M36" i="2"/>
  <c r="R36" i="2" s="1"/>
  <c r="M30" i="2"/>
  <c r="R30" i="2" s="1"/>
  <c r="K32" i="2"/>
  <c r="M32" i="2"/>
  <c r="R32" i="2" s="1"/>
  <c r="N33" i="2"/>
  <c r="M33" i="2"/>
  <c r="L2" i="2"/>
  <c r="L8" i="2"/>
  <c r="L20" i="2"/>
  <c r="G34" i="2"/>
  <c r="AK11" i="2"/>
  <c r="AL11" i="2"/>
  <c r="I65" i="2" s="1"/>
  <c r="AK2" i="2"/>
  <c r="AL2" i="2"/>
  <c r="I56" i="2" s="1"/>
  <c r="K18" i="2"/>
  <c r="K35" i="2"/>
  <c r="K22" i="2"/>
  <c r="AK6" i="2"/>
  <c r="AL6" i="2"/>
  <c r="I60" i="2" s="1"/>
  <c r="AK4" i="2"/>
  <c r="AL4" i="2"/>
  <c r="I58" i="2" s="1"/>
  <c r="M21" i="2"/>
  <c r="AK13" i="2"/>
  <c r="K26" i="2"/>
  <c r="K6" i="2"/>
  <c r="B58" i="2" l="1"/>
  <c r="F58" i="2"/>
  <c r="B77" i="2"/>
  <c r="F77" i="2"/>
  <c r="B57" i="2"/>
  <c r="D57" i="2" s="1"/>
  <c r="E57" i="2" s="1"/>
  <c r="F57" i="2"/>
  <c r="H59" i="2"/>
  <c r="AS3" i="2"/>
  <c r="B62" i="2"/>
  <c r="F62" i="2"/>
  <c r="B60" i="2"/>
  <c r="F60" i="2"/>
  <c r="H87" i="2"/>
  <c r="J87" i="2" s="1"/>
  <c r="K87" i="2" s="1"/>
  <c r="B89" i="2"/>
  <c r="F89" i="2"/>
  <c r="AU86" i="2" s="1"/>
  <c r="B64" i="2"/>
  <c r="F64" i="2"/>
  <c r="B69" i="2"/>
  <c r="F69" i="2"/>
  <c r="H67" i="2"/>
  <c r="AV96" i="2"/>
  <c r="E35" i="5" s="1"/>
  <c r="B81" i="2"/>
  <c r="D81" i="2" s="1"/>
  <c r="E81" i="2" s="1"/>
  <c r="F81" i="2"/>
  <c r="B56" i="2"/>
  <c r="F56" i="2"/>
  <c r="B90" i="2"/>
  <c r="F90" i="2"/>
  <c r="B73" i="2"/>
  <c r="F73" i="2"/>
  <c r="B72" i="2"/>
  <c r="F72" i="2"/>
  <c r="B61" i="2"/>
  <c r="F61" i="2"/>
  <c r="B68" i="2"/>
  <c r="F68" i="2"/>
  <c r="B86" i="2"/>
  <c r="F86" i="2"/>
  <c r="B84" i="2"/>
  <c r="AU82" i="2" s="1"/>
  <c r="F84" i="2"/>
  <c r="B82" i="2"/>
  <c r="F82" i="2"/>
  <c r="H63" i="2"/>
  <c r="B70" i="2"/>
  <c r="F70" i="2"/>
  <c r="AU72" i="2" s="1"/>
  <c r="B78" i="2"/>
  <c r="F78" i="2"/>
  <c r="B74" i="2"/>
  <c r="F74" i="2"/>
  <c r="B76" i="2"/>
  <c r="F76" i="2"/>
  <c r="AU76" i="2" s="1"/>
  <c r="H91" i="2"/>
  <c r="Q28" i="2"/>
  <c r="D35" i="4"/>
  <c r="D35" i="5"/>
  <c r="E31" i="4"/>
  <c r="E31" i="5"/>
  <c r="E33" i="4"/>
  <c r="E33" i="5"/>
  <c r="E34" i="5"/>
  <c r="E34" i="4"/>
  <c r="E29" i="5"/>
  <c r="E29" i="4"/>
  <c r="E30" i="4"/>
  <c r="E30" i="5"/>
  <c r="E32" i="5"/>
  <c r="E32" i="4"/>
  <c r="D32" i="4"/>
  <c r="D32" i="5"/>
  <c r="AL8" i="2"/>
  <c r="I62" i="2" s="1"/>
  <c r="L12" i="2"/>
  <c r="AK8" i="2"/>
  <c r="L34" i="2"/>
  <c r="R9" i="2"/>
  <c r="Q31" i="2"/>
  <c r="P19" i="2"/>
  <c r="R25" i="2"/>
  <c r="AK3" i="2"/>
  <c r="Q27" i="2"/>
  <c r="Q7" i="2"/>
  <c r="Q16" i="2"/>
  <c r="AL3" i="2"/>
  <c r="I57" i="2" s="1"/>
  <c r="R17" i="2"/>
  <c r="Q15" i="2"/>
  <c r="R13" i="2"/>
  <c r="Q20" i="2"/>
  <c r="Q19" i="2"/>
  <c r="Q4" i="2"/>
  <c r="Q23" i="2"/>
  <c r="R29" i="2"/>
  <c r="P16" i="2"/>
  <c r="Q2" i="2"/>
  <c r="P31" i="2"/>
  <c r="D70" i="2"/>
  <c r="E70" i="2" s="1"/>
  <c r="P17" i="2"/>
  <c r="Q25" i="2"/>
  <c r="P25" i="2"/>
  <c r="J67" i="2"/>
  <c r="K67" i="2" s="1"/>
  <c r="AS5" i="2"/>
  <c r="P29" i="2"/>
  <c r="B85" i="2"/>
  <c r="J63" i="2"/>
  <c r="K63" i="2" s="1"/>
  <c r="AS4" i="2"/>
  <c r="AS12" i="2"/>
  <c r="P9" i="2"/>
  <c r="Q3" i="2"/>
  <c r="B80" i="2"/>
  <c r="AR14" i="2"/>
  <c r="D103" i="2"/>
  <c r="E103" i="2" s="1"/>
  <c r="AV27" i="2"/>
  <c r="K34" i="2"/>
  <c r="AU43" i="2"/>
  <c r="B65" i="2"/>
  <c r="J91" i="2"/>
  <c r="K91" i="2" s="1"/>
  <c r="AS13" i="2"/>
  <c r="M12" i="2"/>
  <c r="R12" i="2" s="1"/>
  <c r="AU27" i="2"/>
  <c r="P10" i="2"/>
  <c r="P7" i="2"/>
  <c r="R37" i="2"/>
  <c r="Q14" i="2"/>
  <c r="R21" i="2"/>
  <c r="R33" i="2"/>
  <c r="P24" i="2"/>
  <c r="J59" i="2"/>
  <c r="K59" i="2" s="1"/>
  <c r="Q24" i="2"/>
  <c r="AV43" i="2"/>
  <c r="AR8" i="2"/>
  <c r="P11" i="2"/>
  <c r="P3" i="2"/>
  <c r="K12" i="2"/>
  <c r="R5" i="2"/>
  <c r="F59" i="2" s="1"/>
  <c r="P14" i="2"/>
  <c r="Q10" i="2"/>
  <c r="P8" i="2"/>
  <c r="AU80" i="2"/>
  <c r="D90" i="2"/>
  <c r="E90" i="2" s="1"/>
  <c r="AU87" i="2"/>
  <c r="P28" i="2"/>
  <c r="D64" i="2"/>
  <c r="E64" i="2" s="1"/>
  <c r="AU67" i="2"/>
  <c r="D89" i="2"/>
  <c r="E89" i="2" s="1"/>
  <c r="P13" i="2"/>
  <c r="D69" i="2"/>
  <c r="E69" i="2" s="1"/>
  <c r="AU71" i="2"/>
  <c r="D62" i="2"/>
  <c r="E62" i="2" s="1"/>
  <c r="AU66" i="2"/>
  <c r="D61" i="2"/>
  <c r="E61" i="2" s="1"/>
  <c r="AU65" i="2"/>
  <c r="D82" i="2"/>
  <c r="E82" i="2" s="1"/>
  <c r="AU81" i="2"/>
  <c r="D56" i="2"/>
  <c r="E56" i="2" s="1"/>
  <c r="AU61" i="2"/>
  <c r="D60" i="2"/>
  <c r="E60" i="2" s="1"/>
  <c r="AU64" i="2"/>
  <c r="AU62" i="2"/>
  <c r="Q17" i="2"/>
  <c r="P37" i="2"/>
  <c r="D78" i="2"/>
  <c r="E78" i="2" s="1"/>
  <c r="AU78" i="2"/>
  <c r="Q8" i="2"/>
  <c r="D72" i="2"/>
  <c r="E72" i="2" s="1"/>
  <c r="AU73" i="2"/>
  <c r="Q11" i="2"/>
  <c r="D86" i="2"/>
  <c r="E86" i="2" s="1"/>
  <c r="AU84" i="2"/>
  <c r="Q29" i="2"/>
  <c r="D58" i="2"/>
  <c r="E58" i="2" s="1"/>
  <c r="AU63" i="2"/>
  <c r="D77" i="2"/>
  <c r="E77" i="2" s="1"/>
  <c r="AU77" i="2"/>
  <c r="D74" i="2"/>
  <c r="E74" i="2" s="1"/>
  <c r="AU75" i="2"/>
  <c r="D76" i="2"/>
  <c r="E76" i="2" s="1"/>
  <c r="D68" i="2"/>
  <c r="E68" i="2" s="1"/>
  <c r="AU70" i="2"/>
  <c r="D73" i="2"/>
  <c r="E73" i="2" s="1"/>
  <c r="AU74" i="2"/>
  <c r="P5" i="2"/>
  <c r="P2" i="2"/>
  <c r="P15" i="2"/>
  <c r="P4" i="2"/>
  <c r="P23" i="2"/>
  <c r="P27" i="2"/>
  <c r="P20" i="2"/>
  <c r="P33" i="2"/>
  <c r="P21" i="2"/>
  <c r="Q21" i="2"/>
  <c r="P26" i="2"/>
  <c r="Q26" i="2"/>
  <c r="P18" i="2"/>
  <c r="Q18" i="2"/>
  <c r="Q22" i="2"/>
  <c r="P22" i="2"/>
  <c r="P6" i="2"/>
  <c r="Q6" i="2"/>
  <c r="Q30" i="2"/>
  <c r="P30" i="2"/>
  <c r="Q32" i="2"/>
  <c r="P32" i="2"/>
  <c r="P36" i="2"/>
  <c r="Q36" i="2"/>
  <c r="M34" i="2"/>
  <c r="R34" i="2" s="1"/>
  <c r="P35" i="2"/>
  <c r="Q35" i="2"/>
  <c r="E35" i="4" l="1"/>
  <c r="H72" i="2"/>
  <c r="H64" i="2"/>
  <c r="B83" i="2"/>
  <c r="F83" i="2"/>
  <c r="B63" i="2"/>
  <c r="D63" i="2" s="1"/>
  <c r="E63" i="2" s="1"/>
  <c r="F63" i="2"/>
  <c r="H86" i="2"/>
  <c r="H62" i="2"/>
  <c r="H77" i="2"/>
  <c r="H70" i="2"/>
  <c r="J70" i="2" s="1"/>
  <c r="K70" i="2" s="1"/>
  <c r="AV72" i="2"/>
  <c r="H78" i="2"/>
  <c r="H82" i="2"/>
  <c r="J82" i="2" s="1"/>
  <c r="K82" i="2" s="1"/>
  <c r="AV81" i="2"/>
  <c r="E22" i="5" s="1"/>
  <c r="H80" i="2"/>
  <c r="H83" i="2"/>
  <c r="H79" i="2"/>
  <c r="H58" i="2"/>
  <c r="AV63" i="2"/>
  <c r="H61" i="2"/>
  <c r="AV65" i="2"/>
  <c r="H89" i="2"/>
  <c r="J89" i="2" s="1"/>
  <c r="K89" i="2" s="1"/>
  <c r="AV86" i="2"/>
  <c r="B87" i="2"/>
  <c r="F87" i="2"/>
  <c r="H74" i="2"/>
  <c r="J74" i="2" s="1"/>
  <c r="K74" i="2" s="1"/>
  <c r="B67" i="2"/>
  <c r="F67" i="2"/>
  <c r="B79" i="2"/>
  <c r="D79" i="2" s="1"/>
  <c r="E79" i="2" s="1"/>
  <c r="F79" i="2"/>
  <c r="AR10" i="2" s="1"/>
  <c r="H73" i="2"/>
  <c r="H75" i="2"/>
  <c r="B88" i="2"/>
  <c r="F88" i="2"/>
  <c r="AU85" i="2" s="1"/>
  <c r="H68" i="2"/>
  <c r="J68" i="2" s="1"/>
  <c r="K68" i="2" s="1"/>
  <c r="AV70" i="2"/>
  <c r="H56" i="2"/>
  <c r="L56" i="2"/>
  <c r="H69" i="2"/>
  <c r="H84" i="2"/>
  <c r="AV82" i="2"/>
  <c r="B66" i="2"/>
  <c r="F66" i="2"/>
  <c r="AU69" i="2" s="1"/>
  <c r="H81" i="2"/>
  <c r="H60" i="2"/>
  <c r="H65" i="2"/>
  <c r="AV68" i="2"/>
  <c r="H71" i="2"/>
  <c r="J71" i="2" s="1"/>
  <c r="K71" i="2" s="1"/>
  <c r="AS6" i="2"/>
  <c r="B75" i="2"/>
  <c r="F75" i="2"/>
  <c r="H57" i="2"/>
  <c r="H90" i="2"/>
  <c r="H76" i="2"/>
  <c r="J76" i="2" s="1"/>
  <c r="K76" i="2" s="1"/>
  <c r="AV76" i="2"/>
  <c r="D84" i="2"/>
  <c r="E84" i="2" s="1"/>
  <c r="B91" i="2"/>
  <c r="F91" i="2"/>
  <c r="B71" i="2"/>
  <c r="F71" i="2"/>
  <c r="H85" i="2"/>
  <c r="AV83" i="2"/>
  <c r="B59" i="2"/>
  <c r="AR3" i="2" s="1"/>
  <c r="J73" i="2"/>
  <c r="K73" i="2" s="1"/>
  <c r="AV80" i="2"/>
  <c r="J77" i="2"/>
  <c r="K77" i="2" s="1"/>
  <c r="D87" i="2"/>
  <c r="E87" i="2" s="1"/>
  <c r="AR12" i="2"/>
  <c r="AU79" i="2"/>
  <c r="D20" i="4" s="1"/>
  <c r="AV75" i="2"/>
  <c r="AR9" i="2"/>
  <c r="AU83" i="2"/>
  <c r="AU68" i="2"/>
  <c r="AV61" i="2"/>
  <c r="E2" i="4" s="1"/>
  <c r="D91" i="2"/>
  <c r="E91" i="2" s="1"/>
  <c r="AR13" i="2"/>
  <c r="D71" i="2"/>
  <c r="E71" i="2" s="1"/>
  <c r="AR6" i="2"/>
  <c r="J85" i="2"/>
  <c r="K85" i="2" s="1"/>
  <c r="D83" i="2"/>
  <c r="E83" i="2" s="1"/>
  <c r="AR4" i="2"/>
  <c r="D13" i="5"/>
  <c r="D13" i="4"/>
  <c r="AV71" i="2"/>
  <c r="D22" i="4"/>
  <c r="D22" i="5"/>
  <c r="D27" i="5"/>
  <c r="D27" i="4"/>
  <c r="D28" i="4"/>
  <c r="D28" i="5"/>
  <c r="D3" i="5"/>
  <c r="D3" i="4"/>
  <c r="D25" i="5"/>
  <c r="D25" i="4"/>
  <c r="D15" i="5"/>
  <c r="D15" i="4"/>
  <c r="D6" i="4"/>
  <c r="D6" i="5"/>
  <c r="D23" i="5"/>
  <c r="D23" i="4"/>
  <c r="D11" i="5"/>
  <c r="D11" i="4"/>
  <c r="D4" i="4"/>
  <c r="D4" i="5"/>
  <c r="D5" i="5"/>
  <c r="D5" i="4"/>
  <c r="D7" i="5"/>
  <c r="D7" i="4"/>
  <c r="D18" i="4"/>
  <c r="D18" i="5"/>
  <c r="D14" i="4"/>
  <c r="D14" i="5"/>
  <c r="D21" i="5"/>
  <c r="D21" i="4"/>
  <c r="D8" i="4"/>
  <c r="D8" i="5"/>
  <c r="D16" i="4"/>
  <c r="D16" i="5"/>
  <c r="D17" i="5"/>
  <c r="D17" i="4"/>
  <c r="D19" i="5"/>
  <c r="D19" i="4"/>
  <c r="D12" i="4"/>
  <c r="D12" i="5"/>
  <c r="D2" i="4"/>
  <c r="D2" i="5"/>
  <c r="D67" i="2"/>
  <c r="E67" i="2" s="1"/>
  <c r="AR11" i="2"/>
  <c r="J81" i="2"/>
  <c r="K81" i="2" s="1"/>
  <c r="Q34" i="2"/>
  <c r="AV74" i="2"/>
  <c r="AV77" i="2"/>
  <c r="J61" i="2"/>
  <c r="K61" i="2" s="1"/>
  <c r="J69" i="2"/>
  <c r="K69" i="2" s="1"/>
  <c r="D75" i="2"/>
  <c r="E75" i="2" s="1"/>
  <c r="P12" i="2"/>
  <c r="D85" i="2"/>
  <c r="E85" i="2" s="1"/>
  <c r="J58" i="2"/>
  <c r="K58" i="2" s="1"/>
  <c r="Q12" i="2"/>
  <c r="D66" i="2"/>
  <c r="E66" i="2" s="1"/>
  <c r="D65" i="2"/>
  <c r="E65" i="2" s="1"/>
  <c r="J86" i="2"/>
  <c r="K86" i="2" s="1"/>
  <c r="AV84" i="2"/>
  <c r="J78" i="2"/>
  <c r="K78" i="2" s="1"/>
  <c r="AV78" i="2"/>
  <c r="J72" i="2"/>
  <c r="K72" i="2" s="1"/>
  <c r="AV73" i="2"/>
  <c r="J65" i="2"/>
  <c r="K65" i="2" s="1"/>
  <c r="J80" i="2"/>
  <c r="K80" i="2" s="1"/>
  <c r="AV79" i="2"/>
  <c r="D80" i="2"/>
  <c r="E80" i="2" s="1"/>
  <c r="J90" i="2"/>
  <c r="K90" i="2" s="1"/>
  <c r="AV87" i="2"/>
  <c r="J57" i="2"/>
  <c r="K57" i="2" s="1"/>
  <c r="AV62" i="2"/>
  <c r="AV64" i="2"/>
  <c r="J60" i="2"/>
  <c r="K60" i="2" s="1"/>
  <c r="J75" i="2"/>
  <c r="K75" i="2" s="1"/>
  <c r="AS9" i="2"/>
  <c r="J84" i="2"/>
  <c r="K84" i="2" s="1"/>
  <c r="J83" i="2"/>
  <c r="K83" i="2" s="1"/>
  <c r="AS11" i="2"/>
  <c r="J62" i="2"/>
  <c r="K62" i="2" s="1"/>
  <c r="AV66" i="2"/>
  <c r="J64" i="2"/>
  <c r="K64" i="2" s="1"/>
  <c r="AV67" i="2"/>
  <c r="J79" i="2"/>
  <c r="K79" i="2" s="1"/>
  <c r="AS10" i="2"/>
  <c r="J56" i="2"/>
  <c r="K56" i="2" s="1"/>
  <c r="D88" i="2"/>
  <c r="E88" i="2" s="1"/>
  <c r="P34" i="2"/>
  <c r="E22" i="4" l="1"/>
  <c r="AR5" i="2"/>
  <c r="H88" i="2"/>
  <c r="H66" i="2"/>
  <c r="AV69" i="2"/>
  <c r="D9" i="4"/>
  <c r="D9" i="5"/>
  <c r="E2" i="5"/>
  <c r="D59" i="2"/>
  <c r="E59" i="2" s="1"/>
  <c r="E21" i="5"/>
  <c r="E21" i="4"/>
  <c r="D10" i="4"/>
  <c r="D10" i="5"/>
  <c r="E6" i="5"/>
  <c r="E6" i="4"/>
  <c r="D24" i="4"/>
  <c r="D24" i="5"/>
  <c r="E4" i="5"/>
  <c r="E4" i="4"/>
  <c r="D20" i="5"/>
  <c r="AV85" i="2"/>
  <c r="J66" i="2"/>
  <c r="K66" i="2" s="1"/>
  <c r="E12" i="4"/>
  <c r="E12" i="5"/>
  <c r="E24" i="5"/>
  <c r="E24" i="4"/>
  <c r="E8" i="5"/>
  <c r="E8" i="4"/>
  <c r="E13" i="5"/>
  <c r="E13" i="4"/>
  <c r="E17" i="4"/>
  <c r="E17" i="5"/>
  <c r="E23" i="4"/>
  <c r="E23" i="5"/>
  <c r="E9" i="4"/>
  <c r="E9" i="5"/>
  <c r="E25" i="4"/>
  <c r="E25" i="5"/>
  <c r="E15" i="4"/>
  <c r="E15" i="5"/>
  <c r="E19" i="5"/>
  <c r="E19" i="4"/>
  <c r="E3" i="5"/>
  <c r="E3" i="4"/>
  <c r="E28" i="4"/>
  <c r="E28" i="5"/>
  <c r="E18" i="5"/>
  <c r="E18" i="4"/>
  <c r="E5" i="5"/>
  <c r="E5" i="4"/>
  <c r="E11" i="5"/>
  <c r="E11" i="4"/>
  <c r="E20" i="4"/>
  <c r="E20" i="5"/>
  <c r="E7" i="4"/>
  <c r="E7" i="5"/>
  <c r="E14" i="5"/>
  <c r="E14" i="4"/>
  <c r="E16" i="5"/>
  <c r="E16" i="4"/>
  <c r="E27" i="5"/>
  <c r="E27" i="4"/>
  <c r="D26" i="4"/>
  <c r="D26" i="5"/>
  <c r="J88" i="2"/>
  <c r="K88" i="2" s="1"/>
  <c r="E26" i="5" l="1"/>
  <c r="E26" i="4"/>
  <c r="E10" i="5"/>
  <c r="E10" i="4"/>
</calcChain>
</file>

<file path=xl/sharedStrings.xml><?xml version="1.0" encoding="utf-8"?>
<sst xmlns="http://schemas.openxmlformats.org/spreadsheetml/2006/main" count="411" uniqueCount="144">
  <si>
    <t>Sample 2 files</t>
  </si>
  <si>
    <t>Frames total</t>
  </si>
  <si>
    <t>Assume initially 5 dead frames and at the end 10 dead frames</t>
  </si>
  <si>
    <t>Polar method dead</t>
  </si>
  <si>
    <t>Skin initial</t>
  </si>
  <si>
    <t xml:space="preserve">Dead initial </t>
  </si>
  <si>
    <t>Dead final</t>
  </si>
  <si>
    <t>Skin final</t>
  </si>
  <si>
    <t>-</t>
  </si>
  <si>
    <t>Core</t>
  </si>
  <si>
    <t>Azimuthal method dead</t>
  </si>
  <si>
    <t>Norm factor</t>
  </si>
  <si>
    <t>polar skin initial</t>
  </si>
  <si>
    <t>polar skin final</t>
  </si>
  <si>
    <t>Azimuthal skininitial</t>
  </si>
  <si>
    <t>azimuthal skin final</t>
  </si>
  <si>
    <t>polar core</t>
  </si>
  <si>
    <t>azimuthal core</t>
  </si>
  <si>
    <t>Avg skininitial</t>
  </si>
  <si>
    <t>Avg skin final</t>
  </si>
  <si>
    <t>Avg core</t>
  </si>
  <si>
    <t>Focus on different regions transitions and skin and core and edges</t>
  </si>
  <si>
    <t>Goals</t>
  </si>
  <si>
    <t xml:space="preserve">d spacing and follow pair of patterns and look at d spacing evolution </t>
  </si>
  <si>
    <t>Overall fractions. Fractions vs different thicknesses</t>
  </si>
  <si>
    <t>frames initial</t>
  </si>
  <si>
    <t>frames cut top</t>
  </si>
  <si>
    <t>frames cut bottom</t>
  </si>
  <si>
    <t>frames final</t>
  </si>
  <si>
    <t>edge frame start</t>
  </si>
  <si>
    <t>edge 1 frame end</t>
  </si>
  <si>
    <t xml:space="preserve">in between </t>
  </si>
  <si>
    <t xml:space="preserve">edge 2 start </t>
  </si>
  <si>
    <t>edge 2 end</t>
  </si>
  <si>
    <t>skin estimate 1</t>
  </si>
  <si>
    <t>skin estimate 2</t>
  </si>
  <si>
    <t xml:space="preserve">core estimate 1 </t>
  </si>
  <si>
    <t>core estimate 2</t>
  </si>
  <si>
    <t>462 (2)</t>
  </si>
  <si>
    <t>510 (2)</t>
  </si>
  <si>
    <t>503 (2)</t>
  </si>
  <si>
    <t>496 (2)</t>
  </si>
  <si>
    <t>442 (3)</t>
  </si>
  <si>
    <t>505 (3)</t>
  </si>
  <si>
    <t>499 (3)</t>
  </si>
  <si>
    <t>472 (3)</t>
  </si>
  <si>
    <t>453 (4)</t>
  </si>
  <si>
    <t>508 (4)</t>
  </si>
  <si>
    <t>501 (4)</t>
  </si>
  <si>
    <t>639 (5)</t>
  </si>
  <si>
    <t>484 (4)</t>
  </si>
  <si>
    <t>650 (5)</t>
  </si>
  <si>
    <t>661 (5)</t>
  </si>
  <si>
    <t>685 (5)</t>
  </si>
  <si>
    <t>514 (8)</t>
  </si>
  <si>
    <t>523 (8)</t>
  </si>
  <si>
    <t>532 (8)</t>
  </si>
  <si>
    <t>542 (8)</t>
  </si>
  <si>
    <t>517 (9)</t>
  </si>
  <si>
    <t>525 (9)</t>
  </si>
  <si>
    <t>534 (9)</t>
  </si>
  <si>
    <t>546 (9)</t>
  </si>
  <si>
    <t>520 (10)</t>
  </si>
  <si>
    <t>530 (10)</t>
  </si>
  <si>
    <t>536(10)</t>
  </si>
  <si>
    <t>553 (10)</t>
  </si>
  <si>
    <t>584 (11)</t>
  </si>
  <si>
    <t>602 (11)</t>
  </si>
  <si>
    <t>614 (11)</t>
  </si>
  <si>
    <t>560(11)</t>
  </si>
  <si>
    <t>588 (12)</t>
  </si>
  <si>
    <t>607(12)</t>
  </si>
  <si>
    <t>617 (12)</t>
  </si>
  <si>
    <t>565 (12)</t>
  </si>
  <si>
    <t>sample and files (from polar integration)</t>
  </si>
  <si>
    <t>sample and files (from azimuthal integration)</t>
  </si>
  <si>
    <t xml:space="preserve">frames cut top </t>
  </si>
  <si>
    <t>Total skin</t>
  </si>
  <si>
    <t>Total core</t>
  </si>
  <si>
    <t>635 (7)</t>
  </si>
  <si>
    <t>642 (6)</t>
  </si>
  <si>
    <t>654 (6)</t>
  </si>
  <si>
    <t>666 (6)</t>
  </si>
  <si>
    <t>689 (6)</t>
  </si>
  <si>
    <t>646 (7)</t>
  </si>
  <si>
    <t>657 (7)</t>
  </si>
  <si>
    <t>672 (7)</t>
  </si>
  <si>
    <t>596 (14)</t>
  </si>
  <si>
    <t>610 (14)</t>
  </si>
  <si>
    <t>631 (14)</t>
  </si>
  <si>
    <t>577 (14)</t>
  </si>
  <si>
    <t>core estimate 3</t>
  </si>
  <si>
    <t>CORE ESTIMATE 3</t>
  </si>
  <si>
    <t>DATA MANIPULATION</t>
  </si>
  <si>
    <t>TOTAL CORE POLAR</t>
  </si>
  <si>
    <t>TOTAL CORE AZIMUTHAL</t>
  </si>
  <si>
    <t>DIFFERENCE</t>
  </si>
  <si>
    <t>FRACTIONAL DIFEFRENCE</t>
  </si>
  <si>
    <t>TOTAL SKIN POLAR</t>
  </si>
  <si>
    <t>TOTAL SKIN AZIMUTHAL</t>
  </si>
  <si>
    <t>AVG</t>
  </si>
  <si>
    <t>SEPS 22 wt % sample number</t>
  </si>
  <si>
    <t>Injection rate mm / s</t>
  </si>
  <si>
    <t>Thickness / mm</t>
  </si>
  <si>
    <t>Processing Temperature / degrees celsius</t>
  </si>
  <si>
    <t>Post extrusion conditions</t>
  </si>
  <si>
    <t>NA</t>
  </si>
  <si>
    <t>annealing for 30 min at 180 degrees</t>
  </si>
  <si>
    <t>cooling at 180 degrees</t>
  </si>
  <si>
    <t>annealing for 60 min at 180 degrees</t>
  </si>
  <si>
    <t>SAMPLE DATA</t>
  </si>
  <si>
    <t>Perpendicular orientation analysis</t>
  </si>
  <si>
    <t>SAMPLE</t>
  </si>
  <si>
    <t xml:space="preserve">sample and files </t>
  </si>
  <si>
    <t>Core fraction total</t>
  </si>
  <si>
    <t>skin fraction total</t>
  </si>
  <si>
    <t>THICKNESS</t>
  </si>
  <si>
    <t>PROCESSING CONDITION</t>
  </si>
  <si>
    <t>Thickness position</t>
  </si>
  <si>
    <t>Distance from injection point</t>
  </si>
  <si>
    <t>FOR THICKNESS</t>
  </si>
  <si>
    <t>12mm</t>
  </si>
  <si>
    <t>27mm</t>
  </si>
  <si>
    <t>42mm</t>
  </si>
  <si>
    <t xml:space="preserve">             distance from injection point</t>
  </si>
  <si>
    <t>thickness</t>
  </si>
  <si>
    <t>annealing</t>
  </si>
  <si>
    <t>Sample</t>
  </si>
  <si>
    <t>perp</t>
  </si>
  <si>
    <t>mm</t>
  </si>
  <si>
    <t>minutes</t>
  </si>
  <si>
    <t>565+566</t>
  </si>
  <si>
    <t>596+597+598</t>
  </si>
  <si>
    <t>REVISIT THICKNESS PART</t>
  </si>
  <si>
    <t>core fraction</t>
  </si>
  <si>
    <t>skin fraction</t>
  </si>
  <si>
    <t>sample files from polar</t>
  </si>
  <si>
    <t>sample number</t>
  </si>
  <si>
    <t>annealing time</t>
  </si>
  <si>
    <t>cooling</t>
  </si>
  <si>
    <t>3 &amp; 4 frames core</t>
  </si>
  <si>
    <t>annealing at 180 degrees 60 min</t>
  </si>
  <si>
    <t>annealing at 180 degrees 30 min</t>
  </si>
  <si>
    <t>annealing at 180 degrees 60 min and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</si>
</sst>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3" fillId="0" borderId="0" xfId="0" applyFont="1" applyBorder="1"/>
    <xf numFmtId="0" fontId="0" fillId="0" borderId="0" xfId="0" applyBorder="1"/>
    <xf numFmtId="16" fontId="0" fillId="0" borderId="0" xfId="0" applyNumberFormat="1"/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</a:t>
            </a:r>
            <a:r>
              <a:rPr lang="en-GB" baseline="0"/>
              <a:t> thickness is 1mm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40876198886358E-2"/>
          <c:y val="7.2066392269148169E-2"/>
          <c:w val="0.86746203599550054"/>
          <c:h val="0.82181227630637077"/>
        </c:manualLayout>
      </c:layout>
      <c:scatterChart>
        <c:scatterStyle val="lineMarker"/>
        <c:varyColors val="0"/>
        <c:ser>
          <c:idx val="0"/>
          <c:order val="0"/>
          <c:tx>
            <c:v>Core fraction / no annealing (2)</c:v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'estimates new'!$AT$61:$AT$63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new'!$AU$61:$AU$63</c:f>
              <c:numCache>
                <c:formatCode>General</c:formatCode>
                <c:ptCount val="3"/>
                <c:pt idx="0">
                  <c:v>0.40229885057471265</c:v>
                </c:pt>
                <c:pt idx="1">
                  <c:v>0.41111111111111109</c:v>
                </c:pt>
                <c:pt idx="2">
                  <c:v>0.39080459770114945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2-462B-A7E1-3B64042B48AD}"/>
            </c:ext>
          </c:extLst>
        </c:ser>
        <c:ser>
          <c:idx val="1"/>
          <c:order val="1"/>
          <c:tx>
            <c:v>Core fraction/ annealing at 180 degrees (3)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new'!$AT$64:$AT$66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new'!$AU$64:$AU$66</c:f>
              <c:numCache>
                <c:formatCode>General</c:formatCode>
                <c:ptCount val="3"/>
                <c:pt idx="0">
                  <c:v>0.56818181818181823</c:v>
                </c:pt>
                <c:pt idx="1">
                  <c:v>0.37777777777777777</c:v>
                </c:pt>
                <c:pt idx="2">
                  <c:v>0.33707865168539325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2-462B-A7E1-3B64042B48AD}"/>
            </c:ext>
          </c:extLst>
        </c:ser>
        <c:ser>
          <c:idx val="2"/>
          <c:order val="2"/>
          <c:tx>
            <c:v>Core fraction / no annealing (4)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'estimates new'!$AT$67:$AT$69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new'!$AU$67:$AU$69</c:f>
              <c:numCache>
                <c:formatCode>General</c:formatCode>
                <c:ptCount val="3"/>
                <c:pt idx="0">
                  <c:v>0.7078651685393258</c:v>
                </c:pt>
                <c:pt idx="1">
                  <c:v>0.39325842696629215</c:v>
                </c:pt>
                <c:pt idx="2">
                  <c:v>0.32222222222222224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82-462B-A7E1-3B64042B48AD}"/>
            </c:ext>
          </c:extLst>
        </c:ser>
        <c:ser>
          <c:idx val="3"/>
          <c:order val="3"/>
          <c:tx>
            <c:v>Skin fraction / no annealing (2)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222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82-462B-A7E1-3B64042B48A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82-462B-A7E1-3B64042B48AD}"/>
              </c:ext>
            </c:extLst>
          </c:dPt>
          <c:xVal>
            <c:numRef>
              <c:f>'estimates new'!$AT$61:$AT$63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new'!$AV$61:$AV$63</c:f>
              <c:numCache>
                <c:formatCode>General</c:formatCode>
                <c:ptCount val="3"/>
                <c:pt idx="0">
                  <c:v>0.5977011494252874</c:v>
                </c:pt>
                <c:pt idx="1">
                  <c:v>0.58888888888888891</c:v>
                </c:pt>
                <c:pt idx="2">
                  <c:v>0.60919540229885061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82-462B-A7E1-3B64042B48AD}"/>
            </c:ext>
          </c:extLst>
        </c:ser>
        <c:ser>
          <c:idx val="4"/>
          <c:order val="4"/>
          <c:tx>
            <c:v>Skin fraction / annealing at 180 degrees (3)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new'!$AT$64:$AT$66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new'!$AV$64:$AV$66</c:f>
              <c:numCache>
                <c:formatCode>General</c:formatCode>
                <c:ptCount val="3"/>
                <c:pt idx="0">
                  <c:v>0.43181818181818182</c:v>
                </c:pt>
                <c:pt idx="1">
                  <c:v>0.62222222222222223</c:v>
                </c:pt>
                <c:pt idx="2">
                  <c:v>0.66292134831460681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82-462B-A7E1-3B64042B48AD}"/>
            </c:ext>
          </c:extLst>
        </c:ser>
        <c:ser>
          <c:idx val="5"/>
          <c:order val="5"/>
          <c:tx>
            <c:v>Skin fraction / no annealing (4)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'estimates new'!$AT$67:$AT$69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new'!$AV$67:$AV$69</c:f>
              <c:numCache>
                <c:formatCode>General</c:formatCode>
                <c:ptCount val="3"/>
                <c:pt idx="0">
                  <c:v>0.29213483146067415</c:v>
                </c:pt>
                <c:pt idx="1">
                  <c:v>0.6067415730337079</c:v>
                </c:pt>
                <c:pt idx="2">
                  <c:v>0.67777777777777781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82-462B-A7E1-3B64042B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26832"/>
        <c:axId val="543926504"/>
      </c:scatterChart>
      <c:valAx>
        <c:axId val="5439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injection point / mm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6504"/>
        <c:crosses val="autoZero"/>
        <c:crossBetween val="midCat"/>
      </c:valAx>
      <c:valAx>
        <c:axId val="543926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Fractions</a:t>
                </a:r>
              </a:p>
            </c:rich>
          </c:tx>
          <c:layout>
            <c:manualLayout>
              <c:xMode val="edge"/>
              <c:yMode val="edge"/>
              <c:x val="6.4341256408369518E-3"/>
              <c:y val="0.43647236059778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794601025339122"/>
          <c:y val="0.66051442230435486"/>
          <c:w val="0.82258812274633897"/>
          <c:h val="0.191353647758315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</a:t>
            </a:r>
            <a:r>
              <a:rPr lang="en-GB" baseline="0"/>
              <a:t> thickness is 1.6 mm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65403852814E-2"/>
          <c:y val="0.10589653029677371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 Core fraction / annealing 30 min at 180 degrees (11)</c:v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'estimates new'!$AT$82:$AT$84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new'!$AU$82:$AU$84</c:f>
              <c:numCache>
                <c:formatCode>General</c:formatCode>
                <c:ptCount val="3"/>
                <c:pt idx="0">
                  <c:v>0.65838509316770188</c:v>
                </c:pt>
                <c:pt idx="1">
                  <c:v>0.57309941520467833</c:v>
                </c:pt>
                <c:pt idx="2">
                  <c:v>0.54651162790697672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9-44BB-9A0C-F037F7F6B44A}"/>
            </c:ext>
          </c:extLst>
        </c:ser>
        <c:ser>
          <c:idx val="2"/>
          <c:order val="1"/>
          <c:tx>
            <c:v>Core fraction / cooling at 180 degrees (12)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new'!$AT$85:$AT$87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new'!$AU$85:$AU$87</c:f>
              <c:numCache>
                <c:formatCode>General</c:formatCode>
                <c:ptCount val="3"/>
                <c:pt idx="0">
                  <c:v>0.6</c:v>
                </c:pt>
                <c:pt idx="1">
                  <c:v>0.67901234567901236</c:v>
                </c:pt>
                <c:pt idx="2">
                  <c:v>0.59235668789808915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9-44BB-9A0C-F037F7F6B44A}"/>
            </c:ext>
          </c:extLst>
        </c:ser>
        <c:ser>
          <c:idx val="1"/>
          <c:order val="2"/>
          <c:tx>
            <c:v>Skin fraction / annealing 30 min at 180 degrees (11)</c:v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'estimates new'!$AT$82:$AT$84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new'!$AV$82:$AV$84</c:f>
              <c:numCache>
                <c:formatCode>General</c:formatCode>
                <c:ptCount val="3"/>
                <c:pt idx="0">
                  <c:v>0.34161490683229812</c:v>
                </c:pt>
                <c:pt idx="1">
                  <c:v>0.42690058479532161</c:v>
                </c:pt>
                <c:pt idx="2">
                  <c:v>0.45348837209302328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9-44BB-9A0C-F037F7F6B44A}"/>
            </c:ext>
          </c:extLst>
        </c:ser>
        <c:ser>
          <c:idx val="3"/>
          <c:order val="3"/>
          <c:tx>
            <c:v>Skin fraction / cooling at 180 degrees (12)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2225">
                <a:solidFill>
                  <a:srgbClr val="FF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222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B9-44BB-9A0C-F037F7F6B44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222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9-44BB-9A0C-F037F7F6B44A}"/>
              </c:ext>
            </c:extLst>
          </c:dPt>
          <c:xVal>
            <c:numRef>
              <c:f>'estimates new'!$AT$85:$AT$87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new'!$AV$85:$AV$87</c:f>
              <c:numCache>
                <c:formatCode>General</c:formatCode>
                <c:ptCount val="3"/>
                <c:pt idx="0">
                  <c:v>0.4</c:v>
                </c:pt>
                <c:pt idx="1">
                  <c:v>0.32098765432098764</c:v>
                </c:pt>
                <c:pt idx="2">
                  <c:v>0.40764331210191085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B9-44BB-9A0C-F037F7F6B44A}"/>
            </c:ext>
          </c:extLst>
        </c:ser>
        <c:ser>
          <c:idx val="4"/>
          <c:order val="4"/>
          <c:tx>
            <c:v>Core fraction / annealing 60 min at 180 degrees (14)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'estimates new'!$AT$94:$AT$96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new'!$AU$94:$AU$96</c:f>
              <c:numCache>
                <c:formatCode>General</c:formatCode>
                <c:ptCount val="3"/>
                <c:pt idx="0">
                  <c:v>0.80107526881720426</c:v>
                </c:pt>
                <c:pt idx="1">
                  <c:v>0.9642857142857143</c:v>
                </c:pt>
                <c:pt idx="2">
                  <c:v>0.97619047619047616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B9-44BB-9A0C-F037F7F6B44A}"/>
            </c:ext>
          </c:extLst>
        </c:ser>
        <c:ser>
          <c:idx val="5"/>
          <c:order val="5"/>
          <c:tx>
            <c:v>Skin fraction / annealing 60 min at 180 degrees for 30 min (14)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'estimates new'!$AT$94:$AT$96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new'!$AV$94:$AV$96</c:f>
              <c:numCache>
                <c:formatCode>General</c:formatCode>
                <c:ptCount val="3"/>
                <c:pt idx="0">
                  <c:v>0.19892473118279569</c:v>
                </c:pt>
                <c:pt idx="1">
                  <c:v>3.5714285714285712E-2</c:v>
                </c:pt>
                <c:pt idx="2">
                  <c:v>2.3809523809523808E-2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B9-44BB-9A0C-F037F7F6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injection point / mm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8010829354992048E-2"/>
          <c:y val="0.10830251159356653"/>
          <c:w val="0.22034492735652139"/>
          <c:h val="0.5993463144387872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Same</a:t>
            </a:r>
            <a:r>
              <a:rPr lang="en-GB" baseline="0"/>
              <a:t> annealing conditions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65403852814E-2"/>
          <c:y val="0.10589653029677371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Core fraction (3), 1mm</c:v>
          </c:tx>
          <c:spPr>
            <a:ln w="127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'estimates new'!$AT$64:$AT$66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new'!$AU$64:$AU$66</c:f>
              <c:numCache>
                <c:formatCode>General</c:formatCode>
                <c:ptCount val="3"/>
                <c:pt idx="0">
                  <c:v>0.56818181818181823</c:v>
                </c:pt>
                <c:pt idx="1">
                  <c:v>0.37777777777777777</c:v>
                </c:pt>
                <c:pt idx="2">
                  <c:v>0.33707865168539325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C-459A-97F2-2E91ACC8B45A}"/>
            </c:ext>
          </c:extLst>
        </c:ser>
        <c:ser>
          <c:idx val="2"/>
          <c:order val="1"/>
          <c:tx>
            <c:v>Core fraction (6), 0.3 mm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new'!$AT$88:$AT$90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new'!$AU$88:$AU$90</c:f>
              <c:numCache>
                <c:formatCode>General</c:formatCode>
                <c:ptCount val="3"/>
                <c:pt idx="0">
                  <c:v>0</c:v>
                </c:pt>
                <c:pt idx="1">
                  <c:v>0.29629629629629628</c:v>
                </c:pt>
                <c:pt idx="2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C-459A-97F2-2E91ACC8B45A}"/>
            </c:ext>
          </c:extLst>
        </c:ser>
        <c:ser>
          <c:idx val="4"/>
          <c:order val="2"/>
          <c:tx>
            <c:v>Core fraction (9), 0.5 mm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'estimates new'!$AT$76:$AT$78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new'!$AU$76:$AU$78</c:f>
              <c:numCache>
                <c:formatCode>General</c:formatCode>
                <c:ptCount val="3"/>
                <c:pt idx="0">
                  <c:v>0.45205479452054792</c:v>
                </c:pt>
                <c:pt idx="1">
                  <c:v>0.29411764705882354</c:v>
                </c:pt>
                <c:pt idx="2">
                  <c:v>0.2537313432835821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C-459A-97F2-2E91ACC8B45A}"/>
            </c:ext>
          </c:extLst>
        </c:ser>
        <c:ser>
          <c:idx val="1"/>
          <c:order val="3"/>
          <c:tx>
            <c:v>Skin fraction (3), 1 mm</c:v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'estimates new'!$AT$64:$AT$66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new'!$AV$64:$AV$66</c:f>
              <c:numCache>
                <c:formatCode>General</c:formatCode>
                <c:ptCount val="3"/>
                <c:pt idx="0">
                  <c:v>0.43181818181818182</c:v>
                </c:pt>
                <c:pt idx="1">
                  <c:v>0.62222222222222223</c:v>
                </c:pt>
                <c:pt idx="2">
                  <c:v>0.66292134831460681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6C-459A-97F2-2E91ACC8B45A}"/>
            </c:ext>
          </c:extLst>
        </c:ser>
        <c:ser>
          <c:idx val="3"/>
          <c:order val="4"/>
          <c:tx>
            <c:v>Skin fraction (6), 0.3 mm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new'!$AT$88:$AT$90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new'!$AV$88:$AV$90</c:f>
              <c:numCache>
                <c:formatCode>General</c:formatCode>
                <c:ptCount val="3"/>
                <c:pt idx="0">
                  <c:v>1</c:v>
                </c:pt>
                <c:pt idx="1">
                  <c:v>0.70370370370370372</c:v>
                </c:pt>
                <c:pt idx="2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C-459A-97F2-2E91ACC8B45A}"/>
            </c:ext>
          </c:extLst>
        </c:ser>
        <c:ser>
          <c:idx val="5"/>
          <c:order val="5"/>
          <c:tx>
            <c:v>Skin fraction (9), 0.5 mm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'estimates new'!$AT$76:$AT$78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new'!$AV$76:$AV$78</c:f>
              <c:numCache>
                <c:formatCode>General</c:formatCode>
                <c:ptCount val="3"/>
                <c:pt idx="0">
                  <c:v>0.54794520547945202</c:v>
                </c:pt>
                <c:pt idx="1">
                  <c:v>0.70588235294117641</c:v>
                </c:pt>
                <c:pt idx="2">
                  <c:v>0.74626865671641784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C-459A-97F2-2E91ACC8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injection point / mm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691436717558091"/>
          <c:y val="0.53453006490971"/>
          <c:w val="0.33264074642238584"/>
          <c:h val="0.3213002683988114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</a:t>
            </a:r>
            <a:r>
              <a:rPr lang="en-GB" baseline="0"/>
              <a:t> thickness is 1.6 mm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65403852814E-2"/>
          <c:y val="0.10589653029677371"/>
          <c:w val="0.88865349378497482"/>
          <c:h val="0.78050954272142348"/>
        </c:manualLayout>
      </c:layout>
      <c:scatterChart>
        <c:scatterStyle val="lineMarker"/>
        <c:varyColors val="0"/>
        <c:ser>
          <c:idx val="5"/>
          <c:order val="0"/>
          <c:tx>
            <c:v>Core fraction / 30 min annealing (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'estimates new'!$AT$82:$AT$84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new'!$AU$82:$AU$84</c:f>
              <c:numCache>
                <c:formatCode>General</c:formatCode>
                <c:ptCount val="3"/>
                <c:pt idx="0">
                  <c:v>0.65838509316770188</c:v>
                </c:pt>
                <c:pt idx="1">
                  <c:v>0.57309941520467833</c:v>
                </c:pt>
                <c:pt idx="2">
                  <c:v>0.54651162790697672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5C-4375-B002-615650D6B342}"/>
            </c:ext>
          </c:extLst>
        </c:ser>
        <c:ser>
          <c:idx val="0"/>
          <c:order val="1"/>
          <c:tx>
            <c:v>Skin fraction / 60 min annealing (14)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new'!$AT$94:$AT$96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new'!$AV$94:$AV$96</c:f>
              <c:numCache>
                <c:formatCode>General</c:formatCode>
                <c:ptCount val="3"/>
                <c:pt idx="0">
                  <c:v>0.19892473118279569</c:v>
                </c:pt>
                <c:pt idx="1">
                  <c:v>3.5714285714285712E-2</c:v>
                </c:pt>
                <c:pt idx="2">
                  <c:v>2.3809523809523808E-2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5C-4375-B002-615650D6B342}"/>
            </c:ext>
          </c:extLst>
        </c:ser>
        <c:ser>
          <c:idx val="1"/>
          <c:order val="2"/>
          <c:tx>
            <c:v>Skin fraction / 30 min annealing (11)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'estimates new'!$AT$82:$AT$84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new'!$AV$82:$AV$84</c:f>
              <c:numCache>
                <c:formatCode>General</c:formatCode>
                <c:ptCount val="3"/>
                <c:pt idx="0">
                  <c:v>0.34161490683229812</c:v>
                </c:pt>
                <c:pt idx="1">
                  <c:v>0.42690058479532161</c:v>
                </c:pt>
                <c:pt idx="2">
                  <c:v>0.45348837209302328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5C-4375-B002-615650D6B342}"/>
            </c:ext>
          </c:extLst>
        </c:ser>
        <c:ser>
          <c:idx val="2"/>
          <c:order val="3"/>
          <c:tx>
            <c:v>Core fraction / 60 min annealing (14)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new'!$AT$94:$AT$96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new'!$AU$94:$AU$96</c:f>
              <c:numCache>
                <c:formatCode>General</c:formatCode>
                <c:ptCount val="3"/>
                <c:pt idx="0">
                  <c:v>0.80107526881720426</c:v>
                </c:pt>
                <c:pt idx="1">
                  <c:v>0.9642857142857143</c:v>
                </c:pt>
                <c:pt idx="2">
                  <c:v>0.97619047619047616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5C-4375-B002-615650D6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injection point / mm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1810253671383948E-2"/>
          <c:y val="0.37740608974437073"/>
          <c:w val="0.2725063875267148"/>
          <c:h val="0.2976170280249411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2504717</xdr:colOff>
      <xdr:row>176</xdr:row>
      <xdr:rowOff>44703</xdr:rowOff>
    </xdr:from>
    <xdr:to>
      <xdr:col>49</xdr:col>
      <xdr:colOff>83474</xdr:colOff>
      <xdr:row>202</xdr:row>
      <xdr:rowOff>41239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100E1-DCBA-456D-96F9-0AB256BE7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761023</xdr:colOff>
      <xdr:row>125</xdr:row>
      <xdr:rowOff>64476</xdr:rowOff>
    </xdr:from>
    <xdr:to>
      <xdr:col>52</xdr:col>
      <xdr:colOff>568569</xdr:colOff>
      <xdr:row>152</xdr:row>
      <xdr:rowOff>147025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7905A59-0939-4219-89A3-B0E061C4D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500940</xdr:colOff>
      <xdr:row>60</xdr:row>
      <xdr:rowOff>83082</xdr:rowOff>
    </xdr:from>
    <xdr:to>
      <xdr:col>73</xdr:col>
      <xdr:colOff>381638</xdr:colOff>
      <xdr:row>88</xdr:row>
      <xdr:rowOff>52935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677D5F9-369A-49AC-A6B1-338F2BA5B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1577579</xdr:colOff>
      <xdr:row>216</xdr:row>
      <xdr:rowOff>119063</xdr:rowOff>
    </xdr:from>
    <xdr:to>
      <xdr:col>51</xdr:col>
      <xdr:colOff>462922</xdr:colOff>
      <xdr:row>244</xdr:row>
      <xdr:rowOff>73819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CB27FC0-D037-44EC-8EFB-B1A0AC94A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C5B2-BA06-427A-81F5-1D9823AB4A26}">
  <dimension ref="A1:S17"/>
  <sheetViews>
    <sheetView workbookViewId="0">
      <selection sqref="A1:U22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18.140625" bestFit="1" customWidth="1"/>
    <col min="7" max="7" width="22.7109375" bestFit="1" customWidth="1"/>
    <col min="8" max="8" width="10.28515625" bestFit="1" customWidth="1"/>
    <col min="12" max="12" width="11.5703125" bestFit="1" customWidth="1"/>
    <col min="13" max="13" width="15.28515625" bestFit="1" customWidth="1"/>
    <col min="14" max="14" width="63" bestFit="1" customWidth="1"/>
    <col min="16" max="16" width="19.42578125" bestFit="1" customWidth="1"/>
    <col min="17" max="17" width="18.42578125" bestFit="1" customWidth="1"/>
  </cols>
  <sheetData>
    <row r="1" spans="1:19" x14ac:dyDescent="0.25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9</v>
      </c>
      <c r="G1" t="s">
        <v>10</v>
      </c>
      <c r="H1" t="s">
        <v>4</v>
      </c>
      <c r="I1" t="s">
        <v>7</v>
      </c>
      <c r="J1" t="s">
        <v>9</v>
      </c>
      <c r="L1" t="s">
        <v>11</v>
      </c>
      <c r="M1" t="s">
        <v>12</v>
      </c>
      <c r="N1" t="s">
        <v>13</v>
      </c>
      <c r="O1" t="s">
        <v>16</v>
      </c>
      <c r="P1" t="s">
        <v>14</v>
      </c>
      <c r="Q1" t="s">
        <v>15</v>
      </c>
      <c r="R1" t="s">
        <v>17</v>
      </c>
    </row>
    <row r="2" spans="1:19" x14ac:dyDescent="0.25">
      <c r="A2">
        <v>462</v>
      </c>
      <c r="B2">
        <f>100</f>
        <v>100</v>
      </c>
      <c r="C2">
        <f>$A$9+$B$9</f>
        <v>15</v>
      </c>
      <c r="D2">
        <f>36-A9</f>
        <v>31</v>
      </c>
      <c r="E2">
        <f>(100-71)-B9</f>
        <v>19</v>
      </c>
      <c r="F2">
        <f>71-36</f>
        <v>35</v>
      </c>
      <c r="G2">
        <f>$A$9+$B$9</f>
        <v>15</v>
      </c>
      <c r="H2">
        <f>35-A9</f>
        <v>30</v>
      </c>
      <c r="I2">
        <f>(100-69)-B9</f>
        <v>21</v>
      </c>
      <c r="J2">
        <f>71-35</f>
        <v>36</v>
      </c>
      <c r="L2">
        <f>B2-A9-B9</f>
        <v>85</v>
      </c>
      <c r="M2">
        <f>D2/$L$2</f>
        <v>0.36470588235294116</v>
      </c>
      <c r="N2">
        <f>E2/$L$2</f>
        <v>0.22352941176470589</v>
      </c>
      <c r="O2">
        <f>F2/$L$2</f>
        <v>0.41176470588235292</v>
      </c>
      <c r="P2">
        <f>H2/$L$2</f>
        <v>0.35294117647058826</v>
      </c>
      <c r="Q2">
        <f>I2/$L$2</f>
        <v>0.24705882352941178</v>
      </c>
      <c r="R2">
        <f>J2/$L$2</f>
        <v>0.42352941176470588</v>
      </c>
    </row>
    <row r="3" spans="1:19" x14ac:dyDescent="0.25">
      <c r="A3">
        <v>510</v>
      </c>
      <c r="B3">
        <f>100</f>
        <v>100</v>
      </c>
      <c r="C3">
        <f t="shared" ref="C3:C5" si="0">$A$9+$B$9</f>
        <v>15</v>
      </c>
      <c r="D3">
        <f>28-A9</f>
        <v>23</v>
      </c>
      <c r="E3">
        <f>100-65-B9</f>
        <v>25</v>
      </c>
      <c r="F3">
        <f>65-28</f>
        <v>37</v>
      </c>
      <c r="G3">
        <f t="shared" ref="G3:G5" si="1">$A$9+$B$9</f>
        <v>15</v>
      </c>
      <c r="H3">
        <f>27-A9</f>
        <v>22</v>
      </c>
      <c r="I3">
        <f>100-66-B9</f>
        <v>24</v>
      </c>
      <c r="J3">
        <f>66-27</f>
        <v>39</v>
      </c>
      <c r="M3">
        <f t="shared" ref="M3:M5" si="2">D3/$L$2</f>
        <v>0.27058823529411763</v>
      </c>
      <c r="N3">
        <f t="shared" ref="N3:N4" si="3">E3/$L$2</f>
        <v>0.29411764705882354</v>
      </c>
      <c r="O3">
        <f t="shared" ref="O3:O6" si="4">F3/$L$2</f>
        <v>0.43529411764705883</v>
      </c>
      <c r="P3">
        <f t="shared" ref="P3:P5" si="5">H3/$L$2</f>
        <v>0.25882352941176473</v>
      </c>
      <c r="Q3">
        <f t="shared" ref="Q3:Q4" si="6">I3/$L$2</f>
        <v>0.28235294117647058</v>
      </c>
      <c r="R3">
        <f t="shared" ref="R3:R6" si="7">J3/$L$2</f>
        <v>0.45882352941176469</v>
      </c>
    </row>
    <row r="4" spans="1:19" x14ac:dyDescent="0.25">
      <c r="A4">
        <v>503</v>
      </c>
      <c r="B4">
        <f>100</f>
        <v>100</v>
      </c>
      <c r="C4">
        <f t="shared" si="0"/>
        <v>15</v>
      </c>
      <c r="D4">
        <f>41-A9</f>
        <v>36</v>
      </c>
      <c r="E4">
        <f>100-75-B9</f>
        <v>15</v>
      </c>
      <c r="F4">
        <f>75-41</f>
        <v>34</v>
      </c>
      <c r="G4">
        <f t="shared" si="1"/>
        <v>15</v>
      </c>
      <c r="H4">
        <f>41-A9</f>
        <v>36</v>
      </c>
      <c r="I4">
        <f>100-75-B9</f>
        <v>15</v>
      </c>
      <c r="J4">
        <f>75-41</f>
        <v>34</v>
      </c>
      <c r="M4">
        <f t="shared" si="2"/>
        <v>0.42352941176470588</v>
      </c>
      <c r="N4">
        <f t="shared" si="3"/>
        <v>0.17647058823529413</v>
      </c>
      <c r="O4">
        <f t="shared" si="4"/>
        <v>0.4</v>
      </c>
      <c r="P4">
        <f t="shared" si="5"/>
        <v>0.42352941176470588</v>
      </c>
      <c r="Q4">
        <f t="shared" si="6"/>
        <v>0.17647058823529413</v>
      </c>
      <c r="R4">
        <f t="shared" si="7"/>
        <v>0.4</v>
      </c>
    </row>
    <row r="5" spans="1:19" x14ac:dyDescent="0.25">
      <c r="A5">
        <v>496</v>
      </c>
      <c r="B5">
        <f>100</f>
        <v>100</v>
      </c>
      <c r="C5">
        <f t="shared" si="0"/>
        <v>15</v>
      </c>
      <c r="D5">
        <f>70-38</f>
        <v>32</v>
      </c>
      <c r="E5" t="s">
        <v>8</v>
      </c>
      <c r="F5">
        <f>38-7</f>
        <v>31</v>
      </c>
      <c r="G5">
        <f t="shared" si="1"/>
        <v>15</v>
      </c>
      <c r="H5">
        <f>68-38</f>
        <v>30</v>
      </c>
      <c r="I5" t="s">
        <v>8</v>
      </c>
      <c r="J5">
        <f>38-7</f>
        <v>31</v>
      </c>
      <c r="M5">
        <f t="shared" si="2"/>
        <v>0.37647058823529411</v>
      </c>
      <c r="N5" t="s">
        <v>8</v>
      </c>
      <c r="O5">
        <f t="shared" si="4"/>
        <v>0.36470588235294116</v>
      </c>
      <c r="P5">
        <f t="shared" si="5"/>
        <v>0.35294117647058826</v>
      </c>
      <c r="R5">
        <f t="shared" si="7"/>
        <v>0.36470588235294116</v>
      </c>
    </row>
    <row r="6" spans="1:19" x14ac:dyDescent="0.25">
      <c r="F6">
        <f>93-70</f>
        <v>23</v>
      </c>
      <c r="J6">
        <f>93-68</f>
        <v>25</v>
      </c>
      <c r="O6">
        <f t="shared" si="4"/>
        <v>0.27058823529411763</v>
      </c>
      <c r="R6">
        <f t="shared" si="7"/>
        <v>0.29411764705882354</v>
      </c>
    </row>
    <row r="7" spans="1:19" x14ac:dyDescent="0.25">
      <c r="A7" t="s">
        <v>2</v>
      </c>
    </row>
    <row r="8" spans="1:19" x14ac:dyDescent="0.25">
      <c r="A8" t="s">
        <v>5</v>
      </c>
      <c r="B8" t="s">
        <v>6</v>
      </c>
    </row>
    <row r="9" spans="1:19" x14ac:dyDescent="0.25">
      <c r="A9">
        <f>5</f>
        <v>5</v>
      </c>
      <c r="B9">
        <f>10</f>
        <v>10</v>
      </c>
      <c r="M9" t="s">
        <v>18</v>
      </c>
      <c r="N9">
        <f>(M2+P2)/2</f>
        <v>0.35882352941176471</v>
      </c>
      <c r="P9" t="s">
        <v>19</v>
      </c>
      <c r="Q9">
        <f>(N2+Q2)/2</f>
        <v>0.23529411764705882</v>
      </c>
      <c r="R9" t="s">
        <v>20</v>
      </c>
      <c r="S9">
        <f>(O2+R2)/2</f>
        <v>0.41764705882352937</v>
      </c>
    </row>
    <row r="10" spans="1:19" x14ac:dyDescent="0.25">
      <c r="N10">
        <f t="shared" ref="N10:N12" si="8">(M3+P3)/2</f>
        <v>0.26470588235294118</v>
      </c>
      <c r="Q10">
        <f t="shared" ref="Q10:Q11" si="9">(N3+Q3)/2</f>
        <v>0.28823529411764703</v>
      </c>
      <c r="S10">
        <f t="shared" ref="S10:S13" si="10">(O3+R3)/2</f>
        <v>0.44705882352941173</v>
      </c>
    </row>
    <row r="11" spans="1:19" x14ac:dyDescent="0.25">
      <c r="N11">
        <f t="shared" si="8"/>
        <v>0.42352941176470588</v>
      </c>
      <c r="Q11">
        <f t="shared" si="9"/>
        <v>0.17647058823529413</v>
      </c>
      <c r="S11">
        <f t="shared" si="10"/>
        <v>0.4</v>
      </c>
    </row>
    <row r="12" spans="1:19" x14ac:dyDescent="0.25">
      <c r="N12">
        <f t="shared" si="8"/>
        <v>0.36470588235294121</v>
      </c>
      <c r="S12">
        <f t="shared" si="10"/>
        <v>0.36470588235294116</v>
      </c>
    </row>
    <row r="13" spans="1:19" x14ac:dyDescent="0.25">
      <c r="S13">
        <f t="shared" si="10"/>
        <v>0.28235294117647058</v>
      </c>
    </row>
    <row r="14" spans="1:19" x14ac:dyDescent="0.25">
      <c r="M14" t="s">
        <v>22</v>
      </c>
    </row>
    <row r="15" spans="1:19" x14ac:dyDescent="0.25">
      <c r="M15">
        <v>1</v>
      </c>
      <c r="N15" t="s">
        <v>21</v>
      </c>
      <c r="P15">
        <f>N11+Q11</f>
        <v>0.6</v>
      </c>
    </row>
    <row r="16" spans="1:19" x14ac:dyDescent="0.25">
      <c r="N16" t="s">
        <v>24</v>
      </c>
    </row>
    <row r="17" spans="13:14" x14ac:dyDescent="0.25">
      <c r="M17">
        <v>2</v>
      </c>
      <c r="N1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9A6F-5B83-446D-A3E5-B31FB47D68C1}">
  <dimension ref="A1:BC231"/>
  <sheetViews>
    <sheetView tabSelected="1" topLeftCell="AP121" zoomScale="91" zoomScaleNormal="91" workbookViewId="0">
      <selection activeCell="BB90" sqref="BB90"/>
    </sheetView>
  </sheetViews>
  <sheetFormatPr defaultRowHeight="15" x14ac:dyDescent="0.25"/>
  <cols>
    <col min="1" max="1" width="48.28515625" bestFit="1" customWidth="1"/>
    <col min="2" max="2" width="22.85546875" bestFit="1" customWidth="1"/>
    <col min="3" max="3" width="23.140625" bestFit="1" customWidth="1"/>
    <col min="4" max="4" width="22.7109375" bestFit="1" customWidth="1"/>
    <col min="5" max="5" width="40.7109375" bestFit="1" customWidth="1"/>
    <col min="6" max="6" width="20.42578125" bestFit="1" customWidth="1"/>
    <col min="7" max="7" width="21.28515625" bestFit="1" customWidth="1"/>
    <col min="8" max="8" width="22.5703125" bestFit="1" customWidth="1"/>
    <col min="9" max="9" width="15.5703125" bestFit="1" customWidth="1"/>
    <col min="10" max="10" width="23.5703125" bestFit="1" customWidth="1"/>
    <col min="11" max="12" width="18.85546875" bestFit="1" customWidth="1"/>
    <col min="13" max="13" width="19.85546875" bestFit="1" customWidth="1"/>
    <col min="14" max="15" width="19.28515625" bestFit="1" customWidth="1"/>
    <col min="17" max="17" width="12.140625" bestFit="1" customWidth="1"/>
    <col min="18" max="18" width="12.5703125" bestFit="1" customWidth="1"/>
    <col min="22" max="22" width="53.7109375" bestFit="1" customWidth="1"/>
    <col min="23" max="23" width="16.42578125" bestFit="1" customWidth="1"/>
    <col min="24" max="24" width="18" bestFit="1" customWidth="1"/>
    <col min="25" max="25" width="22.7109375" bestFit="1" customWidth="1"/>
    <col min="26" max="26" width="14.85546875" bestFit="1" customWidth="1"/>
    <col min="27" max="27" width="20.42578125" bestFit="1" customWidth="1"/>
    <col min="28" max="28" width="21.28515625" bestFit="1" customWidth="1"/>
    <col min="29" max="29" width="14.85546875" bestFit="1" customWidth="1"/>
    <col min="30" max="30" width="15.5703125" bestFit="1" customWidth="1"/>
    <col min="31" max="31" width="13.85546875" bestFit="1" customWidth="1"/>
    <col min="32" max="33" width="18.85546875" bestFit="1" customWidth="1"/>
    <col min="34" max="34" width="19.85546875" bestFit="1" customWidth="1"/>
    <col min="35" max="35" width="19.28515625" bestFit="1" customWidth="1"/>
    <col min="36" max="36" width="21.7109375" bestFit="1" customWidth="1"/>
    <col min="38" max="38" width="12.140625" bestFit="1" customWidth="1"/>
    <col min="39" max="39" width="12.5703125" bestFit="1" customWidth="1"/>
    <col min="44" max="44" width="48.28515625" bestFit="1" customWidth="1"/>
    <col min="45" max="45" width="27.28515625" bestFit="1" customWidth="1"/>
    <col min="46" max="46" width="17.5703125" bestFit="1" customWidth="1"/>
    <col min="47" max="47" width="13.85546875" bestFit="1" customWidth="1"/>
    <col min="48" max="48" width="40.7109375" bestFit="1" customWidth="1"/>
    <col min="51" max="51" width="26.42578125" bestFit="1" customWidth="1"/>
  </cols>
  <sheetData>
    <row r="1" spans="1:48" ht="18.75" x14ac:dyDescent="0.3">
      <c r="A1" s="2" t="s">
        <v>74</v>
      </c>
      <c r="B1" s="2" t="s">
        <v>25</v>
      </c>
      <c r="C1" s="2" t="s">
        <v>76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91</v>
      </c>
      <c r="Q1" s="2" t="s">
        <v>77</v>
      </c>
      <c r="R1" s="2" t="s">
        <v>78</v>
      </c>
      <c r="V1" s="2" t="s">
        <v>75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92</v>
      </c>
      <c r="AL1" s="2" t="s">
        <v>77</v>
      </c>
      <c r="AM1" s="2" t="s">
        <v>78</v>
      </c>
      <c r="AR1" s="2" t="s">
        <v>111</v>
      </c>
    </row>
    <row r="2" spans="1:48" x14ac:dyDescent="0.25">
      <c r="A2" t="s">
        <v>38</v>
      </c>
      <c r="B2">
        <v>100</v>
      </c>
      <c r="C2">
        <v>10</v>
      </c>
      <c r="D2">
        <v>3</v>
      </c>
      <c r="E2">
        <f t="shared" ref="E2:E33" si="0">B2-SUM(C2:D2)</f>
        <v>87</v>
      </c>
      <c r="F2">
        <f>0</f>
        <v>0</v>
      </c>
      <c r="G2">
        <f>36-C2</f>
        <v>26</v>
      </c>
      <c r="I2">
        <f>71-C2</f>
        <v>61</v>
      </c>
      <c r="J2">
        <f>100-(SUM(C2:D2))</f>
        <v>87</v>
      </c>
      <c r="K2">
        <f>(G2-F2)/E2</f>
        <v>0.2988505747126437</v>
      </c>
      <c r="L2">
        <f>(J2-I2)/E2</f>
        <v>0.2988505747126437</v>
      </c>
      <c r="M2">
        <f>(I2-G2)/E2</f>
        <v>0.40229885057471265</v>
      </c>
      <c r="P2">
        <f>SUM($K2:$N2)</f>
        <v>1</v>
      </c>
      <c r="Q2">
        <f>SUM($K2:$L2)</f>
        <v>0.5977011494252874</v>
      </c>
      <c r="R2">
        <f>SUM($M2:$N2)</f>
        <v>0.40229885057471265</v>
      </c>
      <c r="V2" t="s">
        <v>38</v>
      </c>
      <c r="W2">
        <v>100</v>
      </c>
      <c r="X2">
        <v>7</v>
      </c>
      <c r="Y2">
        <v>5</v>
      </c>
      <c r="Z2">
        <f t="shared" ref="Z2:Z37" si="1">W2-SUM(X2:Y2)</f>
        <v>88</v>
      </c>
      <c r="AA2">
        <v>0</v>
      </c>
      <c r="AB2">
        <f>32-X2</f>
        <v>25</v>
      </c>
      <c r="AD2">
        <f>71-X2</f>
        <v>64</v>
      </c>
      <c r="AE2">
        <f t="shared" ref="AE2:AE37" si="2">Z2</f>
        <v>88</v>
      </c>
      <c r="AF2">
        <f>(AB2-AA2)/AE2</f>
        <v>0.28409090909090912</v>
      </c>
      <c r="AG2">
        <f>(AE2-AD2)/AE2</f>
        <v>0.27272727272727271</v>
      </c>
      <c r="AH2">
        <f>(AD2-AB2)/AE2</f>
        <v>0.44318181818181818</v>
      </c>
      <c r="AK2">
        <f>SUM($AF2:$AJ2)</f>
        <v>1</v>
      </c>
      <c r="AL2">
        <f>SUM($AF2:$AG2)</f>
        <v>0.55681818181818188</v>
      </c>
      <c r="AM2">
        <f>SUM($AH2:$AJ2)</f>
        <v>0.44318181818181818</v>
      </c>
      <c r="AQ2" t="s">
        <v>112</v>
      </c>
      <c r="AR2" t="s">
        <v>114</v>
      </c>
      <c r="AS2" t="s">
        <v>115</v>
      </c>
      <c r="AT2" t="s">
        <v>116</v>
      </c>
      <c r="AV2" t="s">
        <v>117</v>
      </c>
    </row>
    <row r="3" spans="1:48" x14ac:dyDescent="0.25">
      <c r="A3" t="s">
        <v>39</v>
      </c>
      <c r="B3">
        <v>100</v>
      </c>
      <c r="C3">
        <v>0</v>
      </c>
      <c r="D3">
        <v>10</v>
      </c>
      <c r="E3">
        <f t="shared" si="0"/>
        <v>90</v>
      </c>
      <c r="F3">
        <f>0</f>
        <v>0</v>
      </c>
      <c r="G3">
        <f>28-C3</f>
        <v>28</v>
      </c>
      <c r="I3">
        <f>65-C3</f>
        <v>65</v>
      </c>
      <c r="J3">
        <f t="shared" ref="J3:J33" si="3">E3</f>
        <v>90</v>
      </c>
      <c r="K3">
        <f>(G3-F3)/E3</f>
        <v>0.31111111111111112</v>
      </c>
      <c r="L3">
        <f>(J3-I3)/E3</f>
        <v>0.27777777777777779</v>
      </c>
      <c r="M3">
        <f>(I3-G3)/E3</f>
        <v>0.41111111111111109</v>
      </c>
      <c r="P3">
        <f t="shared" ref="P3:P48" si="4">SUM($K3:$N3)</f>
        <v>1</v>
      </c>
      <c r="Q3">
        <f t="shared" ref="Q3:Q48" si="5">SUM($K3:$L3)</f>
        <v>0.58888888888888891</v>
      </c>
      <c r="R3">
        <f t="shared" ref="R3:R48" si="6">SUM($M3:$N3)</f>
        <v>0.41111111111111109</v>
      </c>
      <c r="V3" t="s">
        <v>39</v>
      </c>
      <c r="W3">
        <v>100</v>
      </c>
      <c r="X3">
        <f>0</f>
        <v>0</v>
      </c>
      <c r="Y3">
        <f>8</f>
        <v>8</v>
      </c>
      <c r="Z3">
        <f t="shared" si="1"/>
        <v>92</v>
      </c>
      <c r="AA3">
        <v>0</v>
      </c>
      <c r="AB3">
        <f>28-X3</f>
        <v>28</v>
      </c>
      <c r="AD3">
        <f>64-X3</f>
        <v>64</v>
      </c>
      <c r="AE3">
        <f t="shared" si="2"/>
        <v>92</v>
      </c>
      <c r="AF3">
        <f>(AB3-AA3)/AE3</f>
        <v>0.30434782608695654</v>
      </c>
      <c r="AG3">
        <f>(AE3-AD3)/AE3</f>
        <v>0.30434782608695654</v>
      </c>
      <c r="AH3">
        <f t="shared" ref="AH3:AH4" si="7">(AD3-AB3)/AE3</f>
        <v>0.39130434782608697</v>
      </c>
      <c r="AK3">
        <f t="shared" ref="AK3:AK49" si="8">SUM($AF3:$AJ3)</f>
        <v>1</v>
      </c>
      <c r="AL3">
        <f t="shared" ref="AL3:AL49" si="9">SUM($AF3:$AG3)</f>
        <v>0.60869565217391308</v>
      </c>
      <c r="AM3">
        <f t="shared" ref="AM3:AM48" si="10">SUM($AH3:$AJ3)</f>
        <v>0.39130434782608697</v>
      </c>
      <c r="AQ3">
        <f>2</f>
        <v>2</v>
      </c>
      <c r="AR3">
        <f>F59</f>
        <v>0.62790697674418605</v>
      </c>
      <c r="AS3">
        <f>L59</f>
        <v>0.37209302325581395</v>
      </c>
      <c r="AT3">
        <f t="shared" ref="AT3:AT14" si="11">C108</f>
        <v>1</v>
      </c>
      <c r="AV3" s="20" t="s">
        <v>106</v>
      </c>
    </row>
    <row r="4" spans="1:48" x14ac:dyDescent="0.25">
      <c r="A4" t="s">
        <v>40</v>
      </c>
      <c r="B4">
        <v>100</v>
      </c>
      <c r="C4">
        <v>10</v>
      </c>
      <c r="D4">
        <v>3</v>
      </c>
      <c r="E4">
        <f t="shared" si="0"/>
        <v>87</v>
      </c>
      <c r="F4">
        <f>0</f>
        <v>0</v>
      </c>
      <c r="G4">
        <f>41-C4</f>
        <v>31</v>
      </c>
      <c r="I4">
        <f>75-C4</f>
        <v>65</v>
      </c>
      <c r="J4">
        <f t="shared" si="3"/>
        <v>87</v>
      </c>
      <c r="K4">
        <f>(G4-F4)/E4</f>
        <v>0.35632183908045978</v>
      </c>
      <c r="L4">
        <f>(J4-I4)/E4</f>
        <v>0.25287356321839083</v>
      </c>
      <c r="M4">
        <f>(I4-G4)/E4</f>
        <v>0.39080459770114945</v>
      </c>
      <c r="P4">
        <f>SUM($K4:$N4)</f>
        <v>1</v>
      </c>
      <c r="Q4">
        <f t="shared" si="5"/>
        <v>0.60919540229885061</v>
      </c>
      <c r="R4">
        <f t="shared" si="6"/>
        <v>0.39080459770114945</v>
      </c>
      <c r="V4" t="s">
        <v>40</v>
      </c>
      <c r="W4">
        <v>100</v>
      </c>
      <c r="X4">
        <v>10</v>
      </c>
      <c r="Y4">
        <v>3</v>
      </c>
      <c r="Z4">
        <f t="shared" si="1"/>
        <v>87</v>
      </c>
      <c r="AA4">
        <v>0</v>
      </c>
      <c r="AB4">
        <f>40-X4</f>
        <v>30</v>
      </c>
      <c r="AD4">
        <f>74-X4</f>
        <v>64</v>
      </c>
      <c r="AE4">
        <f t="shared" si="2"/>
        <v>87</v>
      </c>
      <c r="AF4">
        <f>(AB4-AA4)/AE4</f>
        <v>0.34482758620689657</v>
      </c>
      <c r="AG4">
        <f>(AE4-AD4)/AE4</f>
        <v>0.26436781609195403</v>
      </c>
      <c r="AH4">
        <f t="shared" si="7"/>
        <v>0.39080459770114945</v>
      </c>
      <c r="AK4">
        <f t="shared" si="8"/>
        <v>1</v>
      </c>
      <c r="AL4">
        <f t="shared" si="9"/>
        <v>0.60919540229885061</v>
      </c>
      <c r="AM4">
        <f t="shared" si="10"/>
        <v>0.39080459770114945</v>
      </c>
      <c r="AQ4">
        <f>AQ3+1</f>
        <v>3</v>
      </c>
      <c r="AR4">
        <f>F63</f>
        <v>0.68292682926829262</v>
      </c>
      <c r="AS4">
        <f>L63</f>
        <v>0.31707317073170732</v>
      </c>
      <c r="AT4">
        <f>C109</f>
        <v>1</v>
      </c>
      <c r="AV4" s="20" t="s">
        <v>141</v>
      </c>
    </row>
    <row r="5" spans="1:48" x14ac:dyDescent="0.25">
      <c r="A5" s="1" t="s">
        <v>41</v>
      </c>
      <c r="B5" s="1">
        <v>100</v>
      </c>
      <c r="C5" s="1">
        <v>7</v>
      </c>
      <c r="D5" s="1">
        <v>7</v>
      </c>
      <c r="E5" s="1">
        <f t="shared" si="0"/>
        <v>86</v>
      </c>
      <c r="F5" s="1">
        <f>0</f>
        <v>0</v>
      </c>
      <c r="G5" s="1">
        <f>37-C5</f>
        <v>30</v>
      </c>
      <c r="H5" s="1">
        <f>I5-G5</f>
        <v>32</v>
      </c>
      <c r="I5" s="1">
        <f>69-C5</f>
        <v>62</v>
      </c>
      <c r="J5" s="1">
        <f t="shared" si="3"/>
        <v>86</v>
      </c>
      <c r="K5" s="1">
        <f xml:space="preserve"> H5/E5</f>
        <v>0.37209302325581395</v>
      </c>
      <c r="L5" s="1"/>
      <c r="M5" s="1">
        <f xml:space="preserve"> (G5-F5)/E5</f>
        <v>0.34883720930232559</v>
      </c>
      <c r="N5" s="1">
        <f>(J5-I5)/E5</f>
        <v>0.27906976744186046</v>
      </c>
      <c r="P5">
        <f t="shared" si="4"/>
        <v>1</v>
      </c>
      <c r="Q5">
        <f t="shared" si="5"/>
        <v>0.37209302325581395</v>
      </c>
      <c r="R5">
        <f t="shared" si="6"/>
        <v>0.62790697674418605</v>
      </c>
      <c r="V5" s="1" t="s">
        <v>41</v>
      </c>
      <c r="W5">
        <v>100</v>
      </c>
      <c r="X5">
        <v>7</v>
      </c>
      <c r="Y5">
        <v>7</v>
      </c>
      <c r="Z5">
        <f t="shared" si="1"/>
        <v>86</v>
      </c>
      <c r="AA5">
        <v>0</v>
      </c>
      <c r="AB5">
        <f>38-X5</f>
        <v>31</v>
      </c>
      <c r="AC5">
        <f>AD5-AB5</f>
        <v>30</v>
      </c>
      <c r="AD5">
        <f>68-X5</f>
        <v>61</v>
      </c>
      <c r="AE5">
        <f t="shared" si="2"/>
        <v>86</v>
      </c>
      <c r="AF5">
        <f>AC5/AE5</f>
        <v>0.34883720930232559</v>
      </c>
      <c r="AH5">
        <f>(AB5-AA5)/AE5</f>
        <v>0.36046511627906974</v>
      </c>
      <c r="AI5">
        <f>(AE5-AD5)/AE5</f>
        <v>0.29069767441860467</v>
      </c>
      <c r="AK5">
        <f t="shared" si="8"/>
        <v>1</v>
      </c>
      <c r="AL5">
        <f t="shared" si="9"/>
        <v>0.34883720930232559</v>
      </c>
      <c r="AM5">
        <f t="shared" si="10"/>
        <v>0.65116279069767447</v>
      </c>
      <c r="AQ5">
        <f t="shared" ref="AQ5:AQ13" si="12">AQ4+1</f>
        <v>4</v>
      </c>
      <c r="AR5">
        <f>F67</f>
        <v>0.78021978021978022</v>
      </c>
      <c r="AS5">
        <f>L67</f>
        <v>0.21978021978021978</v>
      </c>
      <c r="AT5">
        <f t="shared" si="11"/>
        <v>1</v>
      </c>
      <c r="AV5" s="20" t="s">
        <v>142</v>
      </c>
    </row>
    <row r="6" spans="1:48" x14ac:dyDescent="0.25">
      <c r="A6" t="s">
        <v>42</v>
      </c>
      <c r="B6">
        <v>100</v>
      </c>
      <c r="C6">
        <v>5</v>
      </c>
      <c r="D6">
        <v>7</v>
      </c>
      <c r="E6">
        <f t="shared" si="0"/>
        <v>88</v>
      </c>
      <c r="F6">
        <v>0</v>
      </c>
      <c r="G6">
        <f>24-C6</f>
        <v>19</v>
      </c>
      <c r="I6">
        <f>74-C6</f>
        <v>69</v>
      </c>
      <c r="J6">
        <f t="shared" si="3"/>
        <v>88</v>
      </c>
      <c r="K6">
        <f>(G6-F6)/E6</f>
        <v>0.21590909090909091</v>
      </c>
      <c r="L6">
        <f>(J6-I6)/E6</f>
        <v>0.21590909090909091</v>
      </c>
      <c r="M6">
        <f>(I6-G6)/E6</f>
        <v>0.56818181818181823</v>
      </c>
      <c r="P6">
        <f t="shared" si="4"/>
        <v>1</v>
      </c>
      <c r="Q6">
        <f t="shared" si="5"/>
        <v>0.43181818181818182</v>
      </c>
      <c r="R6">
        <f t="shared" si="6"/>
        <v>0.56818181818181823</v>
      </c>
      <c r="V6" t="s">
        <v>42</v>
      </c>
      <c r="W6">
        <v>100</v>
      </c>
      <c r="X6">
        <v>3</v>
      </c>
      <c r="Y6">
        <v>4</v>
      </c>
      <c r="Z6">
        <f t="shared" si="1"/>
        <v>93</v>
      </c>
      <c r="AA6">
        <v>0</v>
      </c>
      <c r="AB6">
        <f>26-X6</f>
        <v>23</v>
      </c>
      <c r="AD6">
        <f>77-X6</f>
        <v>74</v>
      </c>
      <c r="AE6">
        <f t="shared" si="2"/>
        <v>93</v>
      </c>
      <c r="AF6">
        <f>(AB6-AA6)/AE6</f>
        <v>0.24731182795698925</v>
      </c>
      <c r="AG6">
        <f>(AE6-AD6)/AE6</f>
        <v>0.20430107526881722</v>
      </c>
      <c r="AH6">
        <f>(AD6-AB6)/AE6</f>
        <v>0.54838709677419351</v>
      </c>
      <c r="AK6">
        <f t="shared" si="8"/>
        <v>1</v>
      </c>
      <c r="AL6">
        <f t="shared" si="9"/>
        <v>0.45161290322580649</v>
      </c>
      <c r="AM6">
        <f t="shared" si="10"/>
        <v>0.54838709677419351</v>
      </c>
      <c r="AQ6">
        <f t="shared" si="12"/>
        <v>5</v>
      </c>
      <c r="AR6">
        <f>F71</f>
        <v>0.53246753246753242</v>
      </c>
      <c r="AS6">
        <f>L71</f>
        <v>0.46753246753246752</v>
      </c>
      <c r="AT6">
        <f t="shared" si="11"/>
        <v>0.3</v>
      </c>
      <c r="AV6" s="20" t="s">
        <v>106</v>
      </c>
    </row>
    <row r="7" spans="1:48" x14ac:dyDescent="0.25">
      <c r="A7" t="s">
        <v>43</v>
      </c>
      <c r="B7">
        <v>100</v>
      </c>
      <c r="C7">
        <v>5</v>
      </c>
      <c r="D7">
        <v>5</v>
      </c>
      <c r="E7">
        <f t="shared" si="0"/>
        <v>90</v>
      </c>
      <c r="F7">
        <f>0</f>
        <v>0</v>
      </c>
      <c r="G7">
        <f>34-C7</f>
        <v>29</v>
      </c>
      <c r="I7">
        <f>68-C7</f>
        <v>63</v>
      </c>
      <c r="J7">
        <f t="shared" si="3"/>
        <v>90</v>
      </c>
      <c r="K7">
        <f>(G7-F7)/E7</f>
        <v>0.32222222222222224</v>
      </c>
      <c r="L7">
        <f>(J7-I7)/E7</f>
        <v>0.3</v>
      </c>
      <c r="M7">
        <f>(I7-G7)/E7</f>
        <v>0.37777777777777777</v>
      </c>
      <c r="P7">
        <f t="shared" si="4"/>
        <v>1</v>
      </c>
      <c r="Q7">
        <f t="shared" si="5"/>
        <v>0.62222222222222223</v>
      </c>
      <c r="R7">
        <f t="shared" si="6"/>
        <v>0.37777777777777777</v>
      </c>
      <c r="V7" t="s">
        <v>43</v>
      </c>
      <c r="W7">
        <v>100</v>
      </c>
      <c r="X7">
        <v>3</v>
      </c>
      <c r="Y7">
        <v>3</v>
      </c>
      <c r="Z7">
        <f t="shared" si="1"/>
        <v>94</v>
      </c>
      <c r="AA7">
        <v>0</v>
      </c>
      <c r="AB7">
        <f>35-X7</f>
        <v>32</v>
      </c>
      <c r="AD7">
        <f>69-X7</f>
        <v>66</v>
      </c>
      <c r="AE7">
        <f t="shared" si="2"/>
        <v>94</v>
      </c>
      <c r="AF7">
        <f>(AB7-AA7)/AE7</f>
        <v>0.34042553191489361</v>
      </c>
      <c r="AG7">
        <f>(AE7-AD7)/AE7</f>
        <v>0.2978723404255319</v>
      </c>
      <c r="AH7">
        <f>(AD7-AB7)/AE7</f>
        <v>0.36170212765957449</v>
      </c>
      <c r="AK7">
        <f t="shared" si="8"/>
        <v>1</v>
      </c>
      <c r="AL7">
        <f t="shared" si="9"/>
        <v>0.63829787234042556</v>
      </c>
      <c r="AM7">
        <f t="shared" si="10"/>
        <v>0.36170212765957449</v>
      </c>
      <c r="AQ7">
        <f t="shared" si="12"/>
        <v>6</v>
      </c>
      <c r="AR7">
        <f>F95</f>
        <v>0.64615384615384619</v>
      </c>
      <c r="AS7">
        <f>L95</f>
        <v>0.35384615384615387</v>
      </c>
      <c r="AT7">
        <f t="shared" si="11"/>
        <v>0.3</v>
      </c>
      <c r="AV7" s="20" t="s">
        <v>141</v>
      </c>
    </row>
    <row r="8" spans="1:48" x14ac:dyDescent="0.25">
      <c r="A8" t="s">
        <v>44</v>
      </c>
      <c r="B8">
        <v>100</v>
      </c>
      <c r="C8">
        <v>5</v>
      </c>
      <c r="D8">
        <v>6</v>
      </c>
      <c r="E8">
        <f t="shared" si="0"/>
        <v>89</v>
      </c>
      <c r="F8">
        <f>0</f>
        <v>0</v>
      </c>
      <c r="G8">
        <f>36-C8</f>
        <v>31</v>
      </c>
      <c r="I8">
        <f>66-C8</f>
        <v>61</v>
      </c>
      <c r="J8">
        <f t="shared" si="3"/>
        <v>89</v>
      </c>
      <c r="K8">
        <f>(G8-F8)/E8</f>
        <v>0.34831460674157305</v>
      </c>
      <c r="L8">
        <f>(J8-I8)/E8</f>
        <v>0.3146067415730337</v>
      </c>
      <c r="M8">
        <f>(I8-G8)/E8</f>
        <v>0.33707865168539325</v>
      </c>
      <c r="P8">
        <f t="shared" si="4"/>
        <v>1</v>
      </c>
      <c r="Q8">
        <f t="shared" si="5"/>
        <v>0.66292134831460681</v>
      </c>
      <c r="R8">
        <f t="shared" si="6"/>
        <v>0.33707865168539325</v>
      </c>
      <c r="V8" t="s">
        <v>44</v>
      </c>
      <c r="W8">
        <v>100</v>
      </c>
      <c r="X8">
        <f>2</f>
        <v>2</v>
      </c>
      <c r="Y8">
        <v>10</v>
      </c>
      <c r="Z8">
        <f t="shared" si="1"/>
        <v>88</v>
      </c>
      <c r="AA8">
        <v>0</v>
      </c>
      <c r="AB8">
        <f>34-X8</f>
        <v>32</v>
      </c>
      <c r="AD8">
        <f>64-X8</f>
        <v>62</v>
      </c>
      <c r="AE8">
        <f t="shared" si="2"/>
        <v>88</v>
      </c>
      <c r="AF8">
        <f>(AB8-AA8)/AE8</f>
        <v>0.36363636363636365</v>
      </c>
      <c r="AG8">
        <f>(AE8-AD8)/AE8</f>
        <v>0.29545454545454547</v>
      </c>
      <c r="AH8">
        <f>(AD8-AB8)/AE8</f>
        <v>0.34090909090909088</v>
      </c>
      <c r="AK8">
        <f t="shared" si="8"/>
        <v>1</v>
      </c>
      <c r="AL8">
        <f t="shared" si="9"/>
        <v>0.65909090909090917</v>
      </c>
      <c r="AM8">
        <f t="shared" si="10"/>
        <v>0.34090909090909088</v>
      </c>
      <c r="AQ8">
        <f t="shared" si="12"/>
        <v>7</v>
      </c>
      <c r="AR8">
        <f>F99</f>
        <v>0.80769230769230771</v>
      </c>
      <c r="AS8">
        <f>L99</f>
        <v>0.19230769230769232</v>
      </c>
      <c r="AT8">
        <f t="shared" si="11"/>
        <v>0.3</v>
      </c>
      <c r="AV8" s="20" t="s">
        <v>142</v>
      </c>
    </row>
    <row r="9" spans="1:48" x14ac:dyDescent="0.25">
      <c r="A9" s="1" t="s">
        <v>45</v>
      </c>
      <c r="B9" s="1">
        <v>100</v>
      </c>
      <c r="C9" s="1">
        <v>6</v>
      </c>
      <c r="D9" s="1">
        <v>12</v>
      </c>
      <c r="E9" s="1">
        <f t="shared" si="0"/>
        <v>82</v>
      </c>
      <c r="F9" s="1">
        <f>0</f>
        <v>0</v>
      </c>
      <c r="G9" s="1">
        <f>36-C9</f>
        <v>30</v>
      </c>
      <c r="H9" s="1">
        <f>I9-G9</f>
        <v>26</v>
      </c>
      <c r="I9" s="1">
        <f>62-C9</f>
        <v>56</v>
      </c>
      <c r="J9" s="1">
        <f t="shared" si="3"/>
        <v>82</v>
      </c>
      <c r="K9" s="1">
        <f>H9/J9</f>
        <v>0.31707317073170732</v>
      </c>
      <c r="L9" s="1"/>
      <c r="M9" s="1">
        <f>(G9-F9)/J9</f>
        <v>0.36585365853658536</v>
      </c>
      <c r="N9" s="1">
        <f>(J9-I9)/J9</f>
        <v>0.31707317073170732</v>
      </c>
      <c r="P9">
        <f t="shared" si="4"/>
        <v>1</v>
      </c>
      <c r="Q9">
        <f t="shared" si="5"/>
        <v>0.31707317073170732</v>
      </c>
      <c r="R9">
        <f t="shared" si="6"/>
        <v>0.68292682926829262</v>
      </c>
      <c r="V9" s="1" t="s">
        <v>45</v>
      </c>
      <c r="W9">
        <v>100</v>
      </c>
      <c r="X9">
        <v>3</v>
      </c>
      <c r="Y9">
        <v>13</v>
      </c>
      <c r="Z9">
        <f t="shared" si="1"/>
        <v>84</v>
      </c>
      <c r="AA9">
        <f>0</f>
        <v>0</v>
      </c>
      <c r="AB9">
        <f>34-X9</f>
        <v>31</v>
      </c>
      <c r="AC9">
        <f>AD9-AB9</f>
        <v>25</v>
      </c>
      <c r="AD9">
        <f>59-X9</f>
        <v>56</v>
      </c>
      <c r="AE9">
        <f t="shared" si="2"/>
        <v>84</v>
      </c>
      <c r="AF9">
        <f>AC9/AE9</f>
        <v>0.29761904761904762</v>
      </c>
      <c r="AH9">
        <f>(AB9-AA9)/AE9</f>
        <v>0.36904761904761907</v>
      </c>
      <c r="AI9">
        <f>(AE9-AD9)/AE9</f>
        <v>0.33333333333333331</v>
      </c>
      <c r="AK9">
        <f t="shared" si="8"/>
        <v>1</v>
      </c>
      <c r="AL9">
        <f t="shared" si="9"/>
        <v>0.29761904761904762</v>
      </c>
      <c r="AM9">
        <f t="shared" si="10"/>
        <v>0.70238095238095233</v>
      </c>
      <c r="AQ9">
        <f t="shared" si="12"/>
        <v>8</v>
      </c>
      <c r="AR9">
        <f>F75</f>
        <v>0.78461538461538471</v>
      </c>
      <c r="AS9">
        <f>L75</f>
        <v>0.2153846153846154</v>
      </c>
      <c r="AT9">
        <f t="shared" si="11"/>
        <v>0.5</v>
      </c>
      <c r="AV9" s="20" t="s">
        <v>106</v>
      </c>
    </row>
    <row r="10" spans="1:48" x14ac:dyDescent="0.25">
      <c r="A10" t="s">
        <v>46</v>
      </c>
      <c r="B10">
        <v>100</v>
      </c>
      <c r="C10">
        <v>5</v>
      </c>
      <c r="D10">
        <v>6</v>
      </c>
      <c r="E10">
        <f t="shared" si="0"/>
        <v>89</v>
      </c>
      <c r="F10">
        <f>0</f>
        <v>0</v>
      </c>
      <c r="G10">
        <f>16-C10</f>
        <v>11</v>
      </c>
      <c r="I10">
        <f>79-C10</f>
        <v>74</v>
      </c>
      <c r="J10">
        <f t="shared" si="3"/>
        <v>89</v>
      </c>
      <c r="K10">
        <f>(G10-F10)/J10</f>
        <v>0.12359550561797752</v>
      </c>
      <c r="L10">
        <f>(J10-I10)/E10</f>
        <v>0.16853932584269662</v>
      </c>
      <c r="M10">
        <f>(I10-G10)/J10</f>
        <v>0.7078651685393258</v>
      </c>
      <c r="P10">
        <f t="shared" si="4"/>
        <v>1</v>
      </c>
      <c r="Q10">
        <f t="shared" si="5"/>
        <v>0.29213483146067415</v>
      </c>
      <c r="R10">
        <f t="shared" si="6"/>
        <v>0.7078651685393258</v>
      </c>
      <c r="V10" t="s">
        <v>46</v>
      </c>
      <c r="W10">
        <v>100</v>
      </c>
      <c r="X10">
        <v>6</v>
      </c>
      <c r="Y10">
        <v>7</v>
      </c>
      <c r="Z10">
        <f t="shared" si="1"/>
        <v>87</v>
      </c>
      <c r="AA10">
        <v>0</v>
      </c>
      <c r="AB10">
        <f>16-X10</f>
        <v>10</v>
      </c>
      <c r="AD10">
        <f>79-X10</f>
        <v>73</v>
      </c>
      <c r="AE10">
        <f t="shared" si="2"/>
        <v>87</v>
      </c>
      <c r="AF10">
        <f>(AB10-AA10)/AE10</f>
        <v>0.11494252873563218</v>
      </c>
      <c r="AG10">
        <f>(AE10-AD10)/AE10</f>
        <v>0.16091954022988506</v>
      </c>
      <c r="AH10">
        <f>(AD10-AB10)/AE10</f>
        <v>0.72413793103448276</v>
      </c>
      <c r="AK10">
        <f t="shared" si="8"/>
        <v>1</v>
      </c>
      <c r="AL10">
        <f t="shared" si="9"/>
        <v>0.27586206896551724</v>
      </c>
      <c r="AM10">
        <f t="shared" si="10"/>
        <v>0.72413793103448276</v>
      </c>
      <c r="AQ10">
        <f t="shared" si="12"/>
        <v>9</v>
      </c>
      <c r="AR10">
        <f>F79</f>
        <v>0.703125</v>
      </c>
      <c r="AS10">
        <f>L79</f>
        <v>0.296875</v>
      </c>
      <c r="AT10">
        <f t="shared" si="11"/>
        <v>0.5</v>
      </c>
      <c r="AV10" s="20" t="s">
        <v>143</v>
      </c>
    </row>
    <row r="11" spans="1:48" x14ac:dyDescent="0.25">
      <c r="A11" t="s">
        <v>47</v>
      </c>
      <c r="B11">
        <v>100</v>
      </c>
      <c r="C11">
        <v>6</v>
      </c>
      <c r="D11">
        <f>5</f>
        <v>5</v>
      </c>
      <c r="E11">
        <f t="shared" si="0"/>
        <v>89</v>
      </c>
      <c r="F11">
        <f>0</f>
        <v>0</v>
      </c>
      <c r="G11">
        <f>33-C11</f>
        <v>27</v>
      </c>
      <c r="I11">
        <f>68-C11</f>
        <v>62</v>
      </c>
      <c r="J11">
        <f t="shared" si="3"/>
        <v>89</v>
      </c>
      <c r="K11">
        <f>(G11-F11)/J11</f>
        <v>0.30337078651685395</v>
      </c>
      <c r="L11">
        <f>(J11-I11)/E11</f>
        <v>0.30337078651685395</v>
      </c>
      <c r="M11">
        <f>(I11-G11)/J11</f>
        <v>0.39325842696629215</v>
      </c>
      <c r="P11">
        <f t="shared" si="4"/>
        <v>1</v>
      </c>
      <c r="Q11">
        <f t="shared" si="5"/>
        <v>0.6067415730337079</v>
      </c>
      <c r="R11">
        <f t="shared" si="6"/>
        <v>0.39325842696629215</v>
      </c>
      <c r="V11" t="s">
        <v>47</v>
      </c>
      <c r="W11">
        <v>100</v>
      </c>
      <c r="X11">
        <v>6</v>
      </c>
      <c r="Y11">
        <v>6</v>
      </c>
      <c r="Z11">
        <f t="shared" si="1"/>
        <v>88</v>
      </c>
      <c r="AA11">
        <v>0</v>
      </c>
      <c r="AB11">
        <f>33-X11</f>
        <v>27</v>
      </c>
      <c r="AD11">
        <f>68-X11</f>
        <v>62</v>
      </c>
      <c r="AE11">
        <f t="shared" si="2"/>
        <v>88</v>
      </c>
      <c r="AF11">
        <f>(AB11-AA11)/AE11</f>
        <v>0.30681818181818182</v>
      </c>
      <c r="AG11">
        <f>(AE11-AD11)/AE11</f>
        <v>0.29545454545454547</v>
      </c>
      <c r="AH11">
        <f>(AD11-AB11)/AE11</f>
        <v>0.39772727272727271</v>
      </c>
      <c r="AK11">
        <f t="shared" si="8"/>
        <v>1</v>
      </c>
      <c r="AL11">
        <f t="shared" si="9"/>
        <v>0.60227272727272729</v>
      </c>
      <c r="AM11">
        <f t="shared" si="10"/>
        <v>0.39772727272727271</v>
      </c>
      <c r="AQ11">
        <f t="shared" si="12"/>
        <v>10</v>
      </c>
      <c r="AR11">
        <f>F83</f>
        <v>0.69117647058823528</v>
      </c>
      <c r="AS11">
        <f>L83</f>
        <v>0.30882352941176472</v>
      </c>
      <c r="AT11">
        <f t="shared" si="11"/>
        <v>0.5</v>
      </c>
      <c r="AV11" s="20" t="s">
        <v>107</v>
      </c>
    </row>
    <row r="12" spans="1:48" x14ac:dyDescent="0.25">
      <c r="A12" t="s">
        <v>48</v>
      </c>
      <c r="B12">
        <v>100</v>
      </c>
      <c r="C12">
        <f>0</f>
        <v>0</v>
      </c>
      <c r="D12">
        <v>10</v>
      </c>
      <c r="E12">
        <f t="shared" si="0"/>
        <v>90</v>
      </c>
      <c r="F12">
        <f>0</f>
        <v>0</v>
      </c>
      <c r="G12">
        <f>33-C12</f>
        <v>33</v>
      </c>
      <c r="I12">
        <f>62-C12</f>
        <v>62</v>
      </c>
      <c r="J12">
        <f t="shared" si="3"/>
        <v>90</v>
      </c>
      <c r="K12">
        <f>(G12-F12)/J12</f>
        <v>0.36666666666666664</v>
      </c>
      <c r="L12">
        <f>(J12-I12)/E12</f>
        <v>0.31111111111111112</v>
      </c>
      <c r="M12">
        <f>(I12-G12)/J12</f>
        <v>0.32222222222222224</v>
      </c>
      <c r="P12">
        <f t="shared" si="4"/>
        <v>1</v>
      </c>
      <c r="Q12">
        <f t="shared" si="5"/>
        <v>0.67777777777777781</v>
      </c>
      <c r="R12">
        <f t="shared" si="6"/>
        <v>0.32222222222222224</v>
      </c>
      <c r="V12" t="s">
        <v>48</v>
      </c>
      <c r="W12">
        <v>100</v>
      </c>
      <c r="X12">
        <v>2</v>
      </c>
      <c r="Y12">
        <v>8</v>
      </c>
      <c r="Z12">
        <f t="shared" si="1"/>
        <v>90</v>
      </c>
      <c r="AA12">
        <v>0</v>
      </c>
      <c r="AB12">
        <f>34-X12</f>
        <v>32</v>
      </c>
      <c r="AD12">
        <f>63-X12</f>
        <v>61</v>
      </c>
      <c r="AE12">
        <f t="shared" si="2"/>
        <v>90</v>
      </c>
      <c r="AF12">
        <f>(AB12-AA12)/AE12</f>
        <v>0.35555555555555557</v>
      </c>
      <c r="AG12">
        <f>(AE12-AD12)/AE12</f>
        <v>0.32222222222222224</v>
      </c>
      <c r="AH12">
        <f>(AD12-AB12)/AE12</f>
        <v>0.32222222222222224</v>
      </c>
      <c r="AK12">
        <f t="shared" si="8"/>
        <v>1</v>
      </c>
      <c r="AL12">
        <f t="shared" si="9"/>
        <v>0.67777777777777781</v>
      </c>
      <c r="AM12">
        <f t="shared" si="10"/>
        <v>0.32222222222222224</v>
      </c>
      <c r="AQ12">
        <f t="shared" si="12"/>
        <v>11</v>
      </c>
      <c r="AR12">
        <f>F87</f>
        <v>0.49090909090909091</v>
      </c>
      <c r="AS12">
        <f>L87</f>
        <v>0.50909090909090904</v>
      </c>
      <c r="AT12">
        <f t="shared" si="11"/>
        <v>1.6</v>
      </c>
      <c r="AV12" s="20" t="s">
        <v>107</v>
      </c>
    </row>
    <row r="13" spans="1:48" x14ac:dyDescent="0.25">
      <c r="A13" s="1" t="s">
        <v>50</v>
      </c>
      <c r="B13" s="1">
        <v>100</v>
      </c>
      <c r="C13" s="1">
        <v>5</v>
      </c>
      <c r="D13" s="1">
        <v>4</v>
      </c>
      <c r="E13" s="1">
        <f t="shared" si="0"/>
        <v>91</v>
      </c>
      <c r="F13" s="1">
        <f>0</f>
        <v>0</v>
      </c>
      <c r="G13" s="1">
        <f>41-C13</f>
        <v>36</v>
      </c>
      <c r="H13" s="1">
        <f>I13-G13</f>
        <v>20</v>
      </c>
      <c r="I13" s="1">
        <f>61-C13</f>
        <v>56</v>
      </c>
      <c r="J13" s="1">
        <f t="shared" si="3"/>
        <v>91</v>
      </c>
      <c r="K13" s="1">
        <f>H13/J13</f>
        <v>0.21978021978021978</v>
      </c>
      <c r="L13" s="1"/>
      <c r="M13" s="1">
        <f>(G13-F13)/J13</f>
        <v>0.39560439560439559</v>
      </c>
      <c r="N13" s="1">
        <f>(J13-I13)/J13</f>
        <v>0.38461538461538464</v>
      </c>
      <c r="P13">
        <f t="shared" si="4"/>
        <v>1</v>
      </c>
      <c r="Q13">
        <f t="shared" si="5"/>
        <v>0.21978021978021978</v>
      </c>
      <c r="R13">
        <f t="shared" si="6"/>
        <v>0.78021978021978022</v>
      </c>
      <c r="V13" s="1" t="s">
        <v>50</v>
      </c>
      <c r="W13">
        <v>100</v>
      </c>
      <c r="X13">
        <v>5</v>
      </c>
      <c r="Y13">
        <v>4</v>
      </c>
      <c r="Z13">
        <f t="shared" si="1"/>
        <v>91</v>
      </c>
      <c r="AA13">
        <v>0</v>
      </c>
      <c r="AB13">
        <f>41-X13</f>
        <v>36</v>
      </c>
      <c r="AC13">
        <f>AD13-AB13</f>
        <v>19</v>
      </c>
      <c r="AD13">
        <f>60-X13</f>
        <v>55</v>
      </c>
      <c r="AE13">
        <f t="shared" si="2"/>
        <v>91</v>
      </c>
      <c r="AF13">
        <f>AC13/AE13</f>
        <v>0.2087912087912088</v>
      </c>
      <c r="AH13">
        <f>(AB13-AA13)/AE13</f>
        <v>0.39560439560439559</v>
      </c>
      <c r="AI13">
        <f>(AE13-AD13)/AE13</f>
        <v>0.39560439560439559</v>
      </c>
      <c r="AK13">
        <f t="shared" si="8"/>
        <v>1</v>
      </c>
      <c r="AL13">
        <f t="shared" si="9"/>
        <v>0.2087912087912088</v>
      </c>
      <c r="AM13">
        <f t="shared" si="10"/>
        <v>0.79120879120879117</v>
      </c>
      <c r="AQ13">
        <f t="shared" si="12"/>
        <v>12</v>
      </c>
      <c r="AR13">
        <f>F91</f>
        <v>0.3772455089820359</v>
      </c>
      <c r="AS13">
        <f>L91</f>
        <v>0.6227544910179641</v>
      </c>
      <c r="AT13">
        <f t="shared" si="11"/>
        <v>1.6</v>
      </c>
      <c r="AV13" s="20" t="s">
        <v>108</v>
      </c>
    </row>
    <row r="14" spans="1:48" x14ac:dyDescent="0.25">
      <c r="A14" t="s">
        <v>49</v>
      </c>
      <c r="B14">
        <v>81</v>
      </c>
      <c r="C14">
        <f>16</f>
        <v>16</v>
      </c>
      <c r="D14">
        <v>15</v>
      </c>
      <c r="E14">
        <f t="shared" si="0"/>
        <v>50</v>
      </c>
      <c r="F14">
        <v>0</v>
      </c>
      <c r="G14">
        <f>30-C14</f>
        <v>14</v>
      </c>
      <c r="I14">
        <f>46-C14</f>
        <v>30</v>
      </c>
      <c r="J14">
        <f t="shared" si="3"/>
        <v>50</v>
      </c>
      <c r="K14">
        <f>(G14-F14)/J14</f>
        <v>0.28000000000000003</v>
      </c>
      <c r="L14">
        <f>(J14-I14)/J14</f>
        <v>0.4</v>
      </c>
      <c r="M14">
        <f>(I14-G14)/J14</f>
        <v>0.32</v>
      </c>
      <c r="P14">
        <f t="shared" si="4"/>
        <v>1</v>
      </c>
      <c r="Q14">
        <f t="shared" si="5"/>
        <v>0.68</v>
      </c>
      <c r="R14">
        <f t="shared" si="6"/>
        <v>0.32</v>
      </c>
      <c r="S14" s="3"/>
      <c r="V14" t="s">
        <v>49</v>
      </c>
      <c r="W14">
        <v>81</v>
      </c>
      <c r="X14">
        <v>16</v>
      </c>
      <c r="Y14">
        <v>14</v>
      </c>
      <c r="Z14">
        <f t="shared" si="1"/>
        <v>51</v>
      </c>
      <c r="AA14">
        <v>0</v>
      </c>
      <c r="AB14">
        <f>27-X14</f>
        <v>11</v>
      </c>
      <c r="AD14">
        <f>49-X14</f>
        <v>33</v>
      </c>
      <c r="AE14">
        <f t="shared" si="2"/>
        <v>51</v>
      </c>
      <c r="AF14">
        <f>(AB14-AA14)/AE14</f>
        <v>0.21568627450980393</v>
      </c>
      <c r="AG14">
        <f>(AE14-AD14)/AE14</f>
        <v>0.35294117647058826</v>
      </c>
      <c r="AH14">
        <f>(AD14-AB14)/AE14</f>
        <v>0.43137254901960786</v>
      </c>
      <c r="AK14">
        <f t="shared" si="8"/>
        <v>1</v>
      </c>
      <c r="AL14">
        <f t="shared" si="9"/>
        <v>0.56862745098039214</v>
      </c>
      <c r="AM14">
        <f t="shared" si="10"/>
        <v>0.43137254901960786</v>
      </c>
      <c r="AQ14">
        <f>14</f>
        <v>14</v>
      </c>
      <c r="AR14">
        <f>F103</f>
        <v>0.1206896551724138</v>
      </c>
      <c r="AS14">
        <f>L103</f>
        <v>0.8793103448275863</v>
      </c>
      <c r="AT14">
        <f t="shared" si="11"/>
        <v>1.6</v>
      </c>
      <c r="AV14" s="20" t="s">
        <v>109</v>
      </c>
    </row>
    <row r="15" spans="1:48" x14ac:dyDescent="0.25">
      <c r="A15" t="s">
        <v>51</v>
      </c>
      <c r="B15">
        <f>81</f>
        <v>81</v>
      </c>
      <c r="C15">
        <f>17</f>
        <v>17</v>
      </c>
      <c r="D15">
        <f>14</f>
        <v>14</v>
      </c>
      <c r="E15">
        <f t="shared" si="0"/>
        <v>50</v>
      </c>
      <c r="F15">
        <f>0</f>
        <v>0</v>
      </c>
      <c r="G15">
        <f>37-C15</f>
        <v>20</v>
      </c>
      <c r="I15">
        <f>42-C15</f>
        <v>25</v>
      </c>
      <c r="J15">
        <f t="shared" si="3"/>
        <v>50</v>
      </c>
      <c r="K15">
        <f>(G15-F15)/J15</f>
        <v>0.4</v>
      </c>
      <c r="L15">
        <f>(J15-I15)/J15</f>
        <v>0.5</v>
      </c>
      <c r="M15">
        <f>(I15-G15)/J15</f>
        <v>0.1</v>
      </c>
      <c r="P15">
        <f t="shared" si="4"/>
        <v>1</v>
      </c>
      <c r="Q15">
        <f t="shared" si="5"/>
        <v>0.9</v>
      </c>
      <c r="R15">
        <f t="shared" si="6"/>
        <v>0.1</v>
      </c>
      <c r="S15" s="3"/>
      <c r="T15" s="21" t="s">
        <v>140</v>
      </c>
      <c r="V15" t="s">
        <v>51</v>
      </c>
      <c r="W15">
        <v>81</v>
      </c>
      <c r="X15">
        <v>17</v>
      </c>
      <c r="Y15">
        <v>15</v>
      </c>
      <c r="Z15">
        <f t="shared" si="1"/>
        <v>49</v>
      </c>
      <c r="AA15">
        <v>0</v>
      </c>
      <c r="AB15">
        <f>31-X15</f>
        <v>14</v>
      </c>
      <c r="AD15">
        <f>57-X15</f>
        <v>40</v>
      </c>
      <c r="AE15">
        <f t="shared" si="2"/>
        <v>49</v>
      </c>
      <c r="AF15">
        <f>(AB15-AA15)/AE15</f>
        <v>0.2857142857142857</v>
      </c>
      <c r="AG15">
        <f>(AE15-AD15)/AE15</f>
        <v>0.18367346938775511</v>
      </c>
      <c r="AH15">
        <f>(AD15-AB15)/AE15</f>
        <v>0.53061224489795922</v>
      </c>
      <c r="AK15">
        <f t="shared" si="8"/>
        <v>1</v>
      </c>
      <c r="AL15">
        <f t="shared" si="9"/>
        <v>0.46938775510204078</v>
      </c>
      <c r="AM15">
        <f t="shared" si="10"/>
        <v>0.53061224489795922</v>
      </c>
    </row>
    <row r="16" spans="1:48" x14ac:dyDescent="0.25">
      <c r="A16" t="s">
        <v>52</v>
      </c>
      <c r="B16" s="3">
        <v>81</v>
      </c>
      <c r="C16" s="3">
        <v>18</v>
      </c>
      <c r="D16" s="3">
        <v>15</v>
      </c>
      <c r="E16" s="3">
        <f t="shared" si="0"/>
        <v>48</v>
      </c>
      <c r="F16" s="3">
        <v>0</v>
      </c>
      <c r="G16" s="3">
        <v>0</v>
      </c>
      <c r="H16" s="3"/>
      <c r="I16" s="3">
        <v>0</v>
      </c>
      <c r="J16" s="3">
        <f t="shared" si="3"/>
        <v>48</v>
      </c>
      <c r="K16" s="3">
        <f>(G16-F16)/J16</f>
        <v>0</v>
      </c>
      <c r="L16" s="3">
        <f>(J16-I16)/J16</f>
        <v>1</v>
      </c>
      <c r="M16" s="3">
        <f>(I16-G16)/J16</f>
        <v>0</v>
      </c>
      <c r="N16" s="3"/>
      <c r="P16">
        <f t="shared" si="4"/>
        <v>1</v>
      </c>
      <c r="Q16">
        <f t="shared" si="5"/>
        <v>1</v>
      </c>
      <c r="R16">
        <f t="shared" si="6"/>
        <v>0</v>
      </c>
      <c r="S16" s="3"/>
      <c r="V16" t="s">
        <v>52</v>
      </c>
      <c r="W16">
        <v>81</v>
      </c>
      <c r="X16">
        <v>18</v>
      </c>
      <c r="Y16">
        <f>16</f>
        <v>16</v>
      </c>
      <c r="Z16">
        <f t="shared" si="1"/>
        <v>47</v>
      </c>
      <c r="AA16">
        <f>0</f>
        <v>0</v>
      </c>
      <c r="AB16">
        <f>25-X16</f>
        <v>7</v>
      </c>
      <c r="AD16">
        <f>50-X16</f>
        <v>32</v>
      </c>
      <c r="AE16">
        <f t="shared" si="2"/>
        <v>47</v>
      </c>
      <c r="AF16">
        <f>(AB16-AA16)/AE16</f>
        <v>0.14893617021276595</v>
      </c>
      <c r="AG16">
        <f>(AE16-AD16)/AE16</f>
        <v>0.31914893617021278</v>
      </c>
      <c r="AH16">
        <f>(AD16-AB16)/AE16</f>
        <v>0.53191489361702127</v>
      </c>
      <c r="AK16">
        <f t="shared" si="8"/>
        <v>1</v>
      </c>
      <c r="AL16">
        <f t="shared" si="9"/>
        <v>0.46808510638297873</v>
      </c>
      <c r="AM16">
        <f t="shared" si="10"/>
        <v>0.53191489361702127</v>
      </c>
    </row>
    <row r="17" spans="1:51" x14ac:dyDescent="0.25">
      <c r="A17" s="1" t="s">
        <v>53</v>
      </c>
      <c r="B17" s="1">
        <v>100</v>
      </c>
      <c r="C17" s="1">
        <v>13</v>
      </c>
      <c r="D17" s="1">
        <v>10</v>
      </c>
      <c r="E17" s="1">
        <f t="shared" si="0"/>
        <v>77</v>
      </c>
      <c r="F17" s="1">
        <f>0</f>
        <v>0</v>
      </c>
      <c r="G17" s="1">
        <f>37-C17</f>
        <v>24</v>
      </c>
      <c r="H17" s="1">
        <f>I17-G17</f>
        <v>36</v>
      </c>
      <c r="I17" s="1">
        <f>73-C17</f>
        <v>60</v>
      </c>
      <c r="J17" s="1">
        <f t="shared" si="3"/>
        <v>77</v>
      </c>
      <c r="K17" s="1">
        <f>H17/J17</f>
        <v>0.46753246753246752</v>
      </c>
      <c r="L17" s="1"/>
      <c r="M17" s="1">
        <f>(G17-F17)/J17</f>
        <v>0.31168831168831168</v>
      </c>
      <c r="N17" s="1">
        <f>(J17-I17)/J17</f>
        <v>0.22077922077922077</v>
      </c>
      <c r="P17">
        <f t="shared" si="4"/>
        <v>1</v>
      </c>
      <c r="Q17">
        <f t="shared" si="5"/>
        <v>0.46753246753246752</v>
      </c>
      <c r="R17">
        <f t="shared" si="6"/>
        <v>0.53246753246753242</v>
      </c>
      <c r="V17" s="1" t="s">
        <v>53</v>
      </c>
      <c r="W17">
        <v>101</v>
      </c>
      <c r="X17">
        <v>15</v>
      </c>
      <c r="Y17">
        <v>10</v>
      </c>
      <c r="Z17">
        <f t="shared" si="1"/>
        <v>76</v>
      </c>
      <c r="AA17">
        <v>0</v>
      </c>
      <c r="AB17">
        <f>40-X17</f>
        <v>25</v>
      </c>
      <c r="AC17">
        <f>AD17-AB17</f>
        <v>34</v>
      </c>
      <c r="AD17">
        <f>74-X17</f>
        <v>59</v>
      </c>
      <c r="AE17">
        <f t="shared" si="2"/>
        <v>76</v>
      </c>
      <c r="AF17">
        <f>AC17/AE17</f>
        <v>0.44736842105263158</v>
      </c>
      <c r="AH17">
        <f>(AB17-AA17)/AE17</f>
        <v>0.32894736842105265</v>
      </c>
      <c r="AI17">
        <f>(AE17-AD17)/AE17</f>
        <v>0.22368421052631579</v>
      </c>
      <c r="AK17">
        <f t="shared" si="8"/>
        <v>1</v>
      </c>
      <c r="AL17">
        <f t="shared" si="9"/>
        <v>0.44736842105263158</v>
      </c>
      <c r="AM17">
        <f t="shared" si="10"/>
        <v>0.55263157894736847</v>
      </c>
      <c r="AR17" t="s">
        <v>120</v>
      </c>
      <c r="AY17" t="s">
        <v>133</v>
      </c>
    </row>
    <row r="18" spans="1:51" ht="18.75" x14ac:dyDescent="0.3">
      <c r="A18" t="s">
        <v>54</v>
      </c>
      <c r="B18">
        <v>76</v>
      </c>
      <c r="C18">
        <v>0</v>
      </c>
      <c r="D18">
        <v>0</v>
      </c>
      <c r="E18">
        <f t="shared" si="0"/>
        <v>76</v>
      </c>
      <c r="F18">
        <v>0</v>
      </c>
      <c r="G18">
        <f>23-C18</f>
        <v>23</v>
      </c>
      <c r="I18">
        <f>50-C18</f>
        <v>50</v>
      </c>
      <c r="J18">
        <f t="shared" si="3"/>
        <v>76</v>
      </c>
      <c r="K18">
        <f>(G18-F18)/J18</f>
        <v>0.30263157894736842</v>
      </c>
      <c r="L18">
        <f>(J18-I18)/J18</f>
        <v>0.34210526315789475</v>
      </c>
      <c r="M18">
        <f>(I18-G18)/J18</f>
        <v>0.35526315789473684</v>
      </c>
      <c r="P18">
        <f t="shared" si="4"/>
        <v>1</v>
      </c>
      <c r="Q18">
        <f t="shared" si="5"/>
        <v>0.64473684210526316</v>
      </c>
      <c r="R18">
        <f t="shared" si="6"/>
        <v>0.35526315789473684</v>
      </c>
      <c r="V18" t="s">
        <v>54</v>
      </c>
      <c r="W18">
        <v>73</v>
      </c>
      <c r="X18">
        <v>0</v>
      </c>
      <c r="Y18">
        <v>0</v>
      </c>
      <c r="Z18">
        <f t="shared" si="1"/>
        <v>73</v>
      </c>
      <c r="AA18">
        <v>0</v>
      </c>
      <c r="AB18">
        <f>23-X18</f>
        <v>23</v>
      </c>
      <c r="AD18">
        <f>49-X18</f>
        <v>49</v>
      </c>
      <c r="AE18">
        <f t="shared" si="2"/>
        <v>73</v>
      </c>
      <c r="AF18">
        <f>(AB18-AA18)/AE18</f>
        <v>0.31506849315068491</v>
      </c>
      <c r="AG18">
        <f>(AE18-AD18)/AE18</f>
        <v>0.32876712328767121</v>
      </c>
      <c r="AH18">
        <f>(AD18-AB18)/AE18</f>
        <v>0.35616438356164382</v>
      </c>
      <c r="AK18">
        <f t="shared" si="8"/>
        <v>0.99999999999999989</v>
      </c>
      <c r="AL18">
        <f t="shared" si="9"/>
        <v>0.64383561643835607</v>
      </c>
      <c r="AM18">
        <f t="shared" si="10"/>
        <v>0.35616438356164382</v>
      </c>
      <c r="AR18" s="2" t="s">
        <v>74</v>
      </c>
      <c r="AS18" s="10" t="s">
        <v>119</v>
      </c>
      <c r="AT18" s="10" t="s">
        <v>118</v>
      </c>
    </row>
    <row r="19" spans="1:51" x14ac:dyDescent="0.25">
      <c r="A19" t="s">
        <v>55</v>
      </c>
      <c r="B19">
        <v>72</v>
      </c>
      <c r="C19">
        <v>1</v>
      </c>
      <c r="D19">
        <v>5</v>
      </c>
      <c r="E19">
        <f t="shared" si="0"/>
        <v>66</v>
      </c>
      <c r="F19">
        <v>0</v>
      </c>
      <c r="G19">
        <f>24-C19</f>
        <v>23</v>
      </c>
      <c r="I19">
        <f>44-C19</f>
        <v>43</v>
      </c>
      <c r="J19">
        <f t="shared" si="3"/>
        <v>66</v>
      </c>
      <c r="K19">
        <f>(G19-F19)/J19</f>
        <v>0.34848484848484851</v>
      </c>
      <c r="L19">
        <f>(J19-I19)/J19</f>
        <v>0.34848484848484851</v>
      </c>
      <c r="M19">
        <f>(I19-G19)/J19</f>
        <v>0.30303030303030304</v>
      </c>
      <c r="P19">
        <f t="shared" si="4"/>
        <v>1</v>
      </c>
      <c r="Q19">
        <f t="shared" si="5"/>
        <v>0.69696969696969702</v>
      </c>
      <c r="R19">
        <f t="shared" si="6"/>
        <v>0.30303030303030304</v>
      </c>
      <c r="V19" t="s">
        <v>55</v>
      </c>
      <c r="W19">
        <v>72</v>
      </c>
      <c r="X19">
        <v>2</v>
      </c>
      <c r="Y19">
        <v>4</v>
      </c>
      <c r="Z19">
        <f t="shared" si="1"/>
        <v>66</v>
      </c>
      <c r="AA19">
        <v>0</v>
      </c>
      <c r="AB19">
        <f>24-X19</f>
        <v>22</v>
      </c>
      <c r="AD19">
        <f>44-X19</f>
        <v>42</v>
      </c>
      <c r="AE19">
        <f t="shared" si="2"/>
        <v>66</v>
      </c>
      <c r="AF19">
        <f>(AB19-AA19)/AE19</f>
        <v>0.33333333333333331</v>
      </c>
      <c r="AG19">
        <f>(AE19-AD19)/AE19</f>
        <v>0.36363636363636365</v>
      </c>
      <c r="AH19">
        <f>(AD19-AB19)/AE19</f>
        <v>0.30303030303030304</v>
      </c>
      <c r="AK19">
        <f t="shared" si="8"/>
        <v>1</v>
      </c>
      <c r="AL19">
        <f t="shared" si="9"/>
        <v>0.69696969696969702</v>
      </c>
      <c r="AM19">
        <f t="shared" si="10"/>
        <v>0.30303030303030304</v>
      </c>
      <c r="AR19" t="s">
        <v>38</v>
      </c>
      <c r="AS19">
        <f>12</f>
        <v>12</v>
      </c>
      <c r="AU19">
        <f>($G2-$F2)/$J2</f>
        <v>0.2988505747126437</v>
      </c>
      <c r="AV19">
        <f>($I2-$G2)/$J2</f>
        <v>0.40229885057471265</v>
      </c>
      <c r="AW19">
        <f>($J2-$I2)/$J2</f>
        <v>0.2988505747126437</v>
      </c>
    </row>
    <row r="20" spans="1:51" x14ac:dyDescent="0.25">
      <c r="A20" t="s">
        <v>56</v>
      </c>
      <c r="B20">
        <v>65</v>
      </c>
      <c r="C20">
        <v>0</v>
      </c>
      <c r="D20">
        <v>0</v>
      </c>
      <c r="E20">
        <f t="shared" si="0"/>
        <v>65</v>
      </c>
      <c r="F20">
        <v>0</v>
      </c>
      <c r="G20">
        <f>28-C20</f>
        <v>28</v>
      </c>
      <c r="I20">
        <f>50-C20</f>
        <v>50</v>
      </c>
      <c r="J20">
        <f t="shared" si="3"/>
        <v>65</v>
      </c>
      <c r="K20">
        <f>(G20-F20)/J20</f>
        <v>0.43076923076923079</v>
      </c>
      <c r="L20">
        <f>(J20-I20)/J20</f>
        <v>0.23076923076923078</v>
      </c>
      <c r="M20">
        <f>(I20-G20)/J20</f>
        <v>0.33846153846153848</v>
      </c>
      <c r="P20">
        <f t="shared" si="4"/>
        <v>1</v>
      </c>
      <c r="Q20">
        <f t="shared" si="5"/>
        <v>0.66153846153846163</v>
      </c>
      <c r="R20">
        <f t="shared" si="6"/>
        <v>0.33846153846153848</v>
      </c>
      <c r="V20" t="s">
        <v>56</v>
      </c>
      <c r="W20">
        <v>64</v>
      </c>
      <c r="X20">
        <v>2</v>
      </c>
      <c r="Y20">
        <v>0</v>
      </c>
      <c r="Z20">
        <f t="shared" si="1"/>
        <v>62</v>
      </c>
      <c r="AA20">
        <v>0</v>
      </c>
      <c r="AB20">
        <f>29-X20</f>
        <v>27</v>
      </c>
      <c r="AD20">
        <f>49-X20</f>
        <v>47</v>
      </c>
      <c r="AE20">
        <f t="shared" si="2"/>
        <v>62</v>
      </c>
      <c r="AF20">
        <f>(AB20-AA20)/AE20</f>
        <v>0.43548387096774194</v>
      </c>
      <c r="AG20">
        <f>(AE20-AD20)/AE20</f>
        <v>0.24193548387096775</v>
      </c>
      <c r="AH20">
        <f>(AD20-AB20)/AE20</f>
        <v>0.32258064516129031</v>
      </c>
      <c r="AK20">
        <f t="shared" si="8"/>
        <v>1</v>
      </c>
      <c r="AL20">
        <f t="shared" si="9"/>
        <v>0.67741935483870974</v>
      </c>
      <c r="AM20">
        <f t="shared" si="10"/>
        <v>0.32258064516129031</v>
      </c>
      <c r="AR20" t="s">
        <v>39</v>
      </c>
      <c r="AS20">
        <v>27</v>
      </c>
      <c r="AU20">
        <f>($G3-$F3)/$J3</f>
        <v>0.31111111111111112</v>
      </c>
      <c r="AV20">
        <f t="shared" ref="AV20:AV21" si="13">($I3-$G3)/$J3</f>
        <v>0.41111111111111109</v>
      </c>
      <c r="AW20">
        <f t="shared" ref="AW20:AW21" si="14">($J3-$I3)/$J3</f>
        <v>0.27777777777777779</v>
      </c>
    </row>
    <row r="21" spans="1:51" x14ac:dyDescent="0.25">
      <c r="A21" s="1" t="s">
        <v>57</v>
      </c>
      <c r="B21" s="1">
        <v>81</v>
      </c>
      <c r="C21" s="1">
        <v>10</v>
      </c>
      <c r="D21" s="1">
        <v>6</v>
      </c>
      <c r="E21" s="1">
        <f t="shared" si="0"/>
        <v>65</v>
      </c>
      <c r="F21" s="1">
        <f>0</f>
        <v>0</v>
      </c>
      <c r="G21" s="1">
        <f>39-C21</f>
        <v>29</v>
      </c>
      <c r="H21" s="1">
        <f>I21-G21</f>
        <v>14</v>
      </c>
      <c r="I21" s="1">
        <f>53-C21</f>
        <v>43</v>
      </c>
      <c r="J21" s="1">
        <f t="shared" si="3"/>
        <v>65</v>
      </c>
      <c r="K21" s="1">
        <f>H21/J21</f>
        <v>0.2153846153846154</v>
      </c>
      <c r="L21" s="1"/>
      <c r="M21" s="1">
        <f>(G21-F21)/J21</f>
        <v>0.44615384615384618</v>
      </c>
      <c r="N21" s="1">
        <f>(J21-I21)/J21</f>
        <v>0.33846153846153848</v>
      </c>
      <c r="P21">
        <f t="shared" si="4"/>
        <v>1</v>
      </c>
      <c r="Q21">
        <f t="shared" si="5"/>
        <v>0.2153846153846154</v>
      </c>
      <c r="R21">
        <f t="shared" si="6"/>
        <v>0.78461538461538471</v>
      </c>
      <c r="V21" s="1" t="s">
        <v>57</v>
      </c>
      <c r="W21">
        <v>81</v>
      </c>
      <c r="X21">
        <v>10</v>
      </c>
      <c r="Y21">
        <v>6</v>
      </c>
      <c r="Z21">
        <f t="shared" si="1"/>
        <v>65</v>
      </c>
      <c r="AA21">
        <v>0</v>
      </c>
      <c r="AB21">
        <f>38-X21</f>
        <v>28</v>
      </c>
      <c r="AC21">
        <f>AD21-AB21</f>
        <v>16</v>
      </c>
      <c r="AD21">
        <f>54-X21</f>
        <v>44</v>
      </c>
      <c r="AE21">
        <f t="shared" si="2"/>
        <v>65</v>
      </c>
      <c r="AF21">
        <f>AC21/AE21</f>
        <v>0.24615384615384617</v>
      </c>
      <c r="AH21">
        <f>(AB21-AA21)/AE21</f>
        <v>0.43076923076923079</v>
      </c>
      <c r="AI21">
        <f>(AE21-AD21)/AE21</f>
        <v>0.32307692307692309</v>
      </c>
      <c r="AK21">
        <f t="shared" si="8"/>
        <v>1</v>
      </c>
      <c r="AL21">
        <f t="shared" si="9"/>
        <v>0.24615384615384617</v>
      </c>
      <c r="AM21">
        <f t="shared" si="10"/>
        <v>0.75384615384615383</v>
      </c>
      <c r="AR21" t="s">
        <v>40</v>
      </c>
      <c r="AS21">
        <v>42</v>
      </c>
      <c r="AU21">
        <f t="shared" ref="AU21" si="15">($G4-$F4)/$J4</f>
        <v>0.35632183908045978</v>
      </c>
      <c r="AV21">
        <f t="shared" si="13"/>
        <v>0.39080459770114945</v>
      </c>
      <c r="AW21">
        <f t="shared" si="14"/>
        <v>0.25287356321839083</v>
      </c>
    </row>
    <row r="22" spans="1:51" x14ac:dyDescent="0.25">
      <c r="A22" t="s">
        <v>58</v>
      </c>
      <c r="B22">
        <v>73</v>
      </c>
      <c r="C22">
        <v>0</v>
      </c>
      <c r="D22">
        <v>0</v>
      </c>
      <c r="E22">
        <f t="shared" si="0"/>
        <v>73</v>
      </c>
      <c r="F22">
        <v>0</v>
      </c>
      <c r="G22">
        <f>14-C22</f>
        <v>14</v>
      </c>
      <c r="I22">
        <f>47-C22</f>
        <v>47</v>
      </c>
      <c r="J22">
        <f t="shared" si="3"/>
        <v>73</v>
      </c>
      <c r="K22">
        <f>(G22-F22)/J22</f>
        <v>0.19178082191780821</v>
      </c>
      <c r="L22">
        <f>(J22-I22)/J22</f>
        <v>0.35616438356164382</v>
      </c>
      <c r="M22">
        <f>(I22-G22)/J22</f>
        <v>0.45205479452054792</v>
      </c>
      <c r="P22">
        <f t="shared" si="4"/>
        <v>1</v>
      </c>
      <c r="Q22">
        <f t="shared" si="5"/>
        <v>0.54794520547945202</v>
      </c>
      <c r="R22">
        <f t="shared" si="6"/>
        <v>0.45205479452054792</v>
      </c>
      <c r="V22" t="s">
        <v>58</v>
      </c>
      <c r="W22">
        <v>74</v>
      </c>
      <c r="X22">
        <v>0</v>
      </c>
      <c r="Y22">
        <v>0</v>
      </c>
      <c r="Z22">
        <f t="shared" si="1"/>
        <v>74</v>
      </c>
      <c r="AA22">
        <v>0</v>
      </c>
      <c r="AB22">
        <f>14-X22</f>
        <v>14</v>
      </c>
      <c r="AD22">
        <f>47-X22</f>
        <v>47</v>
      </c>
      <c r="AE22">
        <f t="shared" si="2"/>
        <v>74</v>
      </c>
      <c r="AF22">
        <f>(AB22-AA22)/AE22</f>
        <v>0.1891891891891892</v>
      </c>
      <c r="AG22">
        <f>(AE22-AD22)/AE22</f>
        <v>0.36486486486486486</v>
      </c>
      <c r="AH22">
        <f>(AD22-AB22)/AE22</f>
        <v>0.44594594594594594</v>
      </c>
      <c r="AK22">
        <f t="shared" si="8"/>
        <v>1</v>
      </c>
      <c r="AL22">
        <f t="shared" si="9"/>
        <v>0.55405405405405406</v>
      </c>
      <c r="AM22">
        <f t="shared" si="10"/>
        <v>0.44594594594594594</v>
      </c>
      <c r="AR22" t="s">
        <v>42</v>
      </c>
      <c r="AS22">
        <v>12</v>
      </c>
      <c r="AU22">
        <f>($G6-$F6)/$J6</f>
        <v>0.21590909090909091</v>
      </c>
      <c r="AV22">
        <f>($I6-$G6)/$J6</f>
        <v>0.56818181818181823</v>
      </c>
      <c r="AW22">
        <f>($J6-$I6)/$J6</f>
        <v>0.21590909090909091</v>
      </c>
    </row>
    <row r="23" spans="1:51" x14ac:dyDescent="0.25">
      <c r="A23" t="s">
        <v>59</v>
      </c>
      <c r="B23">
        <v>68</v>
      </c>
      <c r="C23">
        <v>0</v>
      </c>
      <c r="D23">
        <v>0</v>
      </c>
      <c r="E23">
        <f t="shared" si="0"/>
        <v>68</v>
      </c>
      <c r="F23">
        <v>0</v>
      </c>
      <c r="G23">
        <f>30-C23</f>
        <v>30</v>
      </c>
      <c r="I23">
        <f>50-C23</f>
        <v>50</v>
      </c>
      <c r="J23">
        <f t="shared" si="3"/>
        <v>68</v>
      </c>
      <c r="K23">
        <f>(G23-F23)/J23</f>
        <v>0.44117647058823528</v>
      </c>
      <c r="L23">
        <f>(J23-I23)/J23</f>
        <v>0.26470588235294118</v>
      </c>
      <c r="M23">
        <f>(I23-G23)/J23</f>
        <v>0.29411764705882354</v>
      </c>
      <c r="P23">
        <f t="shared" si="4"/>
        <v>1</v>
      </c>
      <c r="Q23">
        <f t="shared" si="5"/>
        <v>0.70588235294117641</v>
      </c>
      <c r="R23">
        <f t="shared" si="6"/>
        <v>0.29411764705882354</v>
      </c>
      <c r="V23" t="s">
        <v>59</v>
      </c>
      <c r="W23">
        <v>67</v>
      </c>
      <c r="X23">
        <v>0</v>
      </c>
      <c r="Y23">
        <v>0</v>
      </c>
      <c r="Z23">
        <f t="shared" si="1"/>
        <v>67</v>
      </c>
      <c r="AA23">
        <v>0</v>
      </c>
      <c r="AB23">
        <f>28-X23</f>
        <v>28</v>
      </c>
      <c r="AD23">
        <f>48-X23</f>
        <v>48</v>
      </c>
      <c r="AE23">
        <f t="shared" si="2"/>
        <v>67</v>
      </c>
      <c r="AF23">
        <f>(AB23-AA23)/AE23</f>
        <v>0.41791044776119401</v>
      </c>
      <c r="AG23">
        <f>(AE23-AD23)/AE23</f>
        <v>0.28358208955223879</v>
      </c>
      <c r="AH23">
        <f>(AD23-AB23)/AE23</f>
        <v>0.29850746268656714</v>
      </c>
      <c r="AK23">
        <f t="shared" si="8"/>
        <v>1</v>
      </c>
      <c r="AL23">
        <f t="shared" si="9"/>
        <v>0.70149253731343286</v>
      </c>
      <c r="AM23">
        <f t="shared" si="10"/>
        <v>0.29850746268656714</v>
      </c>
      <c r="AR23" t="s">
        <v>43</v>
      </c>
      <c r="AS23">
        <v>27</v>
      </c>
      <c r="AU23">
        <f>($G7-$F7)/$J7</f>
        <v>0.32222222222222224</v>
      </c>
      <c r="AV23">
        <f>($I7-$G7)/$J7</f>
        <v>0.37777777777777777</v>
      </c>
      <c r="AW23">
        <f>($J7-$I7)/$J7</f>
        <v>0.3</v>
      </c>
    </row>
    <row r="24" spans="1:51" x14ac:dyDescent="0.25">
      <c r="A24" t="s">
        <v>60</v>
      </c>
      <c r="B24">
        <v>67</v>
      </c>
      <c r="C24">
        <v>0</v>
      </c>
      <c r="D24">
        <v>0</v>
      </c>
      <c r="E24">
        <f t="shared" si="0"/>
        <v>67</v>
      </c>
      <c r="F24">
        <v>0</v>
      </c>
      <c r="G24">
        <f>23-C24</f>
        <v>23</v>
      </c>
      <c r="I24">
        <f>40-C24</f>
        <v>40</v>
      </c>
      <c r="J24">
        <f t="shared" si="3"/>
        <v>67</v>
      </c>
      <c r="K24">
        <f>(G24-F24)/J24</f>
        <v>0.34328358208955223</v>
      </c>
      <c r="L24">
        <f>(J24-I24)/J24</f>
        <v>0.40298507462686567</v>
      </c>
      <c r="M24">
        <f>(I24-G24)/J24</f>
        <v>0.2537313432835821</v>
      </c>
      <c r="P24">
        <f t="shared" si="4"/>
        <v>1</v>
      </c>
      <c r="Q24">
        <f t="shared" si="5"/>
        <v>0.74626865671641784</v>
      </c>
      <c r="R24">
        <f t="shared" si="6"/>
        <v>0.2537313432835821</v>
      </c>
      <c r="V24" t="s">
        <v>60</v>
      </c>
      <c r="W24">
        <v>66</v>
      </c>
      <c r="X24">
        <v>0</v>
      </c>
      <c r="Y24">
        <v>0</v>
      </c>
      <c r="Z24">
        <f t="shared" si="1"/>
        <v>66</v>
      </c>
      <c r="AA24">
        <v>0</v>
      </c>
      <c r="AB24">
        <f>22-X24</f>
        <v>22</v>
      </c>
      <c r="AD24">
        <f>39-X24</f>
        <v>39</v>
      </c>
      <c r="AE24">
        <f t="shared" si="2"/>
        <v>66</v>
      </c>
      <c r="AF24">
        <f>(AB24-AA24)/AE24</f>
        <v>0.33333333333333331</v>
      </c>
      <c r="AG24">
        <f>(AE24-AD24)/AE24</f>
        <v>0.40909090909090912</v>
      </c>
      <c r="AH24">
        <f>(AD24-AB24)/AE24</f>
        <v>0.25757575757575757</v>
      </c>
      <c r="AK24">
        <f t="shared" si="8"/>
        <v>1</v>
      </c>
      <c r="AL24">
        <f t="shared" si="9"/>
        <v>0.74242424242424243</v>
      </c>
      <c r="AM24">
        <f t="shared" si="10"/>
        <v>0.25757575757575757</v>
      </c>
      <c r="AR24" t="s">
        <v>44</v>
      </c>
      <c r="AS24">
        <v>42</v>
      </c>
      <c r="AU24">
        <f>($G8-$F8)/$J8</f>
        <v>0.34831460674157305</v>
      </c>
      <c r="AV24">
        <f>($I8-$G8)/$J8</f>
        <v>0.33707865168539325</v>
      </c>
      <c r="AW24">
        <f>($J8-$I8)/$J8</f>
        <v>0.3146067415730337</v>
      </c>
    </row>
    <row r="25" spans="1:51" x14ac:dyDescent="0.25">
      <c r="A25" s="1" t="s">
        <v>61</v>
      </c>
      <c r="B25" s="1">
        <v>81</v>
      </c>
      <c r="C25" s="1">
        <v>11</v>
      </c>
      <c r="D25" s="1">
        <v>6</v>
      </c>
      <c r="E25" s="1">
        <f t="shared" si="0"/>
        <v>64</v>
      </c>
      <c r="F25" s="1">
        <v>0</v>
      </c>
      <c r="G25" s="1">
        <f>32-C25</f>
        <v>21</v>
      </c>
      <c r="H25" s="1">
        <f>I25-G25</f>
        <v>19</v>
      </c>
      <c r="I25" s="1">
        <f>51-C25</f>
        <v>40</v>
      </c>
      <c r="J25" s="1">
        <f t="shared" si="3"/>
        <v>64</v>
      </c>
      <c r="K25" s="1">
        <f>H25/J25</f>
        <v>0.296875</v>
      </c>
      <c r="L25" s="1"/>
      <c r="M25" s="1">
        <f>(G25-F25)/J25</f>
        <v>0.328125</v>
      </c>
      <c r="N25" s="1">
        <f>(J25-I25)/J25</f>
        <v>0.375</v>
      </c>
      <c r="P25">
        <f t="shared" si="4"/>
        <v>1</v>
      </c>
      <c r="Q25">
        <f t="shared" si="5"/>
        <v>0.296875</v>
      </c>
      <c r="R25">
        <f t="shared" si="6"/>
        <v>0.703125</v>
      </c>
      <c r="V25" s="1" t="s">
        <v>61</v>
      </c>
      <c r="W25">
        <v>81</v>
      </c>
      <c r="X25">
        <v>11</v>
      </c>
      <c r="Y25">
        <v>6</v>
      </c>
      <c r="Z25">
        <f t="shared" si="1"/>
        <v>64</v>
      </c>
      <c r="AA25">
        <v>0</v>
      </c>
      <c r="AB25">
        <f>33-X25</f>
        <v>22</v>
      </c>
      <c r="AC25">
        <f>AD25-AB25</f>
        <v>17</v>
      </c>
      <c r="AD25">
        <f>50-X25</f>
        <v>39</v>
      </c>
      <c r="AE25">
        <f t="shared" si="2"/>
        <v>64</v>
      </c>
      <c r="AF25">
        <f>AC25/AE25</f>
        <v>0.265625</v>
      </c>
      <c r="AH25">
        <f>(AB25-AA25)/AE25</f>
        <v>0.34375</v>
      </c>
      <c r="AI25">
        <f>(AE25-AD25)/AE25</f>
        <v>0.390625</v>
      </c>
      <c r="AK25">
        <f t="shared" si="8"/>
        <v>1</v>
      </c>
      <c r="AL25">
        <f t="shared" si="9"/>
        <v>0.265625</v>
      </c>
      <c r="AM25">
        <f t="shared" si="10"/>
        <v>0.734375</v>
      </c>
      <c r="AR25" t="s">
        <v>46</v>
      </c>
      <c r="AS25">
        <v>12</v>
      </c>
      <c r="AU25">
        <f>($G10-$F10)/$J10</f>
        <v>0.12359550561797752</v>
      </c>
      <c r="AV25">
        <f>($I10-$G10)/$J10</f>
        <v>0.7078651685393258</v>
      </c>
      <c r="AW25">
        <f>($J10-$I10)/$J10</f>
        <v>0.16853932584269662</v>
      </c>
    </row>
    <row r="26" spans="1:51" x14ac:dyDescent="0.25">
      <c r="A26" t="s">
        <v>62</v>
      </c>
      <c r="B26">
        <v>76</v>
      </c>
      <c r="C26">
        <v>0</v>
      </c>
      <c r="D26">
        <v>0</v>
      </c>
      <c r="E26">
        <f t="shared" si="0"/>
        <v>76</v>
      </c>
      <c r="F26">
        <v>0</v>
      </c>
      <c r="G26">
        <f>26-C26</f>
        <v>26</v>
      </c>
      <c r="I26">
        <f>56-C26</f>
        <v>56</v>
      </c>
      <c r="J26">
        <f t="shared" si="3"/>
        <v>76</v>
      </c>
      <c r="K26">
        <f>(G26-F26)/J26</f>
        <v>0.34210526315789475</v>
      </c>
      <c r="L26">
        <f>(J26-I26)/J26</f>
        <v>0.26315789473684209</v>
      </c>
      <c r="M26">
        <f>(I26-G26)/J26</f>
        <v>0.39473684210526316</v>
      </c>
      <c r="P26">
        <f t="shared" si="4"/>
        <v>1</v>
      </c>
      <c r="Q26">
        <f t="shared" si="5"/>
        <v>0.60526315789473684</v>
      </c>
      <c r="R26">
        <f t="shared" si="6"/>
        <v>0.39473684210526316</v>
      </c>
      <c r="V26" t="s">
        <v>62</v>
      </c>
      <c r="W26">
        <v>81</v>
      </c>
      <c r="X26">
        <v>3</v>
      </c>
      <c r="Y26">
        <v>5</v>
      </c>
      <c r="Z26">
        <f t="shared" si="1"/>
        <v>73</v>
      </c>
      <c r="AA26">
        <v>0</v>
      </c>
      <c r="AB26">
        <f>26-X26</f>
        <v>23</v>
      </c>
      <c r="AD26">
        <f>56-X26</f>
        <v>53</v>
      </c>
      <c r="AE26">
        <f t="shared" si="2"/>
        <v>73</v>
      </c>
      <c r="AF26">
        <f>(AB26-AA26)/AE26</f>
        <v>0.31506849315068491</v>
      </c>
      <c r="AG26">
        <f>(AE26-AD26)/AE26</f>
        <v>0.27397260273972601</v>
      </c>
      <c r="AH26">
        <f>(AD26-AB26)/AE26</f>
        <v>0.41095890410958902</v>
      </c>
      <c r="AK26">
        <f t="shared" si="8"/>
        <v>0.99999999999999989</v>
      </c>
      <c r="AL26">
        <f t="shared" si="9"/>
        <v>0.58904109589041087</v>
      </c>
      <c r="AM26">
        <f t="shared" si="10"/>
        <v>0.41095890410958902</v>
      </c>
      <c r="AR26" t="s">
        <v>47</v>
      </c>
      <c r="AS26">
        <v>27</v>
      </c>
      <c r="AU26">
        <f>($G11-$F11)/$J11</f>
        <v>0.30337078651685395</v>
      </c>
      <c r="AV26">
        <f>($I11-$G11)/$J11</f>
        <v>0.39325842696629215</v>
      </c>
      <c r="AW26">
        <f>($J11-$I11)/$J11</f>
        <v>0.30337078651685395</v>
      </c>
    </row>
    <row r="27" spans="1:51" x14ac:dyDescent="0.25">
      <c r="A27" t="s">
        <v>63</v>
      </c>
      <c r="B27">
        <v>76</v>
      </c>
      <c r="C27">
        <v>0</v>
      </c>
      <c r="D27">
        <v>0</v>
      </c>
      <c r="E27">
        <f t="shared" si="0"/>
        <v>76</v>
      </c>
      <c r="F27">
        <v>0</v>
      </c>
      <c r="G27">
        <f>26-C27</f>
        <v>26</v>
      </c>
      <c r="I27">
        <f>50-C27</f>
        <v>50</v>
      </c>
      <c r="J27">
        <f t="shared" si="3"/>
        <v>76</v>
      </c>
      <c r="K27">
        <f>(G27-F27)/J27</f>
        <v>0.34210526315789475</v>
      </c>
      <c r="L27">
        <f>(J27-I27)/J27</f>
        <v>0.34210526315789475</v>
      </c>
      <c r="M27">
        <f>(I27-G27)/J27</f>
        <v>0.31578947368421051</v>
      </c>
      <c r="P27">
        <f t="shared" si="4"/>
        <v>1</v>
      </c>
      <c r="Q27">
        <f t="shared" si="5"/>
        <v>0.68421052631578949</v>
      </c>
      <c r="R27">
        <f t="shared" si="6"/>
        <v>0.31578947368421051</v>
      </c>
      <c r="V27" t="s">
        <v>63</v>
      </c>
      <c r="W27">
        <v>81</v>
      </c>
      <c r="X27">
        <v>3</v>
      </c>
      <c r="Y27">
        <v>3</v>
      </c>
      <c r="Z27">
        <f t="shared" si="1"/>
        <v>75</v>
      </c>
      <c r="AA27">
        <f>0</f>
        <v>0</v>
      </c>
      <c r="AB27">
        <f>30-X27</f>
        <v>27</v>
      </c>
      <c r="AD27">
        <f>55-X27</f>
        <v>52</v>
      </c>
      <c r="AE27">
        <f t="shared" si="2"/>
        <v>75</v>
      </c>
      <c r="AF27">
        <f>(AB27-AA27)/AE27</f>
        <v>0.36</v>
      </c>
      <c r="AG27">
        <f>(AE27-AD27)/AE27</f>
        <v>0.30666666666666664</v>
      </c>
      <c r="AH27">
        <f>(AD27-AB27)/AE27</f>
        <v>0.33333333333333331</v>
      </c>
      <c r="AK27">
        <f t="shared" si="8"/>
        <v>1</v>
      </c>
      <c r="AL27">
        <f t="shared" si="9"/>
        <v>0.66666666666666663</v>
      </c>
      <c r="AM27">
        <f t="shared" si="10"/>
        <v>0.33333333333333331</v>
      </c>
      <c r="AR27" t="s">
        <v>48</v>
      </c>
      <c r="AS27">
        <v>42</v>
      </c>
      <c r="AU27">
        <f>($G12-$F12)/$J12</f>
        <v>0.36666666666666664</v>
      </c>
      <c r="AV27">
        <f>($I12-$G12)/$J12</f>
        <v>0.32222222222222224</v>
      </c>
      <c r="AW27">
        <f>($J12-$I12)/$J12</f>
        <v>0.31111111111111112</v>
      </c>
    </row>
    <row r="28" spans="1:51" x14ac:dyDescent="0.25">
      <c r="A28" t="s">
        <v>64</v>
      </c>
      <c r="B28">
        <v>67</v>
      </c>
      <c r="C28">
        <v>0</v>
      </c>
      <c r="D28">
        <v>0</v>
      </c>
      <c r="E28">
        <f t="shared" si="0"/>
        <v>67</v>
      </c>
      <c r="F28">
        <v>0</v>
      </c>
      <c r="G28">
        <f>27-C28</f>
        <v>27</v>
      </c>
      <c r="I28">
        <f>46-C28</f>
        <v>46</v>
      </c>
      <c r="J28">
        <f t="shared" si="3"/>
        <v>67</v>
      </c>
      <c r="K28">
        <f>(G28-F28)/J28</f>
        <v>0.40298507462686567</v>
      </c>
      <c r="L28">
        <f>(J28-I28)/J28</f>
        <v>0.31343283582089554</v>
      </c>
      <c r="M28">
        <f>(I28-G28)/J28</f>
        <v>0.28358208955223879</v>
      </c>
      <c r="P28">
        <f t="shared" si="4"/>
        <v>1</v>
      </c>
      <c r="Q28">
        <f t="shared" si="5"/>
        <v>0.71641791044776126</v>
      </c>
      <c r="R28">
        <f t="shared" si="6"/>
        <v>0.28358208955223879</v>
      </c>
      <c r="V28" t="s">
        <v>64</v>
      </c>
      <c r="W28">
        <v>81</v>
      </c>
      <c r="X28">
        <v>10</v>
      </c>
      <c r="Y28">
        <v>5</v>
      </c>
      <c r="Z28">
        <f t="shared" si="1"/>
        <v>66</v>
      </c>
      <c r="AA28">
        <v>0</v>
      </c>
      <c r="AB28">
        <f>36-X28</f>
        <v>26</v>
      </c>
      <c r="AD28">
        <f>54-X28</f>
        <v>44</v>
      </c>
      <c r="AE28">
        <f t="shared" si="2"/>
        <v>66</v>
      </c>
      <c r="AF28">
        <f>(AB28-AA28)/AE28</f>
        <v>0.39393939393939392</v>
      </c>
      <c r="AG28">
        <f>(AE28-AD28)/AE28</f>
        <v>0.33333333333333331</v>
      </c>
      <c r="AH28">
        <f>(AD28-AB28)/AE28</f>
        <v>0.27272727272727271</v>
      </c>
      <c r="AK28">
        <f t="shared" si="8"/>
        <v>1</v>
      </c>
      <c r="AL28">
        <f t="shared" si="9"/>
        <v>0.72727272727272729</v>
      </c>
      <c r="AM28">
        <f t="shared" si="10"/>
        <v>0.27272727272727271</v>
      </c>
      <c r="AR28" t="s">
        <v>49</v>
      </c>
      <c r="AS28">
        <v>12</v>
      </c>
      <c r="AU28">
        <f>($G14-$F14)/$J14</f>
        <v>0.28000000000000003</v>
      </c>
      <c r="AV28">
        <f>($I14-$G14)/$J14</f>
        <v>0.32</v>
      </c>
      <c r="AW28">
        <f>($J14-$I14)/$J14</f>
        <v>0.4</v>
      </c>
    </row>
    <row r="29" spans="1:51" x14ac:dyDescent="0.25">
      <c r="A29" s="1" t="s">
        <v>65</v>
      </c>
      <c r="B29" s="1">
        <f>74</f>
        <v>74</v>
      </c>
      <c r="C29" s="1">
        <v>6</v>
      </c>
      <c r="D29" s="1">
        <v>0</v>
      </c>
      <c r="E29" s="1">
        <f t="shared" si="0"/>
        <v>68</v>
      </c>
      <c r="F29" s="1">
        <f>0</f>
        <v>0</v>
      </c>
      <c r="G29" s="1">
        <f>29-C29</f>
        <v>23</v>
      </c>
      <c r="H29" s="1">
        <f>I29-G29</f>
        <v>21</v>
      </c>
      <c r="I29" s="1">
        <f>50-C29</f>
        <v>44</v>
      </c>
      <c r="J29" s="1">
        <f t="shared" si="3"/>
        <v>68</v>
      </c>
      <c r="K29" s="1">
        <f>H29/J29</f>
        <v>0.30882352941176472</v>
      </c>
      <c r="L29" s="1"/>
      <c r="M29" s="1">
        <f>(G29-F29)/J29</f>
        <v>0.33823529411764708</v>
      </c>
      <c r="N29" s="1">
        <f>(J29-I29)/J29</f>
        <v>0.35294117647058826</v>
      </c>
      <c r="P29">
        <f t="shared" si="4"/>
        <v>1</v>
      </c>
      <c r="Q29">
        <f t="shared" si="5"/>
        <v>0.30882352941176472</v>
      </c>
      <c r="R29">
        <f t="shared" si="6"/>
        <v>0.69117647058823528</v>
      </c>
      <c r="V29" s="1" t="s">
        <v>65</v>
      </c>
      <c r="W29">
        <f>81+10</f>
        <v>91</v>
      </c>
      <c r="X29">
        <v>17</v>
      </c>
      <c r="Y29">
        <v>0</v>
      </c>
      <c r="Z29">
        <f t="shared" si="1"/>
        <v>74</v>
      </c>
      <c r="AA29">
        <v>0</v>
      </c>
      <c r="AB29">
        <f>40-X29</f>
        <v>23</v>
      </c>
      <c r="AC29">
        <f>AD29-AB29</f>
        <v>22</v>
      </c>
      <c r="AD29">
        <f>62-X29</f>
        <v>45</v>
      </c>
      <c r="AE29">
        <f t="shared" si="2"/>
        <v>74</v>
      </c>
      <c r="AF29">
        <f>AC29/AE29</f>
        <v>0.29729729729729731</v>
      </c>
      <c r="AH29">
        <f>(AB29-AA29)/AE29</f>
        <v>0.3108108108108108</v>
      </c>
      <c r="AI29">
        <f>(AE29-AD29)/AE29</f>
        <v>0.39189189189189189</v>
      </c>
      <c r="AK29">
        <f t="shared" si="8"/>
        <v>1</v>
      </c>
      <c r="AL29">
        <f t="shared" si="9"/>
        <v>0.29729729729729731</v>
      </c>
      <c r="AM29">
        <f t="shared" si="10"/>
        <v>0.70270270270270263</v>
      </c>
      <c r="AR29" t="s">
        <v>51</v>
      </c>
      <c r="AS29">
        <v>27</v>
      </c>
      <c r="AU29">
        <f>($G15-$F15)/$J15</f>
        <v>0.4</v>
      </c>
      <c r="AV29">
        <f>($I15-$G15)/$J15</f>
        <v>0.1</v>
      </c>
      <c r="AW29">
        <f>($J15-$I15)/$J15</f>
        <v>0.5</v>
      </c>
    </row>
    <row r="30" spans="1:51" x14ac:dyDescent="0.25">
      <c r="A30" t="s">
        <v>66</v>
      </c>
      <c r="B30">
        <v>161</v>
      </c>
      <c r="C30">
        <v>0</v>
      </c>
      <c r="D30">
        <v>0</v>
      </c>
      <c r="E30">
        <f t="shared" si="0"/>
        <v>161</v>
      </c>
      <c r="F30">
        <v>0</v>
      </c>
      <c r="G30">
        <f>9-C30</f>
        <v>9</v>
      </c>
      <c r="I30">
        <f>115-C30</f>
        <v>115</v>
      </c>
      <c r="J30">
        <f t="shared" si="3"/>
        <v>161</v>
      </c>
      <c r="K30">
        <f>(G30-F30)/J30</f>
        <v>5.5900621118012424E-2</v>
      </c>
      <c r="L30">
        <f>(J30-I30)/J30</f>
        <v>0.2857142857142857</v>
      </c>
      <c r="M30">
        <f>(I30-G30)/J30</f>
        <v>0.65838509316770188</v>
      </c>
      <c r="P30">
        <f t="shared" si="4"/>
        <v>1</v>
      </c>
      <c r="Q30">
        <f t="shared" si="5"/>
        <v>0.34161490683229812</v>
      </c>
      <c r="R30">
        <f t="shared" si="6"/>
        <v>0.65838509316770188</v>
      </c>
      <c r="V30" t="s">
        <v>66</v>
      </c>
      <c r="W30">
        <v>161</v>
      </c>
      <c r="X30">
        <v>4</v>
      </c>
      <c r="Y30">
        <v>1</v>
      </c>
      <c r="Z30">
        <f t="shared" si="1"/>
        <v>156</v>
      </c>
      <c r="AA30">
        <v>0</v>
      </c>
      <c r="AB30">
        <f>10-X30</f>
        <v>6</v>
      </c>
      <c r="AD30">
        <f>115-X30</f>
        <v>111</v>
      </c>
      <c r="AE30">
        <f t="shared" si="2"/>
        <v>156</v>
      </c>
      <c r="AF30">
        <f>(AB30-AA30)/AE30</f>
        <v>3.8461538461538464E-2</v>
      </c>
      <c r="AG30">
        <f>(AE30-AD30)/AE30</f>
        <v>0.28846153846153844</v>
      </c>
      <c r="AH30">
        <f>(AD30-AB30)/AE30</f>
        <v>0.67307692307692313</v>
      </c>
      <c r="AK30">
        <f t="shared" si="8"/>
        <v>1</v>
      </c>
      <c r="AL30">
        <f t="shared" si="9"/>
        <v>0.32692307692307687</v>
      </c>
      <c r="AM30">
        <f t="shared" si="10"/>
        <v>0.67307692307692313</v>
      </c>
      <c r="AR30" t="s">
        <v>52</v>
      </c>
      <c r="AS30">
        <v>42</v>
      </c>
      <c r="AU30">
        <f>($G16-$F16)/$J16</f>
        <v>0</v>
      </c>
      <c r="AV30">
        <f>($I16-$G16)/$J16</f>
        <v>0</v>
      </c>
      <c r="AW30">
        <f>($J16-$I16)/$J16</f>
        <v>1</v>
      </c>
    </row>
    <row r="31" spans="1:51" x14ac:dyDescent="0.25">
      <c r="A31" t="s">
        <v>67</v>
      </c>
      <c r="B31">
        <v>171</v>
      </c>
      <c r="C31">
        <v>0</v>
      </c>
      <c r="D31">
        <v>0</v>
      </c>
      <c r="E31">
        <f t="shared" si="0"/>
        <v>171</v>
      </c>
      <c r="F31">
        <f>0</f>
        <v>0</v>
      </c>
      <c r="G31">
        <f>31-C31</f>
        <v>31</v>
      </c>
      <c r="I31">
        <f>129-C31</f>
        <v>129</v>
      </c>
      <c r="J31">
        <f t="shared" si="3"/>
        <v>171</v>
      </c>
      <c r="K31">
        <f>(G31-F31)/J31</f>
        <v>0.18128654970760233</v>
      </c>
      <c r="L31">
        <f>(J31-I31)/J31</f>
        <v>0.24561403508771928</v>
      </c>
      <c r="M31">
        <f>(I31-G31)/J31</f>
        <v>0.57309941520467833</v>
      </c>
      <c r="P31">
        <f t="shared" si="4"/>
        <v>1</v>
      </c>
      <c r="Q31">
        <f t="shared" si="5"/>
        <v>0.42690058479532161</v>
      </c>
      <c r="R31">
        <f t="shared" si="6"/>
        <v>0.57309941520467833</v>
      </c>
      <c r="V31" t="s">
        <v>67</v>
      </c>
      <c r="W31">
        <v>171</v>
      </c>
      <c r="X31">
        <f>0</f>
        <v>0</v>
      </c>
      <c r="Y31">
        <f>0</f>
        <v>0</v>
      </c>
      <c r="Z31">
        <f t="shared" si="1"/>
        <v>171</v>
      </c>
      <c r="AA31">
        <v>0</v>
      </c>
      <c r="AB31">
        <f>32-X31</f>
        <v>32</v>
      </c>
      <c r="AD31">
        <f>127-X31</f>
        <v>127</v>
      </c>
      <c r="AE31">
        <f t="shared" si="2"/>
        <v>171</v>
      </c>
      <c r="AF31">
        <f>(AB31-AA31)/AE31</f>
        <v>0.1871345029239766</v>
      </c>
      <c r="AG31">
        <f>(AE31-AD31)/AE31</f>
        <v>0.25730994152046782</v>
      </c>
      <c r="AH31">
        <f>(AD31-AB31)/AE31</f>
        <v>0.55555555555555558</v>
      </c>
      <c r="AK31">
        <f t="shared" si="8"/>
        <v>1</v>
      </c>
      <c r="AL31">
        <f t="shared" si="9"/>
        <v>0.44444444444444442</v>
      </c>
      <c r="AM31">
        <f t="shared" si="10"/>
        <v>0.55555555555555558</v>
      </c>
      <c r="AR31" t="s">
        <v>54</v>
      </c>
      <c r="AS31">
        <v>12</v>
      </c>
      <c r="AU31">
        <f>($G18-$F18)/$J18</f>
        <v>0.30263157894736842</v>
      </c>
      <c r="AV31">
        <f>($I18-$G18)/$J18</f>
        <v>0.35526315789473684</v>
      </c>
      <c r="AW31">
        <f>($J18-$I18)/$J18</f>
        <v>0.34210526315789475</v>
      </c>
    </row>
    <row r="32" spans="1:51" x14ac:dyDescent="0.25">
      <c r="A32" t="s">
        <v>68</v>
      </c>
      <c r="B32">
        <v>177</v>
      </c>
      <c r="C32">
        <v>5</v>
      </c>
      <c r="D32">
        <v>0</v>
      </c>
      <c r="E32">
        <f t="shared" si="0"/>
        <v>172</v>
      </c>
      <c r="F32">
        <f>0</f>
        <v>0</v>
      </c>
      <c r="G32">
        <f>34-C32</f>
        <v>29</v>
      </c>
      <c r="I32">
        <f>128-C32</f>
        <v>123</v>
      </c>
      <c r="J32">
        <f t="shared" si="3"/>
        <v>172</v>
      </c>
      <c r="K32">
        <f>(G32-F32)/J32</f>
        <v>0.16860465116279069</v>
      </c>
      <c r="L32">
        <f>(J32-I32)/J32</f>
        <v>0.28488372093023256</v>
      </c>
      <c r="M32">
        <f>(I32-G32)/J32</f>
        <v>0.54651162790697672</v>
      </c>
      <c r="P32">
        <f t="shared" si="4"/>
        <v>1</v>
      </c>
      <c r="Q32">
        <f t="shared" si="5"/>
        <v>0.45348837209302328</v>
      </c>
      <c r="R32">
        <f t="shared" si="6"/>
        <v>0.54651162790697672</v>
      </c>
      <c r="V32" t="s">
        <v>68</v>
      </c>
      <c r="W32">
        <v>175</v>
      </c>
      <c r="X32">
        <v>3</v>
      </c>
      <c r="Y32">
        <v>0</v>
      </c>
      <c r="Z32">
        <f t="shared" si="1"/>
        <v>172</v>
      </c>
      <c r="AA32">
        <v>0</v>
      </c>
      <c r="AB32">
        <f>39-X32</f>
        <v>36</v>
      </c>
      <c r="AD32">
        <f>127-X32</f>
        <v>124</v>
      </c>
      <c r="AE32">
        <f t="shared" si="2"/>
        <v>172</v>
      </c>
      <c r="AF32">
        <f>(AB32-AA32)/AE32</f>
        <v>0.20930232558139536</v>
      </c>
      <c r="AG32">
        <f>(AE32-AD32)/AE32</f>
        <v>0.27906976744186046</v>
      </c>
      <c r="AH32">
        <f>(AD32-AB32)/AE32</f>
        <v>0.51162790697674421</v>
      </c>
      <c r="AK32">
        <f t="shared" si="8"/>
        <v>1</v>
      </c>
      <c r="AL32">
        <f t="shared" si="9"/>
        <v>0.48837209302325579</v>
      </c>
      <c r="AM32">
        <f t="shared" si="10"/>
        <v>0.51162790697674421</v>
      </c>
      <c r="AR32" t="s">
        <v>55</v>
      </c>
      <c r="AS32">
        <v>27</v>
      </c>
      <c r="AU32">
        <f>($G19-$F19)/$J19</f>
        <v>0.34848484848484851</v>
      </c>
      <c r="AV32">
        <f>($I19-$G19)/$J19</f>
        <v>0.30303030303030304</v>
      </c>
      <c r="AW32">
        <f>($J19-$I19)/$J19</f>
        <v>0.34848484848484851</v>
      </c>
    </row>
    <row r="33" spans="1:49" x14ac:dyDescent="0.25">
      <c r="A33" s="1" t="s">
        <v>69</v>
      </c>
      <c r="B33" s="1">
        <v>181</v>
      </c>
      <c r="C33" s="1">
        <v>13</v>
      </c>
      <c r="D33" s="1">
        <v>3</v>
      </c>
      <c r="E33" s="1">
        <f t="shared" si="0"/>
        <v>165</v>
      </c>
      <c r="F33" s="1">
        <v>0</v>
      </c>
      <c r="G33" s="1">
        <f>53-C33</f>
        <v>40</v>
      </c>
      <c r="H33" s="1">
        <f>I33-G33</f>
        <v>84</v>
      </c>
      <c r="I33" s="1">
        <f>137-C33</f>
        <v>124</v>
      </c>
      <c r="J33" s="1">
        <f t="shared" si="3"/>
        <v>165</v>
      </c>
      <c r="K33" s="1">
        <f>H33/J33</f>
        <v>0.50909090909090904</v>
      </c>
      <c r="L33" s="1"/>
      <c r="M33" s="1">
        <f>(G33-F33)/J33</f>
        <v>0.24242424242424243</v>
      </c>
      <c r="N33" s="1">
        <f>(J33-I33)/J33</f>
        <v>0.24848484848484848</v>
      </c>
      <c r="P33">
        <f t="shared" si="4"/>
        <v>1</v>
      </c>
      <c r="Q33">
        <f t="shared" si="5"/>
        <v>0.50909090909090904</v>
      </c>
      <c r="R33">
        <f t="shared" si="6"/>
        <v>0.49090909090909091</v>
      </c>
      <c r="V33" s="1" t="s">
        <v>69</v>
      </c>
      <c r="W33">
        <v>169</v>
      </c>
      <c r="X33">
        <v>1</v>
      </c>
      <c r="Y33">
        <v>4</v>
      </c>
      <c r="Z33">
        <f t="shared" si="1"/>
        <v>164</v>
      </c>
      <c r="AA33">
        <v>0</v>
      </c>
      <c r="AB33">
        <f>47-X33</f>
        <v>46</v>
      </c>
      <c r="AC33">
        <f>AD33-AB33</f>
        <v>84</v>
      </c>
      <c r="AD33">
        <f>131-X33</f>
        <v>130</v>
      </c>
      <c r="AE33">
        <f t="shared" si="2"/>
        <v>164</v>
      </c>
      <c r="AF33">
        <f>AC33/AE33</f>
        <v>0.51219512195121952</v>
      </c>
      <c r="AH33">
        <f>(AB33-AA33)/AE33</f>
        <v>0.28048780487804881</v>
      </c>
      <c r="AI33">
        <f>(AE33-AD33)/AE33</f>
        <v>0.2073170731707317</v>
      </c>
      <c r="AK33">
        <f t="shared" si="8"/>
        <v>1</v>
      </c>
      <c r="AL33">
        <f t="shared" si="9"/>
        <v>0.51219512195121952</v>
      </c>
      <c r="AM33">
        <f t="shared" si="10"/>
        <v>0.48780487804878048</v>
      </c>
      <c r="AR33" t="s">
        <v>56</v>
      </c>
      <c r="AS33">
        <v>42</v>
      </c>
      <c r="AU33">
        <f>($G20-$F20)/$J20</f>
        <v>0.43076923076923079</v>
      </c>
      <c r="AV33">
        <f>($I20-$G20)/$J20</f>
        <v>0.33846153846153848</v>
      </c>
      <c r="AW33">
        <f>($J20-$I20)/$J20</f>
        <v>0.23076923076923078</v>
      </c>
    </row>
    <row r="34" spans="1:49" x14ac:dyDescent="0.25">
      <c r="A34" t="s">
        <v>70</v>
      </c>
      <c r="B34">
        <v>191</v>
      </c>
      <c r="C34">
        <f>5</f>
        <v>5</v>
      </c>
      <c r="D34">
        <v>11</v>
      </c>
      <c r="E34">
        <f t="shared" ref="E34:E49" si="16">B34-SUM(C34:D34)</f>
        <v>175</v>
      </c>
      <c r="F34">
        <f>0</f>
        <v>0</v>
      </c>
      <c r="G34">
        <f>31-C34</f>
        <v>26</v>
      </c>
      <c r="I34">
        <f>136-C34</f>
        <v>131</v>
      </c>
      <c r="J34">
        <f t="shared" ref="J34:J49" si="17">E34</f>
        <v>175</v>
      </c>
      <c r="K34">
        <f>(G34-F34)/J34</f>
        <v>0.14857142857142858</v>
      </c>
      <c r="L34">
        <f>(J34-I34)/J34</f>
        <v>0.25142857142857145</v>
      </c>
      <c r="M34">
        <f>(I34-G34)/J34</f>
        <v>0.6</v>
      </c>
      <c r="P34">
        <f t="shared" si="4"/>
        <v>1</v>
      </c>
      <c r="Q34">
        <f t="shared" si="5"/>
        <v>0.4</v>
      </c>
      <c r="R34">
        <f t="shared" si="6"/>
        <v>0.6</v>
      </c>
      <c r="V34" t="s">
        <v>70</v>
      </c>
      <c r="W34">
        <v>174</v>
      </c>
      <c r="X34">
        <v>0</v>
      </c>
      <c r="Y34">
        <v>5</v>
      </c>
      <c r="Z34">
        <f t="shared" si="1"/>
        <v>169</v>
      </c>
      <c r="AA34">
        <f>0</f>
        <v>0</v>
      </c>
      <c r="AB34">
        <f>26-X34</f>
        <v>26</v>
      </c>
      <c r="AD34">
        <f>121-X34</f>
        <v>121</v>
      </c>
      <c r="AE34">
        <f t="shared" si="2"/>
        <v>169</v>
      </c>
      <c r="AF34">
        <f>(AB34-AA34)/AE34</f>
        <v>0.15384615384615385</v>
      </c>
      <c r="AG34">
        <f>(AE34-AD34)/AE34</f>
        <v>0.28402366863905326</v>
      </c>
      <c r="AH34">
        <f>(AD34-AB34)/AE34</f>
        <v>0.56213017751479288</v>
      </c>
      <c r="AK34">
        <f t="shared" si="8"/>
        <v>1</v>
      </c>
      <c r="AL34">
        <f t="shared" si="9"/>
        <v>0.43786982248520712</v>
      </c>
      <c r="AM34">
        <f t="shared" si="10"/>
        <v>0.56213017751479288</v>
      </c>
      <c r="AR34" t="s">
        <v>58</v>
      </c>
      <c r="AS34">
        <v>12</v>
      </c>
      <c r="AU34">
        <f>($G22-$F22)/$J22</f>
        <v>0.19178082191780821</v>
      </c>
      <c r="AV34">
        <f>($I22-$G22)/$J22</f>
        <v>0.45205479452054792</v>
      </c>
      <c r="AW34">
        <f>($J22-$I22)/$J22</f>
        <v>0.35616438356164382</v>
      </c>
    </row>
    <row r="35" spans="1:49" x14ac:dyDescent="0.25">
      <c r="A35" t="s">
        <v>71</v>
      </c>
      <c r="B35">
        <v>180</v>
      </c>
      <c r="C35">
        <v>5</v>
      </c>
      <c r="D35">
        <v>13</v>
      </c>
      <c r="E35">
        <f t="shared" si="16"/>
        <v>162</v>
      </c>
      <c r="F35">
        <v>0</v>
      </c>
      <c r="G35">
        <f>30-C35</f>
        <v>25</v>
      </c>
      <c r="I35">
        <f>140-C35</f>
        <v>135</v>
      </c>
      <c r="J35">
        <f t="shared" si="17"/>
        <v>162</v>
      </c>
      <c r="K35">
        <f>(G35-F35)/J35</f>
        <v>0.15432098765432098</v>
      </c>
      <c r="L35">
        <f>(J35-I35)/J35</f>
        <v>0.16666666666666666</v>
      </c>
      <c r="M35">
        <f>(I35-G35)/J35</f>
        <v>0.67901234567901236</v>
      </c>
      <c r="P35">
        <f t="shared" si="4"/>
        <v>1</v>
      </c>
      <c r="Q35">
        <f t="shared" si="5"/>
        <v>0.32098765432098764</v>
      </c>
      <c r="R35">
        <f t="shared" si="6"/>
        <v>0.67901234567901236</v>
      </c>
      <c r="V35" t="s">
        <v>71</v>
      </c>
      <c r="W35">
        <f>170</f>
        <v>170</v>
      </c>
      <c r="X35">
        <v>2</v>
      </c>
      <c r="Y35">
        <v>5</v>
      </c>
      <c r="Z35">
        <f t="shared" si="1"/>
        <v>163</v>
      </c>
      <c r="AA35">
        <v>0</v>
      </c>
      <c r="AB35">
        <f>26-X35</f>
        <v>24</v>
      </c>
      <c r="AD35">
        <f>135-X35</f>
        <v>133</v>
      </c>
      <c r="AE35">
        <f t="shared" si="2"/>
        <v>163</v>
      </c>
      <c r="AF35">
        <f>(AB35-AA35)/AE35</f>
        <v>0.14723926380368099</v>
      </c>
      <c r="AG35">
        <f>(AE35-AD35)/AE35</f>
        <v>0.18404907975460122</v>
      </c>
      <c r="AH35">
        <f>(AD35-AB35)/AE35</f>
        <v>0.66871165644171782</v>
      </c>
      <c r="AK35">
        <f t="shared" si="8"/>
        <v>1</v>
      </c>
      <c r="AL35">
        <f t="shared" si="9"/>
        <v>0.33128834355828218</v>
      </c>
      <c r="AM35">
        <f t="shared" si="10"/>
        <v>0.66871165644171782</v>
      </c>
      <c r="AR35" t="s">
        <v>59</v>
      </c>
      <c r="AS35">
        <v>27</v>
      </c>
      <c r="AU35">
        <f>($G23-$F23)/$J23</f>
        <v>0.44117647058823528</v>
      </c>
      <c r="AV35">
        <f>($I23-$G23)/$J23</f>
        <v>0.29411764705882354</v>
      </c>
      <c r="AW35">
        <f>($J23-$I23)/$J23</f>
        <v>0.26470588235294118</v>
      </c>
    </row>
    <row r="36" spans="1:49" x14ac:dyDescent="0.25">
      <c r="A36" t="s">
        <v>72</v>
      </c>
      <c r="B36">
        <v>166</v>
      </c>
      <c r="C36">
        <v>4</v>
      </c>
      <c r="D36">
        <v>5</v>
      </c>
      <c r="E36">
        <f t="shared" si="16"/>
        <v>157</v>
      </c>
      <c r="F36">
        <v>0</v>
      </c>
      <c r="G36">
        <f>31-C36</f>
        <v>27</v>
      </c>
      <c r="I36">
        <f>124-C36</f>
        <v>120</v>
      </c>
      <c r="J36">
        <f t="shared" si="17"/>
        <v>157</v>
      </c>
      <c r="K36">
        <f>(G36-F36)/J36</f>
        <v>0.17197452229299362</v>
      </c>
      <c r="L36">
        <f>(J36-I36)/J36</f>
        <v>0.2356687898089172</v>
      </c>
      <c r="M36">
        <f>(I36-G36)/J36</f>
        <v>0.59235668789808915</v>
      </c>
      <c r="P36">
        <f t="shared" si="4"/>
        <v>1</v>
      </c>
      <c r="Q36">
        <f t="shared" si="5"/>
        <v>0.40764331210191085</v>
      </c>
      <c r="R36">
        <f t="shared" si="6"/>
        <v>0.59235668789808915</v>
      </c>
      <c r="V36" t="s">
        <v>72</v>
      </c>
      <c r="W36">
        <v>161</v>
      </c>
      <c r="X36">
        <v>2</v>
      </c>
      <c r="Y36">
        <v>2</v>
      </c>
      <c r="Z36">
        <f t="shared" si="1"/>
        <v>157</v>
      </c>
      <c r="AA36">
        <v>0</v>
      </c>
      <c r="AB36">
        <f>30-X36</f>
        <v>28</v>
      </c>
      <c r="AD36">
        <f>124-X36</f>
        <v>122</v>
      </c>
      <c r="AE36">
        <f t="shared" si="2"/>
        <v>157</v>
      </c>
      <c r="AF36">
        <f>(AB36-AA36)/AE36</f>
        <v>0.17834394904458598</v>
      </c>
      <c r="AG36">
        <f>(AE36-AD36)/AE36</f>
        <v>0.22292993630573249</v>
      </c>
      <c r="AH36">
        <f>(AD36-AB36)/AE36</f>
        <v>0.59872611464968151</v>
      </c>
      <c r="AK36">
        <f t="shared" si="8"/>
        <v>1</v>
      </c>
      <c r="AL36">
        <f t="shared" si="9"/>
        <v>0.40127388535031849</v>
      </c>
      <c r="AM36">
        <f t="shared" si="10"/>
        <v>0.59872611464968151</v>
      </c>
      <c r="AR36" t="s">
        <v>60</v>
      </c>
      <c r="AS36">
        <v>42</v>
      </c>
      <c r="AU36">
        <f>($G24-$F24)/$J24</f>
        <v>0.34328358208955223</v>
      </c>
      <c r="AV36">
        <f>($I24-$G24)/$J24</f>
        <v>0.2537313432835821</v>
      </c>
      <c r="AW36">
        <f>($J24-$I24)/$J24</f>
        <v>0.40298507462686567</v>
      </c>
    </row>
    <row r="37" spans="1:49" x14ac:dyDescent="0.25">
      <c r="A37" s="1" t="s">
        <v>73</v>
      </c>
      <c r="B37" s="1">
        <v>182</v>
      </c>
      <c r="C37" s="1">
        <v>3</v>
      </c>
      <c r="D37" s="1">
        <v>12</v>
      </c>
      <c r="E37" s="1">
        <f t="shared" si="16"/>
        <v>167</v>
      </c>
      <c r="F37" s="1">
        <f>0</f>
        <v>0</v>
      </c>
      <c r="G37" s="1">
        <f>35-C37</f>
        <v>32</v>
      </c>
      <c r="H37" s="1">
        <f>I37-G37</f>
        <v>104</v>
      </c>
      <c r="I37" s="1">
        <f>139-C37</f>
        <v>136</v>
      </c>
      <c r="J37" s="1">
        <f t="shared" si="17"/>
        <v>167</v>
      </c>
      <c r="K37" s="1">
        <f>H37/J37</f>
        <v>0.6227544910179641</v>
      </c>
      <c r="L37" s="1"/>
      <c r="M37" s="1">
        <f>(G37-F37)/J37</f>
        <v>0.19161676646706588</v>
      </c>
      <c r="N37" s="1">
        <f>(J37-I37)/J37</f>
        <v>0.18562874251497005</v>
      </c>
      <c r="P37">
        <f t="shared" si="4"/>
        <v>1</v>
      </c>
      <c r="Q37">
        <f t="shared" si="5"/>
        <v>0.6227544910179641</v>
      </c>
      <c r="R37">
        <f t="shared" si="6"/>
        <v>0.3772455089820359</v>
      </c>
      <c r="V37" s="1" t="s">
        <v>73</v>
      </c>
      <c r="W37">
        <v>179</v>
      </c>
      <c r="X37">
        <v>2</v>
      </c>
      <c r="Y37">
        <v>12</v>
      </c>
      <c r="Z37">
        <f t="shared" si="1"/>
        <v>165</v>
      </c>
      <c r="AA37">
        <v>0</v>
      </c>
      <c r="AB37">
        <f>34-X37</f>
        <v>32</v>
      </c>
      <c r="AC37">
        <f>AD37-AB37</f>
        <v>102</v>
      </c>
      <c r="AD37">
        <f>136-X37</f>
        <v>134</v>
      </c>
      <c r="AE37">
        <f t="shared" si="2"/>
        <v>165</v>
      </c>
      <c r="AF37">
        <f>AC37/AE37</f>
        <v>0.61818181818181817</v>
      </c>
      <c r="AH37">
        <f>(AB37-AA37)/AE37</f>
        <v>0.19393939393939394</v>
      </c>
      <c r="AI37">
        <f>(AE37-AD37)/AE37</f>
        <v>0.18787878787878787</v>
      </c>
      <c r="AK37">
        <f t="shared" si="8"/>
        <v>1</v>
      </c>
      <c r="AL37">
        <f t="shared" si="9"/>
        <v>0.61818181818181817</v>
      </c>
      <c r="AM37">
        <f t="shared" si="10"/>
        <v>0.38181818181818183</v>
      </c>
      <c r="AR37" t="s">
        <v>62</v>
      </c>
      <c r="AS37">
        <v>12</v>
      </c>
      <c r="AU37">
        <f>($G26-$F26)/$J26</f>
        <v>0.34210526315789475</v>
      </c>
      <c r="AV37">
        <f>($I26-$G26)/$J26</f>
        <v>0.39473684210526316</v>
      </c>
      <c r="AW37">
        <f>($J26-$I26)/$J26</f>
        <v>0.26315789473684209</v>
      </c>
    </row>
    <row r="38" spans="1:49" x14ac:dyDescent="0.25">
      <c r="A38" t="s">
        <v>80</v>
      </c>
      <c r="B38">
        <v>81</v>
      </c>
      <c r="C38">
        <v>0</v>
      </c>
      <c r="D38">
        <v>0</v>
      </c>
      <c r="E38">
        <f t="shared" si="16"/>
        <v>81</v>
      </c>
      <c r="F38">
        <v>0</v>
      </c>
      <c r="G38">
        <v>0</v>
      </c>
      <c r="I38">
        <v>0</v>
      </c>
      <c r="J38">
        <f t="shared" si="17"/>
        <v>81</v>
      </c>
      <c r="K38">
        <f>(F38-G38)/J38</f>
        <v>0</v>
      </c>
      <c r="L38">
        <f>(J38-I38)/J38</f>
        <v>1</v>
      </c>
      <c r="M38">
        <f>(I38-G38)/J38</f>
        <v>0</v>
      </c>
      <c r="P38">
        <f t="shared" si="4"/>
        <v>1</v>
      </c>
      <c r="Q38">
        <f t="shared" si="5"/>
        <v>1</v>
      </c>
      <c r="R38">
        <f t="shared" si="6"/>
        <v>0</v>
      </c>
      <c r="S38" s="3"/>
      <c r="V38" t="s">
        <v>80</v>
      </c>
      <c r="AK38">
        <f t="shared" si="8"/>
        <v>0</v>
      </c>
      <c r="AL38">
        <f t="shared" si="9"/>
        <v>0</v>
      </c>
      <c r="AM38">
        <f t="shared" si="10"/>
        <v>0</v>
      </c>
      <c r="AR38" t="s">
        <v>63</v>
      </c>
      <c r="AS38">
        <v>27</v>
      </c>
      <c r="AU38">
        <f>($G27-$F27)/$J27</f>
        <v>0.34210526315789475</v>
      </c>
      <c r="AV38">
        <f>($I27-$G27)/$J27</f>
        <v>0.31578947368421051</v>
      </c>
      <c r="AW38">
        <f>($J27-$I27)/$J27</f>
        <v>0.34210526315789475</v>
      </c>
    </row>
    <row r="39" spans="1:49" x14ac:dyDescent="0.25">
      <c r="A39" t="s">
        <v>81</v>
      </c>
      <c r="B39">
        <v>81</v>
      </c>
      <c r="C39">
        <v>0</v>
      </c>
      <c r="D39">
        <v>0</v>
      </c>
      <c r="E39">
        <f t="shared" si="16"/>
        <v>81</v>
      </c>
      <c r="F39">
        <v>0</v>
      </c>
      <c r="G39">
        <f>31-C39</f>
        <v>31</v>
      </c>
      <c r="I39">
        <f>55-C39</f>
        <v>55</v>
      </c>
      <c r="J39">
        <f t="shared" si="17"/>
        <v>81</v>
      </c>
      <c r="K39">
        <f>(G39-F39)/J39</f>
        <v>0.38271604938271603</v>
      </c>
      <c r="L39">
        <f>(J39-I39)/J39</f>
        <v>0.32098765432098764</v>
      </c>
      <c r="M39">
        <f>(I39-G39)/J39</f>
        <v>0.29629629629629628</v>
      </c>
      <c r="P39">
        <f t="shared" si="4"/>
        <v>1</v>
      </c>
      <c r="Q39">
        <f t="shared" si="5"/>
        <v>0.70370370370370372</v>
      </c>
      <c r="R39">
        <f t="shared" si="6"/>
        <v>0.29629629629629628</v>
      </c>
      <c r="V39" t="s">
        <v>81</v>
      </c>
      <c r="W39">
        <v>81</v>
      </c>
      <c r="X39">
        <v>0</v>
      </c>
      <c r="Y39">
        <f>1</f>
        <v>1</v>
      </c>
      <c r="Z39">
        <f t="shared" ref="Z39:Z49" si="18">W39-SUM(X39:Y39)</f>
        <v>80</v>
      </c>
      <c r="AA39">
        <v>0</v>
      </c>
      <c r="AB39">
        <f>31-X39</f>
        <v>31</v>
      </c>
      <c r="AD39">
        <f>53-X39</f>
        <v>53</v>
      </c>
      <c r="AE39">
        <f t="shared" ref="AE39:AE49" si="19">Z39</f>
        <v>80</v>
      </c>
      <c r="AF39">
        <f>(AB39-AA39)/AE39</f>
        <v>0.38750000000000001</v>
      </c>
      <c r="AG39">
        <f>(AE39-AD39)/AE39</f>
        <v>0.33750000000000002</v>
      </c>
      <c r="AH39">
        <f>(AD39-AB39)/AE39</f>
        <v>0.27500000000000002</v>
      </c>
      <c r="AK39">
        <f t="shared" si="8"/>
        <v>1</v>
      </c>
      <c r="AL39">
        <f t="shared" si="9"/>
        <v>0.72500000000000009</v>
      </c>
      <c r="AM39">
        <f t="shared" si="10"/>
        <v>0.27500000000000002</v>
      </c>
      <c r="AR39" t="s">
        <v>64</v>
      </c>
      <c r="AS39">
        <v>42</v>
      </c>
      <c r="AU39">
        <f>($G28-$F28)/$J28</f>
        <v>0.40298507462686567</v>
      </c>
      <c r="AV39">
        <f>($I28-$G28)/$J28</f>
        <v>0.28358208955223879</v>
      </c>
      <c r="AW39">
        <f>($J28-$I28)/$J28</f>
        <v>0.31343283582089554</v>
      </c>
    </row>
    <row r="40" spans="1:49" x14ac:dyDescent="0.25">
      <c r="A40" t="s">
        <v>82</v>
      </c>
      <c r="B40">
        <v>81</v>
      </c>
      <c r="C40">
        <v>3</v>
      </c>
      <c r="D40">
        <f>0</f>
        <v>0</v>
      </c>
      <c r="E40">
        <f t="shared" si="16"/>
        <v>78</v>
      </c>
      <c r="F40">
        <v>0</v>
      </c>
      <c r="G40">
        <f>33-C40</f>
        <v>30</v>
      </c>
      <c r="I40">
        <f>46-C40</f>
        <v>43</v>
      </c>
      <c r="J40">
        <f t="shared" si="17"/>
        <v>78</v>
      </c>
      <c r="K40">
        <f>(G40-F40)/J40</f>
        <v>0.38461538461538464</v>
      </c>
      <c r="L40">
        <f>(J40-I40)/J40</f>
        <v>0.44871794871794873</v>
      </c>
      <c r="M40">
        <f>(I40-G40)/J40</f>
        <v>0.16666666666666666</v>
      </c>
      <c r="P40">
        <f t="shared" si="4"/>
        <v>1</v>
      </c>
      <c r="Q40">
        <f t="shared" si="5"/>
        <v>0.83333333333333337</v>
      </c>
      <c r="R40">
        <f t="shared" si="6"/>
        <v>0.16666666666666666</v>
      </c>
      <c r="V40" t="s">
        <v>82</v>
      </c>
      <c r="W40">
        <v>81</v>
      </c>
      <c r="X40">
        <v>3</v>
      </c>
      <c r="Y40">
        <v>2</v>
      </c>
      <c r="Z40">
        <f t="shared" si="18"/>
        <v>76</v>
      </c>
      <c r="AA40">
        <v>0</v>
      </c>
      <c r="AB40">
        <f>33-X40</f>
        <v>30</v>
      </c>
      <c r="AD40">
        <f>46-X40</f>
        <v>43</v>
      </c>
      <c r="AE40">
        <f t="shared" si="19"/>
        <v>76</v>
      </c>
      <c r="AF40">
        <f>(AB40-AA40)/AE40</f>
        <v>0.39473684210526316</v>
      </c>
      <c r="AG40">
        <f>(AE40-AD40)/AE40</f>
        <v>0.43421052631578949</v>
      </c>
      <c r="AH40">
        <f>(AD40-AB40)/AE40</f>
        <v>0.17105263157894737</v>
      </c>
      <c r="AK40">
        <f t="shared" si="8"/>
        <v>1</v>
      </c>
      <c r="AL40">
        <f t="shared" si="9"/>
        <v>0.82894736842105265</v>
      </c>
      <c r="AM40">
        <f t="shared" si="10"/>
        <v>0.17105263157894737</v>
      </c>
      <c r="AR40" t="s">
        <v>66</v>
      </c>
      <c r="AS40">
        <v>12</v>
      </c>
      <c r="AU40">
        <f>($G30-$F30)/$J30</f>
        <v>5.5900621118012424E-2</v>
      </c>
      <c r="AV40">
        <f>($I30-$G30)/$J30</f>
        <v>0.65838509316770188</v>
      </c>
      <c r="AW40">
        <f>($J30-$I30)/$J30</f>
        <v>0.2857142857142857</v>
      </c>
    </row>
    <row r="41" spans="1:49" x14ac:dyDescent="0.25">
      <c r="A41" s="1" t="s">
        <v>83</v>
      </c>
      <c r="B41" s="1">
        <v>101</v>
      </c>
      <c r="C41" s="1">
        <v>18</v>
      </c>
      <c r="D41" s="1">
        <v>18</v>
      </c>
      <c r="E41" s="1">
        <f t="shared" si="16"/>
        <v>65</v>
      </c>
      <c r="F41" s="1">
        <f>0</f>
        <v>0</v>
      </c>
      <c r="G41" s="1">
        <f>41-C41</f>
        <v>23</v>
      </c>
      <c r="H41" s="1">
        <f>I41-G41</f>
        <v>23</v>
      </c>
      <c r="I41" s="1">
        <f>64-C41</f>
        <v>46</v>
      </c>
      <c r="J41" s="1">
        <f t="shared" si="17"/>
        <v>65</v>
      </c>
      <c r="K41" s="1">
        <f>H41/J41</f>
        <v>0.35384615384615387</v>
      </c>
      <c r="L41" s="1"/>
      <c r="M41" s="1">
        <f>(G41-F41)/J41</f>
        <v>0.35384615384615387</v>
      </c>
      <c r="N41" s="1">
        <f>(J41-I41)/J41</f>
        <v>0.29230769230769232</v>
      </c>
      <c r="P41">
        <f t="shared" si="4"/>
        <v>1</v>
      </c>
      <c r="Q41">
        <f t="shared" si="5"/>
        <v>0.35384615384615387</v>
      </c>
      <c r="R41">
        <f t="shared" si="6"/>
        <v>0.64615384615384619</v>
      </c>
      <c r="V41" s="1" t="s">
        <v>83</v>
      </c>
      <c r="W41">
        <v>101</v>
      </c>
      <c r="X41">
        <v>19</v>
      </c>
      <c r="Y41">
        <v>17</v>
      </c>
      <c r="Z41">
        <f t="shared" si="18"/>
        <v>65</v>
      </c>
      <c r="AA41">
        <v>0</v>
      </c>
      <c r="AB41">
        <f>42-X41</f>
        <v>23</v>
      </c>
      <c r="AC41">
        <f>AD41-AB41</f>
        <v>22</v>
      </c>
      <c r="AD41">
        <f>64-X41</f>
        <v>45</v>
      </c>
      <c r="AE41">
        <f t="shared" si="19"/>
        <v>65</v>
      </c>
      <c r="AF41">
        <f>AC41/AE41</f>
        <v>0.33846153846153848</v>
      </c>
      <c r="AH41">
        <f>(AB41-AA41)/AE41</f>
        <v>0.35384615384615387</v>
      </c>
      <c r="AI41">
        <f>(AE41-AD41)/AE41</f>
        <v>0.30769230769230771</v>
      </c>
      <c r="AK41">
        <f t="shared" si="8"/>
        <v>1</v>
      </c>
      <c r="AL41">
        <f t="shared" si="9"/>
        <v>0.33846153846153848</v>
      </c>
      <c r="AM41">
        <f t="shared" si="10"/>
        <v>0.66153846153846163</v>
      </c>
      <c r="AR41" t="s">
        <v>67</v>
      </c>
      <c r="AS41">
        <v>27</v>
      </c>
      <c r="AU41">
        <f>($G31-$F31)/$J31</f>
        <v>0.18128654970760233</v>
      </c>
      <c r="AV41">
        <f>($I31-$G31)/$J31</f>
        <v>0.57309941520467833</v>
      </c>
      <c r="AW41">
        <f>($J31-$I31)/$J31</f>
        <v>0.24561403508771928</v>
      </c>
    </row>
    <row r="42" spans="1:49" x14ac:dyDescent="0.25">
      <c r="A42" t="s">
        <v>79</v>
      </c>
      <c r="B42">
        <f>101</f>
        <v>101</v>
      </c>
      <c r="C42">
        <v>11</v>
      </c>
      <c r="D42">
        <v>17</v>
      </c>
      <c r="E42" s="1">
        <f t="shared" si="16"/>
        <v>73</v>
      </c>
      <c r="F42">
        <v>0</v>
      </c>
      <c r="G42">
        <f>0</f>
        <v>0</v>
      </c>
      <c r="I42">
        <f>0</f>
        <v>0</v>
      </c>
      <c r="J42">
        <f t="shared" si="17"/>
        <v>73</v>
      </c>
      <c r="K42">
        <f>(G42-F42)/J42</f>
        <v>0</v>
      </c>
      <c r="L42">
        <f>(J42-I42)/J42</f>
        <v>1</v>
      </c>
      <c r="M42">
        <f>(I42-G42)/J42</f>
        <v>0</v>
      </c>
      <c r="P42">
        <f t="shared" si="4"/>
        <v>1</v>
      </c>
      <c r="Q42">
        <f t="shared" si="5"/>
        <v>1</v>
      </c>
      <c r="R42">
        <f t="shared" si="6"/>
        <v>0</v>
      </c>
      <c r="S42" s="22"/>
      <c r="V42" t="s">
        <v>79</v>
      </c>
      <c r="W42">
        <v>101</v>
      </c>
      <c r="X42">
        <v>10</v>
      </c>
      <c r="Y42">
        <v>11</v>
      </c>
      <c r="Z42">
        <f t="shared" si="18"/>
        <v>80</v>
      </c>
      <c r="AA42">
        <v>0</v>
      </c>
      <c r="AB42">
        <f>20-X42</f>
        <v>10</v>
      </c>
      <c r="AD42">
        <f>54-X42</f>
        <v>44</v>
      </c>
      <c r="AE42">
        <f t="shared" si="19"/>
        <v>80</v>
      </c>
      <c r="AF42">
        <f>(AB42-AA42)/AE42</f>
        <v>0.125</v>
      </c>
      <c r="AG42">
        <f>(AE42-AD42)/AE42</f>
        <v>0.45</v>
      </c>
      <c r="AH42">
        <f>(AD42-AB42)/AE42</f>
        <v>0.42499999999999999</v>
      </c>
      <c r="AK42">
        <f t="shared" si="8"/>
        <v>1</v>
      </c>
      <c r="AL42">
        <f t="shared" si="9"/>
        <v>0.57499999999999996</v>
      </c>
      <c r="AM42">
        <f t="shared" si="10"/>
        <v>0.42499999999999999</v>
      </c>
      <c r="AR42" t="s">
        <v>68</v>
      </c>
      <c r="AS42">
        <v>42</v>
      </c>
      <c r="AU42">
        <f>($G32-$F32)/$J32</f>
        <v>0.16860465116279069</v>
      </c>
      <c r="AV42">
        <f>($I32-$G32)/$J32</f>
        <v>0.54651162790697672</v>
      </c>
      <c r="AW42">
        <f>($J32-$I32)/$J32</f>
        <v>0.28488372093023256</v>
      </c>
    </row>
    <row r="43" spans="1:49" x14ac:dyDescent="0.25">
      <c r="A43" t="s">
        <v>84</v>
      </c>
      <c r="B43">
        <v>69</v>
      </c>
      <c r="C43">
        <v>2</v>
      </c>
      <c r="D43">
        <v>2</v>
      </c>
      <c r="E43">
        <f t="shared" si="16"/>
        <v>65</v>
      </c>
      <c r="F43">
        <v>0</v>
      </c>
      <c r="G43">
        <f>21-C43</f>
        <v>19</v>
      </c>
      <c r="I43">
        <f>43-C43</f>
        <v>41</v>
      </c>
      <c r="J43">
        <f t="shared" si="17"/>
        <v>65</v>
      </c>
      <c r="K43">
        <f>(G43-F43)/J43</f>
        <v>0.29230769230769232</v>
      </c>
      <c r="L43">
        <f>(J43-I43)/J43</f>
        <v>0.36923076923076925</v>
      </c>
      <c r="M43">
        <f>(I43-G43)/J43</f>
        <v>0.33846153846153848</v>
      </c>
      <c r="P43">
        <f t="shared" si="4"/>
        <v>1</v>
      </c>
      <c r="Q43">
        <f t="shared" si="5"/>
        <v>0.66153846153846163</v>
      </c>
      <c r="R43">
        <f t="shared" si="6"/>
        <v>0.33846153846153848</v>
      </c>
      <c r="V43" t="s">
        <v>84</v>
      </c>
      <c r="W43">
        <v>81</v>
      </c>
      <c r="X43">
        <v>8</v>
      </c>
      <c r="Y43">
        <v>6</v>
      </c>
      <c r="Z43">
        <f t="shared" si="18"/>
        <v>67</v>
      </c>
      <c r="AA43">
        <v>0</v>
      </c>
      <c r="AB43">
        <f>29-X43</f>
        <v>21</v>
      </c>
      <c r="AD43">
        <f>49-X43</f>
        <v>41</v>
      </c>
      <c r="AE43">
        <f t="shared" si="19"/>
        <v>67</v>
      </c>
      <c r="AF43">
        <f>(AB43-AA43)/AE43</f>
        <v>0.31343283582089554</v>
      </c>
      <c r="AG43">
        <f>(AE43-AD43)/AE43</f>
        <v>0.38805970149253732</v>
      </c>
      <c r="AH43">
        <f>(AD43-AB43)/AE43</f>
        <v>0.29850746268656714</v>
      </c>
      <c r="AK43">
        <f t="shared" si="8"/>
        <v>1</v>
      </c>
      <c r="AL43">
        <f t="shared" si="9"/>
        <v>0.70149253731343286</v>
      </c>
      <c r="AM43">
        <f t="shared" si="10"/>
        <v>0.29850746268656714</v>
      </c>
      <c r="AR43" t="s">
        <v>70</v>
      </c>
      <c r="AS43">
        <v>12</v>
      </c>
      <c r="AU43">
        <f>($G34-$F34)/$J34</f>
        <v>0.14857142857142858</v>
      </c>
      <c r="AV43">
        <f>($I34-$G34)/$J34</f>
        <v>0.6</v>
      </c>
      <c r="AW43">
        <f>($J34-$I34)/$J34</f>
        <v>0.25142857142857145</v>
      </c>
    </row>
    <row r="44" spans="1:49" x14ac:dyDescent="0.25">
      <c r="A44" t="s">
        <v>85</v>
      </c>
      <c r="B44">
        <v>81</v>
      </c>
      <c r="C44">
        <v>12</v>
      </c>
      <c r="D44">
        <v>13</v>
      </c>
      <c r="E44">
        <f t="shared" si="16"/>
        <v>56</v>
      </c>
      <c r="F44">
        <v>0</v>
      </c>
      <c r="G44">
        <v>0</v>
      </c>
      <c r="I44">
        <v>0</v>
      </c>
      <c r="J44">
        <f t="shared" si="17"/>
        <v>56</v>
      </c>
      <c r="K44" s="8">
        <f>(G44-F44)/J44</f>
        <v>0</v>
      </c>
      <c r="L44" s="8">
        <f>(J44-I44)/J44</f>
        <v>1</v>
      </c>
      <c r="M44" s="8">
        <f>(I44-G44)/J44</f>
        <v>0</v>
      </c>
      <c r="P44">
        <f t="shared" si="4"/>
        <v>1</v>
      </c>
      <c r="Q44">
        <f t="shared" si="5"/>
        <v>1</v>
      </c>
      <c r="R44">
        <f t="shared" si="6"/>
        <v>0</v>
      </c>
      <c r="S44" s="3"/>
      <c r="V44" t="s">
        <v>85</v>
      </c>
      <c r="W44">
        <v>81</v>
      </c>
      <c r="AK44">
        <f t="shared" si="8"/>
        <v>0</v>
      </c>
      <c r="AL44">
        <f t="shared" si="9"/>
        <v>0</v>
      </c>
      <c r="AM44">
        <f t="shared" si="10"/>
        <v>0</v>
      </c>
      <c r="AR44" t="s">
        <v>71</v>
      </c>
      <c r="AS44">
        <v>27</v>
      </c>
      <c r="AU44">
        <f>($G35-$F35)/$J35</f>
        <v>0.15432098765432098</v>
      </c>
      <c r="AV44">
        <f>($I35-$G35)/$J35</f>
        <v>0.67901234567901236</v>
      </c>
      <c r="AW44">
        <f>($J35-$I35)/$J35</f>
        <v>0.16666666666666666</v>
      </c>
    </row>
    <row r="45" spans="1:49" x14ac:dyDescent="0.25">
      <c r="A45" s="1" t="s">
        <v>86</v>
      </c>
      <c r="B45" s="1">
        <v>52</v>
      </c>
      <c r="C45" s="1">
        <v>0</v>
      </c>
      <c r="D45" s="1">
        <v>0</v>
      </c>
      <c r="E45" s="1">
        <f t="shared" si="16"/>
        <v>52</v>
      </c>
      <c r="F45" s="1">
        <v>0</v>
      </c>
      <c r="G45" s="1">
        <f>27-C45</f>
        <v>27</v>
      </c>
      <c r="H45" s="1">
        <f>I45-G45</f>
        <v>10</v>
      </c>
      <c r="I45" s="1">
        <f>37-C45</f>
        <v>37</v>
      </c>
      <c r="J45" s="1">
        <f t="shared" si="17"/>
        <v>52</v>
      </c>
      <c r="K45" s="1">
        <f>H45/J45</f>
        <v>0.19230769230769232</v>
      </c>
      <c r="L45" s="1"/>
      <c r="M45" s="1">
        <f>(G45-F45)/J45</f>
        <v>0.51923076923076927</v>
      </c>
      <c r="N45" s="1">
        <f>(J45-I45)/J45</f>
        <v>0.28846153846153844</v>
      </c>
      <c r="P45">
        <f t="shared" si="4"/>
        <v>1</v>
      </c>
      <c r="Q45">
        <f>SUM($K45:$L45)</f>
        <v>0.19230769230769232</v>
      </c>
      <c r="R45">
        <f t="shared" si="6"/>
        <v>0.80769230769230771</v>
      </c>
      <c r="V45" s="1" t="s">
        <v>86</v>
      </c>
      <c r="W45">
        <v>81</v>
      </c>
      <c r="X45">
        <v>15</v>
      </c>
      <c r="Y45">
        <v>6</v>
      </c>
      <c r="Z45">
        <f t="shared" si="18"/>
        <v>60</v>
      </c>
      <c r="AA45">
        <v>0</v>
      </c>
      <c r="AB45">
        <f>42-X45</f>
        <v>27</v>
      </c>
      <c r="AC45">
        <f>AD45-AB45</f>
        <v>10</v>
      </c>
      <c r="AD45">
        <f>52-X45</f>
        <v>37</v>
      </c>
      <c r="AE45">
        <f t="shared" si="19"/>
        <v>60</v>
      </c>
      <c r="AF45">
        <f>AC45/AE45</f>
        <v>0.16666666666666666</v>
      </c>
      <c r="AH45">
        <f>(AB45-AA45)/AE45</f>
        <v>0.45</v>
      </c>
      <c r="AI45">
        <f>(AE45-AD45)/AE45</f>
        <v>0.38333333333333336</v>
      </c>
      <c r="AK45">
        <f t="shared" si="8"/>
        <v>1</v>
      </c>
      <c r="AL45">
        <f t="shared" si="9"/>
        <v>0.16666666666666666</v>
      </c>
      <c r="AM45">
        <f t="shared" si="10"/>
        <v>0.83333333333333337</v>
      </c>
      <c r="AR45" t="s">
        <v>72</v>
      </c>
      <c r="AS45">
        <v>42</v>
      </c>
      <c r="AU45">
        <f>($G36-$F36)/$J36</f>
        <v>0.17197452229299362</v>
      </c>
      <c r="AV45">
        <f>($I36-$G36)/$J36</f>
        <v>0.59235668789808915</v>
      </c>
      <c r="AW45">
        <f>($J36-$I36)/$J36</f>
        <v>0.2356687898089172</v>
      </c>
    </row>
    <row r="46" spans="1:49" x14ac:dyDescent="0.25">
      <c r="A46" t="s">
        <v>87</v>
      </c>
      <c r="B46">
        <v>221</v>
      </c>
      <c r="C46">
        <v>30</v>
      </c>
      <c r="D46">
        <v>5</v>
      </c>
      <c r="E46">
        <f t="shared" si="16"/>
        <v>186</v>
      </c>
      <c r="F46">
        <f>0</f>
        <v>0</v>
      </c>
      <c r="G46">
        <v>0</v>
      </c>
      <c r="I46">
        <f>179-C46</f>
        <v>149</v>
      </c>
      <c r="J46">
        <f t="shared" si="17"/>
        <v>186</v>
      </c>
      <c r="K46">
        <f>(G46-F46)/J46</f>
        <v>0</v>
      </c>
      <c r="L46">
        <f>(J46-I46)/J46</f>
        <v>0.19892473118279569</v>
      </c>
      <c r="M46">
        <f>(I46-G46)/J46</f>
        <v>0.80107526881720426</v>
      </c>
      <c r="P46">
        <f t="shared" si="4"/>
        <v>1</v>
      </c>
      <c r="Q46">
        <f>SUM($K46:$L46)</f>
        <v>0.19892473118279569</v>
      </c>
      <c r="R46">
        <f>SUM($M46:$N46)</f>
        <v>0.80107526881720426</v>
      </c>
      <c r="V46" t="s">
        <v>87</v>
      </c>
      <c r="W46">
        <v>222</v>
      </c>
      <c r="X46">
        <v>29</v>
      </c>
      <c r="Y46">
        <v>4</v>
      </c>
      <c r="Z46">
        <f t="shared" si="18"/>
        <v>189</v>
      </c>
      <c r="AA46">
        <v>0</v>
      </c>
      <c r="AB46">
        <f>30-X46</f>
        <v>1</v>
      </c>
      <c r="AD46">
        <f>180-X46</f>
        <v>151</v>
      </c>
      <c r="AE46">
        <f t="shared" si="19"/>
        <v>189</v>
      </c>
      <c r="AF46">
        <f>AB46/AE46</f>
        <v>5.2910052910052907E-3</v>
      </c>
      <c r="AG46">
        <f>(AE46-AD46)/AE46</f>
        <v>0.20105820105820105</v>
      </c>
      <c r="AH46">
        <f>(AD46-AB46)/AE46</f>
        <v>0.79365079365079361</v>
      </c>
      <c r="AK46">
        <f t="shared" si="8"/>
        <v>1</v>
      </c>
      <c r="AL46">
        <f t="shared" si="9"/>
        <v>0.20634920634920634</v>
      </c>
      <c r="AM46">
        <f t="shared" si="10"/>
        <v>0.79365079365079361</v>
      </c>
      <c r="AR46" t="s">
        <v>80</v>
      </c>
      <c r="AS46">
        <v>12</v>
      </c>
      <c r="AU46">
        <f>($G38-$F38)/$J38</f>
        <v>0</v>
      </c>
      <c r="AV46">
        <f>($I38-$G38)/$J38</f>
        <v>0</v>
      </c>
      <c r="AW46">
        <f>($J38-$I38)/$J38</f>
        <v>1</v>
      </c>
    </row>
    <row r="47" spans="1:49" x14ac:dyDescent="0.25">
      <c r="A47" t="s">
        <v>88</v>
      </c>
      <c r="B47">
        <v>191</v>
      </c>
      <c r="C47">
        <v>21</v>
      </c>
      <c r="D47">
        <v>2</v>
      </c>
      <c r="E47">
        <f t="shared" si="16"/>
        <v>168</v>
      </c>
      <c r="F47">
        <v>0</v>
      </c>
      <c r="G47">
        <f>0</f>
        <v>0</v>
      </c>
      <c r="I47">
        <f>183-C47</f>
        <v>162</v>
      </c>
      <c r="J47">
        <f>E47</f>
        <v>168</v>
      </c>
      <c r="K47">
        <f>(G47-F47)/J47</f>
        <v>0</v>
      </c>
      <c r="L47">
        <f>(J47-I47)/J47</f>
        <v>3.5714285714285712E-2</v>
      </c>
      <c r="M47">
        <f>(I47-G47)/J47</f>
        <v>0.9642857142857143</v>
      </c>
      <c r="P47">
        <f t="shared" si="4"/>
        <v>1</v>
      </c>
      <c r="Q47">
        <f t="shared" si="5"/>
        <v>3.5714285714285712E-2</v>
      </c>
      <c r="R47">
        <f t="shared" si="6"/>
        <v>0.9642857142857143</v>
      </c>
      <c r="V47" t="s">
        <v>88</v>
      </c>
      <c r="W47">
        <v>191</v>
      </c>
      <c r="X47">
        <v>24</v>
      </c>
      <c r="Y47">
        <v>3</v>
      </c>
      <c r="Z47">
        <f t="shared" si="18"/>
        <v>164</v>
      </c>
      <c r="AA47">
        <v>0</v>
      </c>
      <c r="AB47">
        <f>24-X47</f>
        <v>0</v>
      </c>
      <c r="AD47">
        <f>165-X47</f>
        <v>141</v>
      </c>
      <c r="AE47">
        <f t="shared" si="19"/>
        <v>164</v>
      </c>
      <c r="AF47">
        <f>AB47/AE47</f>
        <v>0</v>
      </c>
      <c r="AG47">
        <f>(AE47-AD47)/AE47</f>
        <v>0.1402439024390244</v>
      </c>
      <c r="AH47">
        <f t="shared" ref="AH47:AH48" si="20">(AD47-AB47)/AE47</f>
        <v>0.8597560975609756</v>
      </c>
      <c r="AK47">
        <f t="shared" si="8"/>
        <v>1</v>
      </c>
      <c r="AL47">
        <f t="shared" si="9"/>
        <v>0.1402439024390244</v>
      </c>
      <c r="AM47">
        <f t="shared" si="10"/>
        <v>0.8597560975609756</v>
      </c>
      <c r="AR47" t="s">
        <v>81</v>
      </c>
      <c r="AS47">
        <v>27</v>
      </c>
      <c r="AU47">
        <f>($G39-$F39)/$J39</f>
        <v>0.38271604938271603</v>
      </c>
      <c r="AV47">
        <f>($I39-$G39)/$J39</f>
        <v>0.29629629629629628</v>
      </c>
      <c r="AW47">
        <f>($J39-$I39)/$J39</f>
        <v>0.32098765432098764</v>
      </c>
    </row>
    <row r="48" spans="1:49" x14ac:dyDescent="0.25">
      <c r="A48" t="s">
        <v>89</v>
      </c>
      <c r="B48">
        <v>191</v>
      </c>
      <c r="C48">
        <v>13</v>
      </c>
      <c r="D48">
        <v>10</v>
      </c>
      <c r="E48">
        <f t="shared" si="16"/>
        <v>168</v>
      </c>
      <c r="F48">
        <v>0</v>
      </c>
      <c r="G48">
        <f>14-C48</f>
        <v>1</v>
      </c>
      <c r="I48">
        <f>178-C48</f>
        <v>165</v>
      </c>
      <c r="J48">
        <f t="shared" si="17"/>
        <v>168</v>
      </c>
      <c r="K48">
        <f>(G48-F48)/J48</f>
        <v>5.9523809523809521E-3</v>
      </c>
      <c r="L48">
        <f>(J48-I48)/J48</f>
        <v>1.7857142857142856E-2</v>
      </c>
      <c r="M48">
        <f>(I48-G48)/J48</f>
        <v>0.97619047619047616</v>
      </c>
      <c r="P48">
        <f t="shared" si="4"/>
        <v>1</v>
      </c>
      <c r="Q48">
        <f t="shared" si="5"/>
        <v>2.3809523809523808E-2</v>
      </c>
      <c r="R48">
        <f t="shared" si="6"/>
        <v>0.97619047619047616</v>
      </c>
      <c r="V48" t="s">
        <v>89</v>
      </c>
      <c r="W48">
        <v>191</v>
      </c>
      <c r="X48">
        <v>13</v>
      </c>
      <c r="Y48">
        <v>10</v>
      </c>
      <c r="Z48">
        <f t="shared" si="18"/>
        <v>168</v>
      </c>
      <c r="AA48">
        <v>0</v>
      </c>
      <c r="AB48">
        <f>13-X48</f>
        <v>0</v>
      </c>
      <c r="AD48">
        <f>168-X48</f>
        <v>155</v>
      </c>
      <c r="AE48">
        <f t="shared" si="19"/>
        <v>168</v>
      </c>
      <c r="AF48">
        <f>AB48/AE48</f>
        <v>0</v>
      </c>
      <c r="AG48">
        <f>(AE48-AD48)/AE48</f>
        <v>7.7380952380952384E-2</v>
      </c>
      <c r="AH48">
        <f t="shared" si="20"/>
        <v>0.92261904761904767</v>
      </c>
      <c r="AK48">
        <f t="shared" si="8"/>
        <v>1</v>
      </c>
      <c r="AL48">
        <f>SUM($AF48:$AG48)</f>
        <v>7.7380952380952384E-2</v>
      </c>
      <c r="AM48">
        <f t="shared" si="10"/>
        <v>0.92261904761904767</v>
      </c>
      <c r="AR48" t="s">
        <v>82</v>
      </c>
      <c r="AS48">
        <v>42</v>
      </c>
      <c r="AU48">
        <f>($G40-$F40)/$J40</f>
        <v>0.38461538461538464</v>
      </c>
      <c r="AV48">
        <f>($I40-$G40)/$J40</f>
        <v>0.16666666666666666</v>
      </c>
      <c r="AW48">
        <f>($J40-$I40)/$J40</f>
        <v>0.44871794871794873</v>
      </c>
    </row>
    <row r="49" spans="1:55" x14ac:dyDescent="0.25">
      <c r="A49" s="1" t="s">
        <v>90</v>
      </c>
      <c r="B49" s="1">
        <v>191</v>
      </c>
      <c r="C49" s="1">
        <v>8</v>
      </c>
      <c r="D49" s="1">
        <v>9</v>
      </c>
      <c r="E49" s="1">
        <f t="shared" si="16"/>
        <v>174</v>
      </c>
      <c r="F49" s="1">
        <f>0</f>
        <v>0</v>
      </c>
      <c r="G49" s="1">
        <f>137-C49</f>
        <v>129</v>
      </c>
      <c r="H49" s="1"/>
      <c r="I49" s="1">
        <f>158-C49</f>
        <v>150</v>
      </c>
      <c r="J49" s="1">
        <f t="shared" si="17"/>
        <v>174</v>
      </c>
      <c r="K49" s="1">
        <f>(G49-F49)/J49</f>
        <v>0.74137931034482762</v>
      </c>
      <c r="L49" s="1">
        <f>(J49-I49)/J49</f>
        <v>0.13793103448275862</v>
      </c>
      <c r="M49" s="1">
        <f>(I49-G49)/J49</f>
        <v>0.1206896551724138</v>
      </c>
      <c r="N49" s="1"/>
      <c r="O49" s="1"/>
      <c r="P49">
        <f>SUM($K49:$O49)</f>
        <v>1</v>
      </c>
      <c r="Q49">
        <f>SUM($K49:$L49)</f>
        <v>0.8793103448275863</v>
      </c>
      <c r="R49">
        <f>SUM($M49:$O49)</f>
        <v>0.1206896551724138</v>
      </c>
      <c r="S49" s="3"/>
      <c r="V49" t="s">
        <v>90</v>
      </c>
      <c r="W49">
        <v>191</v>
      </c>
      <c r="X49">
        <v>10</v>
      </c>
      <c r="Y49">
        <v>10</v>
      </c>
      <c r="Z49">
        <f t="shared" si="18"/>
        <v>171</v>
      </c>
      <c r="AA49">
        <f>40</f>
        <v>40</v>
      </c>
      <c r="AB49">
        <f>72</f>
        <v>72</v>
      </c>
      <c r="AC49">
        <f>102</f>
        <v>102</v>
      </c>
      <c r="AD49">
        <f>134</f>
        <v>134</v>
      </c>
      <c r="AE49">
        <f t="shared" si="19"/>
        <v>171</v>
      </c>
      <c r="AF49">
        <f>(AB49-AA49)/AE49</f>
        <v>0.1871345029239766</v>
      </c>
      <c r="AG49">
        <f>(AD49-AC49)/AE49</f>
        <v>0.1871345029239766</v>
      </c>
      <c r="AH49">
        <f>(AA49-0)/AE49</f>
        <v>0.23391812865497075</v>
      </c>
      <c r="AI49">
        <f>(AC49-AB49)/AE49</f>
        <v>0.17543859649122806</v>
      </c>
      <c r="AJ49">
        <f>(AE49-AD49)/AE49</f>
        <v>0.21637426900584794</v>
      </c>
      <c r="AK49">
        <f t="shared" si="8"/>
        <v>1</v>
      </c>
      <c r="AL49">
        <f t="shared" si="9"/>
        <v>0.3742690058479532</v>
      </c>
      <c r="AM49">
        <f>SUM($AH49:$AJ49)</f>
        <v>0.6257309941520468</v>
      </c>
      <c r="AR49" t="s">
        <v>79</v>
      </c>
      <c r="AS49">
        <v>12</v>
      </c>
      <c r="AU49">
        <f>($G42-$F42)/$J42</f>
        <v>0</v>
      </c>
      <c r="AV49">
        <f>($I42-$G42)/$J42</f>
        <v>0</v>
      </c>
      <c r="AW49">
        <f>($J42-$I42)/$J42</f>
        <v>1</v>
      </c>
    </row>
    <row r="50" spans="1:55" x14ac:dyDescent="0.25">
      <c r="AR50" t="s">
        <v>84</v>
      </c>
      <c r="AS50">
        <v>27</v>
      </c>
      <c r="AU50">
        <f>($G43-$F43)/$J43</f>
        <v>0.29230769230769232</v>
      </c>
      <c r="AV50">
        <f>($I43-$G43)/$J43</f>
        <v>0.33846153846153848</v>
      </c>
      <c r="AW50">
        <f>($J43-$I43)/$J43</f>
        <v>0.36923076923076925</v>
      </c>
    </row>
    <row r="51" spans="1:55" x14ac:dyDescent="0.25">
      <c r="AR51" t="s">
        <v>85</v>
      </c>
      <c r="AS51">
        <v>42</v>
      </c>
      <c r="AU51">
        <f>($G44-$F44)/$J44</f>
        <v>0</v>
      </c>
      <c r="AV51">
        <f>($I44-$G44)/$J44</f>
        <v>0</v>
      </c>
      <c r="AW51">
        <f>($J44-$I44)/$J44</f>
        <v>1</v>
      </c>
    </row>
    <row r="52" spans="1:55" x14ac:dyDescent="0.25">
      <c r="AR52" t="s">
        <v>87</v>
      </c>
      <c r="AS52">
        <v>12</v>
      </c>
      <c r="AU52">
        <f>($G46-$F46)/$J46</f>
        <v>0</v>
      </c>
      <c r="AV52">
        <f>($I46-$G46)/$J46</f>
        <v>0.80107526881720426</v>
      </c>
      <c r="AW52">
        <f>($J46-$I46)/$J46</f>
        <v>0.19892473118279569</v>
      </c>
    </row>
    <row r="53" spans="1:55" ht="21" x14ac:dyDescent="0.35">
      <c r="A53" s="5" t="s">
        <v>93</v>
      </c>
      <c r="AR53" t="s">
        <v>88</v>
      </c>
      <c r="AS53">
        <v>27</v>
      </c>
      <c r="AU53">
        <f>($G47-$F47)/$J47</f>
        <v>0</v>
      </c>
      <c r="AV53">
        <f>($I47-$G47)/$J47</f>
        <v>0.9642857142857143</v>
      </c>
      <c r="AW53">
        <f>($J47-$I47)/$J47</f>
        <v>3.5714285714285712E-2</v>
      </c>
    </row>
    <row r="54" spans="1:55" x14ac:dyDescent="0.25">
      <c r="AR54" t="s">
        <v>89</v>
      </c>
      <c r="AS54">
        <v>42</v>
      </c>
      <c r="AU54">
        <f>($G48-$F48)/$J48</f>
        <v>5.9523809523809521E-3</v>
      </c>
      <c r="AV54">
        <f>($I48-$G48)/$J48</f>
        <v>0.97619047619047616</v>
      </c>
      <c r="AW54">
        <f>($J48-$I48)/$J48</f>
        <v>1.7857142857142856E-2</v>
      </c>
    </row>
    <row r="55" spans="1:55" ht="18.75" x14ac:dyDescent="0.3">
      <c r="A55" s="2" t="s">
        <v>113</v>
      </c>
      <c r="B55" s="4" t="s">
        <v>94</v>
      </c>
      <c r="C55" s="4" t="s">
        <v>95</v>
      </c>
      <c r="D55" s="4" t="s">
        <v>96</v>
      </c>
      <c r="E55" s="4" t="s">
        <v>97</v>
      </c>
      <c r="F55" s="4" t="s">
        <v>100</v>
      </c>
      <c r="H55" s="4" t="s">
        <v>98</v>
      </c>
      <c r="I55" s="4" t="s">
        <v>99</v>
      </c>
      <c r="J55" s="4" t="s">
        <v>96</v>
      </c>
      <c r="K55" s="4" t="s">
        <v>97</v>
      </c>
      <c r="L55" s="4" t="s">
        <v>100</v>
      </c>
    </row>
    <row r="56" spans="1:55" x14ac:dyDescent="0.25">
      <c r="A56" t="s">
        <v>38</v>
      </c>
      <c r="B56">
        <f>R2</f>
        <v>0.40229885057471265</v>
      </c>
      <c r="C56">
        <f>AM2</f>
        <v>0.44318181818181818</v>
      </c>
      <c r="D56">
        <f t="shared" ref="D56:D103" si="21">ABS(B56-C56)</f>
        <v>4.0882967607105525E-2</v>
      </c>
      <c r="E56">
        <f t="shared" ref="E56:E103" si="22">D56*100/AVERAGE(B56,C56)</f>
        <v>9.6709408311447511</v>
      </c>
      <c r="F56">
        <f>R2</f>
        <v>0.40229885057471265</v>
      </c>
      <c r="H56">
        <f>Q2</f>
        <v>0.5977011494252874</v>
      </c>
      <c r="I56">
        <f>AL2</f>
        <v>0.55681818181818188</v>
      </c>
      <c r="J56">
        <f>ABS(H56-I56)</f>
        <v>4.0882967607105525E-2</v>
      </c>
      <c r="K56">
        <f>J56*100/AVERAGE(H56,I56)</f>
        <v>7.0822491232039795</v>
      </c>
      <c r="L56">
        <f>Q2</f>
        <v>0.5977011494252874</v>
      </c>
    </row>
    <row r="57" spans="1:55" x14ac:dyDescent="0.25">
      <c r="A57" t="s">
        <v>39</v>
      </c>
      <c r="B57">
        <f t="shared" ref="B57:B101" si="23">R3</f>
        <v>0.41111111111111109</v>
      </c>
      <c r="C57">
        <f t="shared" ref="C57:C102" si="24">AM3</f>
        <v>0.39130434782608697</v>
      </c>
      <c r="D57">
        <f t="shared" si="21"/>
        <v>1.980676328502412E-2</v>
      </c>
      <c r="E57">
        <f t="shared" si="22"/>
        <v>4.9367850692353912</v>
      </c>
      <c r="F57" s="8">
        <f t="shared" ref="F57:F103" si="25">R3</f>
        <v>0.41111111111111109</v>
      </c>
      <c r="H57">
        <f t="shared" ref="H57:H103" si="26">Q3</f>
        <v>0.58888888888888891</v>
      </c>
      <c r="I57">
        <f t="shared" ref="I57:I103" si="27">AL3</f>
        <v>0.60869565217391308</v>
      </c>
      <c r="J57">
        <f t="shared" ref="J57:J103" si="28">ABS(H57-I57)</f>
        <v>1.9806763285024176E-2</v>
      </c>
      <c r="K57">
        <f t="shared" ref="K57:K103" si="29">J57*100/AVERAGE(H57,I57)</f>
        <v>3.3077853973376392</v>
      </c>
      <c r="L57" s="8">
        <f t="shared" ref="L57:L103" si="30">Q3</f>
        <v>0.58888888888888891</v>
      </c>
    </row>
    <row r="58" spans="1:55" x14ac:dyDescent="0.25">
      <c r="A58" t="s">
        <v>40</v>
      </c>
      <c r="B58">
        <f>R4</f>
        <v>0.39080459770114945</v>
      </c>
      <c r="C58">
        <f t="shared" si="24"/>
        <v>0.39080459770114945</v>
      </c>
      <c r="D58">
        <f t="shared" si="21"/>
        <v>0</v>
      </c>
      <c r="E58">
        <f t="shared" si="22"/>
        <v>0</v>
      </c>
      <c r="F58" s="8">
        <f t="shared" si="25"/>
        <v>0.39080459770114945</v>
      </c>
      <c r="H58">
        <f t="shared" si="26"/>
        <v>0.60919540229885061</v>
      </c>
      <c r="I58">
        <f t="shared" si="27"/>
        <v>0.60919540229885061</v>
      </c>
      <c r="J58">
        <f t="shared" si="28"/>
        <v>0</v>
      </c>
      <c r="K58">
        <f t="shared" si="29"/>
        <v>0</v>
      </c>
      <c r="L58" s="8">
        <f t="shared" si="30"/>
        <v>0.60919540229885061</v>
      </c>
    </row>
    <row r="59" spans="1:55" x14ac:dyDescent="0.25">
      <c r="A59" s="1" t="s">
        <v>41</v>
      </c>
      <c r="B59" s="1">
        <f>R5</f>
        <v>0.62790697674418605</v>
      </c>
      <c r="C59" s="1">
        <f t="shared" si="24"/>
        <v>0.65116279069767447</v>
      </c>
      <c r="D59" s="1">
        <f t="shared" si="21"/>
        <v>2.3255813953488413E-2</v>
      </c>
      <c r="E59" s="1">
        <f t="shared" si="22"/>
        <v>3.6363636363636425</v>
      </c>
      <c r="F59" s="8">
        <f t="shared" si="25"/>
        <v>0.62790697674418605</v>
      </c>
      <c r="G59" s="1"/>
      <c r="H59" s="1">
        <f t="shared" si="26"/>
        <v>0.37209302325581395</v>
      </c>
      <c r="I59" s="1">
        <f t="shared" si="27"/>
        <v>0.34883720930232559</v>
      </c>
      <c r="J59" s="1">
        <f t="shared" si="28"/>
        <v>2.3255813953488358E-2</v>
      </c>
      <c r="K59" s="1">
        <f t="shared" si="29"/>
        <v>6.4516129032258034</v>
      </c>
      <c r="L59" s="8">
        <f t="shared" si="30"/>
        <v>0.37209302325581395</v>
      </c>
    </row>
    <row r="60" spans="1:55" ht="18.75" x14ac:dyDescent="0.3">
      <c r="A60" t="s">
        <v>42</v>
      </c>
      <c r="B60">
        <f t="shared" si="23"/>
        <v>0.56818181818181823</v>
      </c>
      <c r="C60">
        <f t="shared" si="24"/>
        <v>0.54838709677419351</v>
      </c>
      <c r="D60">
        <f t="shared" si="21"/>
        <v>1.9794721407624727E-2</v>
      </c>
      <c r="E60">
        <f t="shared" si="22"/>
        <v>3.545633617859504</v>
      </c>
      <c r="F60" s="8">
        <f t="shared" si="25"/>
        <v>0.56818181818181823</v>
      </c>
      <c r="H60">
        <f t="shared" si="26"/>
        <v>0.43181818181818182</v>
      </c>
      <c r="I60">
        <f t="shared" si="27"/>
        <v>0.45161290322580649</v>
      </c>
      <c r="J60">
        <f t="shared" si="28"/>
        <v>1.9794721407624671E-2</v>
      </c>
      <c r="K60">
        <f t="shared" si="29"/>
        <v>4.4813278008298836</v>
      </c>
      <c r="L60" s="8">
        <f t="shared" si="30"/>
        <v>0.43181818181818182</v>
      </c>
      <c r="AR60" s="2" t="s">
        <v>136</v>
      </c>
      <c r="AS60" s="10" t="s">
        <v>137</v>
      </c>
      <c r="AT60" s="10" t="s">
        <v>119</v>
      </c>
      <c r="AU60" s="10" t="s">
        <v>134</v>
      </c>
      <c r="AV60" s="10" t="s">
        <v>135</v>
      </c>
      <c r="AW60" s="10" t="s">
        <v>125</v>
      </c>
    </row>
    <row r="61" spans="1:55" x14ac:dyDescent="0.25">
      <c r="A61" t="s">
        <v>43</v>
      </c>
      <c r="B61">
        <f t="shared" si="23"/>
        <v>0.37777777777777777</v>
      </c>
      <c r="C61">
        <f t="shared" si="24"/>
        <v>0.36170212765957449</v>
      </c>
      <c r="D61">
        <f t="shared" si="21"/>
        <v>1.6075650118203277E-2</v>
      </c>
      <c r="E61">
        <f t="shared" si="22"/>
        <v>4.3478260869565135</v>
      </c>
      <c r="F61" s="8">
        <f t="shared" si="25"/>
        <v>0.37777777777777777</v>
      </c>
      <c r="H61">
        <f t="shared" si="26"/>
        <v>0.62222222222222223</v>
      </c>
      <c r="I61">
        <f t="shared" si="27"/>
        <v>0.63829787234042556</v>
      </c>
      <c r="J61">
        <f t="shared" si="28"/>
        <v>1.6075650118203333E-2</v>
      </c>
      <c r="K61">
        <f t="shared" si="29"/>
        <v>2.5506376594148574</v>
      </c>
      <c r="L61" s="8">
        <f t="shared" si="30"/>
        <v>0.62222222222222223</v>
      </c>
      <c r="AR61" s="8" t="s">
        <v>38</v>
      </c>
      <c r="AS61">
        <f>2</f>
        <v>2</v>
      </c>
      <c r="AT61" s="8">
        <f>12</f>
        <v>12</v>
      </c>
      <c r="AU61">
        <f>F56</f>
        <v>0.40229885057471265</v>
      </c>
      <c r="AV61">
        <f>L56</f>
        <v>0.5977011494252874</v>
      </c>
      <c r="AW61">
        <v>1</v>
      </c>
      <c r="AY61">
        <f>R2</f>
        <v>0.40229885057471265</v>
      </c>
      <c r="AZ61">
        <f>AY61-AU61</f>
        <v>0</v>
      </c>
      <c r="BB61">
        <f>Q2</f>
        <v>0.5977011494252874</v>
      </c>
      <c r="BC61">
        <f>BB61-AV61</f>
        <v>0</v>
      </c>
    </row>
    <row r="62" spans="1:55" x14ac:dyDescent="0.25">
      <c r="A62" t="s">
        <v>44</v>
      </c>
      <c r="B62">
        <f t="shared" si="23"/>
        <v>0.33707865168539325</v>
      </c>
      <c r="C62">
        <f t="shared" si="24"/>
        <v>0.34090909090909088</v>
      </c>
      <c r="D62">
        <f t="shared" si="21"/>
        <v>3.8304392236976348E-3</v>
      </c>
      <c r="E62">
        <f t="shared" si="22"/>
        <v>1.1299435028248541</v>
      </c>
      <c r="F62" s="8">
        <f t="shared" si="25"/>
        <v>0.33707865168539325</v>
      </c>
      <c r="H62">
        <f t="shared" si="26"/>
        <v>0.66292134831460681</v>
      </c>
      <c r="I62">
        <f t="shared" si="27"/>
        <v>0.65909090909090917</v>
      </c>
      <c r="J62">
        <f t="shared" si="28"/>
        <v>3.8304392236976348E-3</v>
      </c>
      <c r="K62">
        <f t="shared" si="29"/>
        <v>0.57948618891249515</v>
      </c>
      <c r="L62" s="8">
        <f t="shared" si="30"/>
        <v>0.66292134831460681</v>
      </c>
      <c r="AR62" s="8" t="s">
        <v>39</v>
      </c>
      <c r="AS62" s="8">
        <f>2</f>
        <v>2</v>
      </c>
      <c r="AT62" s="8">
        <v>27</v>
      </c>
      <c r="AU62" s="8">
        <f t="shared" ref="AU62:AU63" si="31">F57</f>
        <v>0.41111111111111109</v>
      </c>
      <c r="AV62" s="8">
        <f t="shared" ref="AV62:AV63" si="32">L57</f>
        <v>0.58888888888888891</v>
      </c>
      <c r="AW62" s="8">
        <v>1</v>
      </c>
      <c r="AY62" s="8">
        <f t="shared" ref="AY62:AY63" si="33">R3</f>
        <v>0.41111111111111109</v>
      </c>
      <c r="AZ62" s="8">
        <f t="shared" ref="AZ62:AZ96" si="34">AY62-AU62</f>
        <v>0</v>
      </c>
      <c r="BB62" s="8">
        <f t="shared" ref="BB62:BB63" si="35">Q3</f>
        <v>0.58888888888888891</v>
      </c>
      <c r="BC62" s="8">
        <f t="shared" ref="BC62:BC96" si="36">BB62-AV62</f>
        <v>0</v>
      </c>
    </row>
    <row r="63" spans="1:55" x14ac:dyDescent="0.25">
      <c r="A63" s="1" t="s">
        <v>45</v>
      </c>
      <c r="B63" s="1">
        <f t="shared" si="23"/>
        <v>0.68292682926829262</v>
      </c>
      <c r="C63" s="1">
        <f t="shared" si="24"/>
        <v>0.70238095238095233</v>
      </c>
      <c r="D63" s="1">
        <f t="shared" si="21"/>
        <v>1.9454123112659705E-2</v>
      </c>
      <c r="E63" s="1">
        <f t="shared" si="22"/>
        <v>2.8086355061831911</v>
      </c>
      <c r="F63" s="8">
        <f t="shared" si="25"/>
        <v>0.68292682926829262</v>
      </c>
      <c r="G63" s="1"/>
      <c r="H63" s="1">
        <f t="shared" si="26"/>
        <v>0.31707317073170732</v>
      </c>
      <c r="I63" s="1">
        <f t="shared" si="27"/>
        <v>0.29761904761904762</v>
      </c>
      <c r="J63" s="1">
        <f t="shared" si="28"/>
        <v>1.9454123112659705E-2</v>
      </c>
      <c r="K63" s="1">
        <f t="shared" si="29"/>
        <v>6.3297118564005688</v>
      </c>
      <c r="L63" s="8">
        <f t="shared" si="30"/>
        <v>0.31707317073170732</v>
      </c>
      <c r="AR63" s="8" t="s">
        <v>40</v>
      </c>
      <c r="AS63" s="8">
        <f>2</f>
        <v>2</v>
      </c>
      <c r="AT63" s="8">
        <v>42</v>
      </c>
      <c r="AU63" s="8">
        <f t="shared" si="31"/>
        <v>0.39080459770114945</v>
      </c>
      <c r="AV63" s="8">
        <f t="shared" si="32"/>
        <v>0.60919540229885061</v>
      </c>
      <c r="AW63" s="8">
        <v>1</v>
      </c>
      <c r="AY63" s="8">
        <f t="shared" si="33"/>
        <v>0.39080459770114945</v>
      </c>
      <c r="AZ63" s="8">
        <f t="shared" si="34"/>
        <v>0</v>
      </c>
      <c r="BB63" s="8">
        <f t="shared" si="35"/>
        <v>0.60919540229885061</v>
      </c>
      <c r="BC63" s="8">
        <f t="shared" si="36"/>
        <v>0</v>
      </c>
    </row>
    <row r="64" spans="1:55" x14ac:dyDescent="0.25">
      <c r="A64" t="s">
        <v>46</v>
      </c>
      <c r="B64">
        <f t="shared" si="23"/>
        <v>0.7078651685393258</v>
      </c>
      <c r="C64">
        <f t="shared" si="24"/>
        <v>0.72413793103448276</v>
      </c>
      <c r="D64">
        <f t="shared" si="21"/>
        <v>1.6272762495156967E-2</v>
      </c>
      <c r="E64">
        <f t="shared" si="22"/>
        <v>2.2727272727272796</v>
      </c>
      <c r="F64" s="8">
        <f t="shared" si="25"/>
        <v>0.7078651685393258</v>
      </c>
      <c r="H64">
        <f t="shared" si="26"/>
        <v>0.29213483146067415</v>
      </c>
      <c r="I64">
        <f t="shared" si="27"/>
        <v>0.27586206896551724</v>
      </c>
      <c r="J64">
        <f t="shared" si="28"/>
        <v>1.6272762495156912E-2</v>
      </c>
      <c r="K64">
        <f t="shared" si="29"/>
        <v>5.7298772169167798</v>
      </c>
      <c r="L64" s="8">
        <f t="shared" si="30"/>
        <v>0.29213483146067415</v>
      </c>
      <c r="AR64" s="8" t="s">
        <v>42</v>
      </c>
      <c r="AS64">
        <f>3</f>
        <v>3</v>
      </c>
      <c r="AT64" s="8">
        <v>12</v>
      </c>
      <c r="AU64" s="8">
        <f>F60</f>
        <v>0.56818181818181823</v>
      </c>
      <c r="AV64">
        <f>L60</f>
        <v>0.43181818181818182</v>
      </c>
      <c r="AW64" s="8">
        <v>1</v>
      </c>
      <c r="AY64">
        <f>R6</f>
        <v>0.56818181818181823</v>
      </c>
      <c r="AZ64" s="8">
        <f t="shared" si="34"/>
        <v>0</v>
      </c>
      <c r="BB64">
        <f>Q6</f>
        <v>0.43181818181818182</v>
      </c>
      <c r="BC64" s="8">
        <f t="shared" si="36"/>
        <v>0</v>
      </c>
    </row>
    <row r="65" spans="1:55" x14ac:dyDescent="0.25">
      <c r="A65" t="s">
        <v>47</v>
      </c>
      <c r="B65">
        <f t="shared" si="23"/>
        <v>0.39325842696629215</v>
      </c>
      <c r="C65">
        <f t="shared" si="24"/>
        <v>0.39772727272727271</v>
      </c>
      <c r="D65">
        <f t="shared" si="21"/>
        <v>4.4688457609805554E-3</v>
      </c>
      <c r="E65">
        <f t="shared" si="22"/>
        <v>1.1299435028248492</v>
      </c>
      <c r="F65" s="8">
        <f t="shared" si="25"/>
        <v>0.39325842696629215</v>
      </c>
      <c r="H65">
        <f t="shared" si="26"/>
        <v>0.6067415730337079</v>
      </c>
      <c r="I65">
        <f t="shared" si="27"/>
        <v>0.60227272727272729</v>
      </c>
      <c r="J65">
        <f t="shared" si="28"/>
        <v>4.4688457609806109E-3</v>
      </c>
      <c r="K65">
        <f t="shared" si="29"/>
        <v>0.73925440912451468</v>
      </c>
      <c r="L65" s="8">
        <f t="shared" si="30"/>
        <v>0.6067415730337079</v>
      </c>
      <c r="AR65" s="8" t="s">
        <v>43</v>
      </c>
      <c r="AS65" s="8">
        <f>3</f>
        <v>3</v>
      </c>
      <c r="AT65" s="8">
        <v>27</v>
      </c>
      <c r="AU65" s="8">
        <f t="shared" ref="AU65:AU66" si="37">F61</f>
        <v>0.37777777777777777</v>
      </c>
      <c r="AV65" s="8">
        <f t="shared" ref="AV65:AV66" si="38">L61</f>
        <v>0.62222222222222223</v>
      </c>
      <c r="AW65" s="8">
        <v>1</v>
      </c>
      <c r="AY65" s="8">
        <f t="shared" ref="AY65:AY66" si="39">R7</f>
        <v>0.37777777777777777</v>
      </c>
      <c r="AZ65" s="8">
        <f t="shared" si="34"/>
        <v>0</v>
      </c>
      <c r="BB65" s="8">
        <f t="shared" ref="BB65:BB66" si="40">Q7</f>
        <v>0.62222222222222223</v>
      </c>
      <c r="BC65" s="8">
        <f t="shared" si="36"/>
        <v>0</v>
      </c>
    </row>
    <row r="66" spans="1:55" x14ac:dyDescent="0.25">
      <c r="A66" t="s">
        <v>48</v>
      </c>
      <c r="B66">
        <f t="shared" si="23"/>
        <v>0.32222222222222224</v>
      </c>
      <c r="C66">
        <f t="shared" si="24"/>
        <v>0.32222222222222224</v>
      </c>
      <c r="D66">
        <f t="shared" si="21"/>
        <v>0</v>
      </c>
      <c r="E66">
        <f t="shared" si="22"/>
        <v>0</v>
      </c>
      <c r="F66" s="8">
        <f t="shared" si="25"/>
        <v>0.32222222222222224</v>
      </c>
      <c r="H66">
        <f t="shared" si="26"/>
        <v>0.67777777777777781</v>
      </c>
      <c r="I66">
        <f t="shared" si="27"/>
        <v>0.67777777777777781</v>
      </c>
      <c r="J66">
        <f t="shared" si="28"/>
        <v>0</v>
      </c>
      <c r="K66">
        <f t="shared" si="29"/>
        <v>0</v>
      </c>
      <c r="L66" s="8">
        <f t="shared" si="30"/>
        <v>0.67777777777777781</v>
      </c>
      <c r="AR66" s="8" t="s">
        <v>44</v>
      </c>
      <c r="AS66" s="8">
        <f>3</f>
        <v>3</v>
      </c>
      <c r="AT66" s="8">
        <v>42</v>
      </c>
      <c r="AU66" s="8">
        <f t="shared" si="37"/>
        <v>0.33707865168539325</v>
      </c>
      <c r="AV66" s="8">
        <f t="shared" si="38"/>
        <v>0.66292134831460681</v>
      </c>
      <c r="AW66" s="8">
        <v>1</v>
      </c>
      <c r="AY66" s="8">
        <f t="shared" si="39"/>
        <v>0.33707865168539325</v>
      </c>
      <c r="AZ66" s="8">
        <f t="shared" si="34"/>
        <v>0</v>
      </c>
      <c r="BB66" s="8">
        <f t="shared" si="40"/>
        <v>0.66292134831460681</v>
      </c>
      <c r="BC66" s="8">
        <f t="shared" si="36"/>
        <v>0</v>
      </c>
    </row>
    <row r="67" spans="1:55" x14ac:dyDescent="0.25">
      <c r="A67" s="1" t="s">
        <v>50</v>
      </c>
      <c r="B67" s="1">
        <f t="shared" si="23"/>
        <v>0.78021978021978022</v>
      </c>
      <c r="C67" s="1">
        <f t="shared" si="24"/>
        <v>0.79120879120879117</v>
      </c>
      <c r="D67" s="1">
        <f t="shared" si="21"/>
        <v>1.098901098901095E-2</v>
      </c>
      <c r="E67" s="1">
        <f t="shared" si="22"/>
        <v>1.3986013986013937</v>
      </c>
      <c r="F67" s="8">
        <f t="shared" si="25"/>
        <v>0.78021978021978022</v>
      </c>
      <c r="G67" s="1"/>
      <c r="H67" s="1">
        <f t="shared" si="26"/>
        <v>0.21978021978021978</v>
      </c>
      <c r="I67" s="1">
        <f t="shared" si="27"/>
        <v>0.2087912087912088</v>
      </c>
      <c r="J67" s="1">
        <f t="shared" si="28"/>
        <v>1.0989010989010978E-2</v>
      </c>
      <c r="K67" s="1">
        <f t="shared" si="29"/>
        <v>5.1282051282051224</v>
      </c>
      <c r="L67" s="8">
        <f t="shared" si="30"/>
        <v>0.21978021978021978</v>
      </c>
      <c r="AR67" s="8" t="s">
        <v>46</v>
      </c>
      <c r="AS67">
        <f>4</f>
        <v>4</v>
      </c>
      <c r="AT67" s="8">
        <v>12</v>
      </c>
      <c r="AU67" s="8">
        <f>F64</f>
        <v>0.7078651685393258</v>
      </c>
      <c r="AV67">
        <f>L64</f>
        <v>0.29213483146067415</v>
      </c>
      <c r="AW67" s="8">
        <v>1</v>
      </c>
      <c r="AY67">
        <f>R10</f>
        <v>0.7078651685393258</v>
      </c>
      <c r="AZ67" s="8">
        <f t="shared" si="34"/>
        <v>0</v>
      </c>
      <c r="BB67">
        <f>Q10</f>
        <v>0.29213483146067415</v>
      </c>
      <c r="BC67" s="8">
        <f t="shared" si="36"/>
        <v>0</v>
      </c>
    </row>
    <row r="68" spans="1:55" x14ac:dyDescent="0.25">
      <c r="A68" t="s">
        <v>49</v>
      </c>
      <c r="B68">
        <f t="shared" si="23"/>
        <v>0.32</v>
      </c>
      <c r="C68">
        <f t="shared" si="24"/>
        <v>0.43137254901960786</v>
      </c>
      <c r="D68">
        <f t="shared" si="21"/>
        <v>0.11137254901960786</v>
      </c>
      <c r="E68">
        <f t="shared" si="22"/>
        <v>29.645093945720252</v>
      </c>
      <c r="F68" s="8">
        <f t="shared" si="25"/>
        <v>0.32</v>
      </c>
      <c r="H68">
        <f t="shared" si="26"/>
        <v>0.68</v>
      </c>
      <c r="I68">
        <f t="shared" si="27"/>
        <v>0.56862745098039214</v>
      </c>
      <c r="J68">
        <f t="shared" si="28"/>
        <v>0.11137254901960791</v>
      </c>
      <c r="K68">
        <f t="shared" si="29"/>
        <v>17.839195979899511</v>
      </c>
      <c r="L68" s="8">
        <f t="shared" si="30"/>
        <v>0.68</v>
      </c>
      <c r="AR68" s="8" t="s">
        <v>47</v>
      </c>
      <c r="AS68" s="8">
        <f>4</f>
        <v>4</v>
      </c>
      <c r="AT68" s="8">
        <v>27</v>
      </c>
      <c r="AU68" s="8">
        <f t="shared" ref="AU68:AU69" si="41">F65</f>
        <v>0.39325842696629215</v>
      </c>
      <c r="AV68" s="8">
        <f t="shared" ref="AV68:AV69" si="42">L65</f>
        <v>0.6067415730337079</v>
      </c>
      <c r="AW68" s="8">
        <v>1</v>
      </c>
      <c r="AY68" s="8">
        <f t="shared" ref="AY68:AY69" si="43">R11</f>
        <v>0.39325842696629215</v>
      </c>
      <c r="AZ68" s="8">
        <f t="shared" si="34"/>
        <v>0</v>
      </c>
      <c r="BB68" s="8">
        <f t="shared" ref="BB68:BB69" si="44">Q11</f>
        <v>0.6067415730337079</v>
      </c>
      <c r="BC68" s="8">
        <f t="shared" si="36"/>
        <v>0</v>
      </c>
    </row>
    <row r="69" spans="1:55" x14ac:dyDescent="0.25">
      <c r="A69" t="s">
        <v>51</v>
      </c>
      <c r="B69">
        <f t="shared" si="23"/>
        <v>0.1</v>
      </c>
      <c r="C69">
        <f t="shared" si="24"/>
        <v>0.53061224489795922</v>
      </c>
      <c r="D69">
        <f t="shared" si="21"/>
        <v>0.43061224489795924</v>
      </c>
      <c r="E69">
        <f t="shared" si="22"/>
        <v>136.56957928802592</v>
      </c>
      <c r="F69" s="8">
        <f t="shared" si="25"/>
        <v>0.1</v>
      </c>
      <c r="H69">
        <f t="shared" si="26"/>
        <v>0.9</v>
      </c>
      <c r="I69">
        <f t="shared" si="27"/>
        <v>0.46938775510204078</v>
      </c>
      <c r="J69">
        <f t="shared" si="28"/>
        <v>0.43061224489795924</v>
      </c>
      <c r="K69">
        <f t="shared" si="29"/>
        <v>62.891207153502243</v>
      </c>
      <c r="L69" s="8">
        <f t="shared" si="30"/>
        <v>0.9</v>
      </c>
      <c r="AR69" s="8" t="s">
        <v>48</v>
      </c>
      <c r="AS69" s="8">
        <f>4</f>
        <v>4</v>
      </c>
      <c r="AT69" s="8">
        <v>42</v>
      </c>
      <c r="AU69" s="8">
        <f t="shared" si="41"/>
        <v>0.32222222222222224</v>
      </c>
      <c r="AV69" s="8">
        <f t="shared" si="42"/>
        <v>0.67777777777777781</v>
      </c>
      <c r="AW69" s="8">
        <v>1</v>
      </c>
      <c r="AY69" s="8">
        <f t="shared" si="43"/>
        <v>0.32222222222222224</v>
      </c>
      <c r="AZ69" s="8">
        <f t="shared" si="34"/>
        <v>0</v>
      </c>
      <c r="BB69" s="8">
        <f t="shared" si="44"/>
        <v>0.67777777777777781</v>
      </c>
      <c r="BC69" s="8">
        <f t="shared" si="36"/>
        <v>0</v>
      </c>
    </row>
    <row r="70" spans="1:55" x14ac:dyDescent="0.25">
      <c r="A70" t="s">
        <v>52</v>
      </c>
      <c r="B70">
        <f t="shared" si="23"/>
        <v>0</v>
      </c>
      <c r="C70">
        <f t="shared" si="24"/>
        <v>0.53191489361702127</v>
      </c>
      <c r="D70">
        <f t="shared" si="21"/>
        <v>0.53191489361702127</v>
      </c>
      <c r="E70">
        <f t="shared" si="22"/>
        <v>200</v>
      </c>
      <c r="F70" s="8">
        <f t="shared" si="25"/>
        <v>0</v>
      </c>
      <c r="H70">
        <f t="shared" si="26"/>
        <v>1</v>
      </c>
      <c r="I70">
        <f t="shared" si="27"/>
        <v>0.46808510638297873</v>
      </c>
      <c r="J70">
        <f t="shared" si="28"/>
        <v>0.53191489361702127</v>
      </c>
      <c r="K70">
        <f t="shared" si="29"/>
        <v>72.463768115942031</v>
      </c>
      <c r="L70" s="8">
        <f t="shared" si="30"/>
        <v>1</v>
      </c>
      <c r="AR70" s="8" t="s">
        <v>49</v>
      </c>
      <c r="AS70">
        <f>5</f>
        <v>5</v>
      </c>
      <c r="AT70" s="8">
        <v>12</v>
      </c>
      <c r="AU70" s="8">
        <f>F68</f>
        <v>0.32</v>
      </c>
      <c r="AV70">
        <f>L68</f>
        <v>0.68</v>
      </c>
      <c r="AW70" s="8">
        <v>0.3</v>
      </c>
      <c r="AY70">
        <f>R14</f>
        <v>0.32</v>
      </c>
      <c r="AZ70" s="8">
        <f t="shared" si="34"/>
        <v>0</v>
      </c>
      <c r="BB70">
        <f>Q14</f>
        <v>0.68</v>
      </c>
      <c r="BC70" s="8">
        <f t="shared" si="36"/>
        <v>0</v>
      </c>
    </row>
    <row r="71" spans="1:55" x14ac:dyDescent="0.25">
      <c r="A71" s="1" t="s">
        <v>53</v>
      </c>
      <c r="B71" s="1">
        <f t="shared" si="23"/>
        <v>0.53246753246753242</v>
      </c>
      <c r="C71" s="1">
        <f t="shared" si="24"/>
        <v>0.55263157894736847</v>
      </c>
      <c r="D71" s="1">
        <f t="shared" si="21"/>
        <v>2.0164046479836051E-2</v>
      </c>
      <c r="E71" s="1">
        <f t="shared" si="22"/>
        <v>3.716535433070884</v>
      </c>
      <c r="F71" s="8">
        <f t="shared" si="25"/>
        <v>0.53246753246753242</v>
      </c>
      <c r="G71" s="1"/>
      <c r="H71" s="1">
        <f t="shared" si="26"/>
        <v>0.46753246753246752</v>
      </c>
      <c r="I71" s="1">
        <f t="shared" si="27"/>
        <v>0.44736842105263158</v>
      </c>
      <c r="J71" s="1">
        <f t="shared" si="28"/>
        <v>2.016404647983594E-2</v>
      </c>
      <c r="K71" s="1">
        <f t="shared" si="29"/>
        <v>4.4079193126634264</v>
      </c>
      <c r="L71" s="8">
        <f t="shared" si="30"/>
        <v>0.46753246753246752</v>
      </c>
      <c r="AR71" s="8" t="s">
        <v>51</v>
      </c>
      <c r="AS71" s="8">
        <f>5</f>
        <v>5</v>
      </c>
      <c r="AT71" s="8">
        <v>27</v>
      </c>
      <c r="AU71" s="8">
        <f t="shared" ref="AU71:AU72" si="45">F69</f>
        <v>0.1</v>
      </c>
      <c r="AV71" s="8">
        <f t="shared" ref="AV71:AV72" si="46">L69</f>
        <v>0.9</v>
      </c>
      <c r="AW71" s="8">
        <v>0.3</v>
      </c>
      <c r="AY71" s="8">
        <f t="shared" ref="AY71:AY72" si="47">R15</f>
        <v>0.1</v>
      </c>
      <c r="AZ71" s="8">
        <f t="shared" si="34"/>
        <v>0</v>
      </c>
      <c r="BB71" s="8">
        <f t="shared" ref="BB71:BB72" si="48">Q15</f>
        <v>0.9</v>
      </c>
      <c r="BC71" s="8">
        <f t="shared" si="36"/>
        <v>0</v>
      </c>
    </row>
    <row r="72" spans="1:55" x14ac:dyDescent="0.25">
      <c r="A72" t="s">
        <v>54</v>
      </c>
      <c r="B72">
        <f t="shared" si="23"/>
        <v>0.35526315789473684</v>
      </c>
      <c r="C72">
        <f t="shared" si="24"/>
        <v>0.35616438356164382</v>
      </c>
      <c r="D72">
        <f t="shared" si="21"/>
        <v>9.0122566690697958E-4</v>
      </c>
      <c r="E72">
        <f t="shared" si="22"/>
        <v>0.25335697998479467</v>
      </c>
      <c r="F72" s="8">
        <f t="shared" si="25"/>
        <v>0.35526315789473684</v>
      </c>
      <c r="H72">
        <f t="shared" si="26"/>
        <v>0.64473684210526316</v>
      </c>
      <c r="I72">
        <f t="shared" si="27"/>
        <v>0.64383561643835607</v>
      </c>
      <c r="J72">
        <f t="shared" si="28"/>
        <v>9.0122566690709061E-4</v>
      </c>
      <c r="K72">
        <f t="shared" si="29"/>
        <v>0.13987970345504375</v>
      </c>
      <c r="L72" s="8">
        <f t="shared" si="30"/>
        <v>0.64473684210526316</v>
      </c>
      <c r="AR72" s="8" t="s">
        <v>52</v>
      </c>
      <c r="AS72" s="8">
        <f>5</f>
        <v>5</v>
      </c>
      <c r="AT72" s="8">
        <v>42</v>
      </c>
      <c r="AU72" s="8">
        <f t="shared" si="45"/>
        <v>0</v>
      </c>
      <c r="AV72" s="8">
        <f t="shared" si="46"/>
        <v>1</v>
      </c>
      <c r="AW72" s="8">
        <v>0.3</v>
      </c>
      <c r="AY72" s="8">
        <f t="shared" si="47"/>
        <v>0</v>
      </c>
      <c r="AZ72" s="8">
        <f t="shared" si="34"/>
        <v>0</v>
      </c>
      <c r="BB72" s="8">
        <f t="shared" si="48"/>
        <v>1</v>
      </c>
      <c r="BC72" s="8">
        <f t="shared" si="36"/>
        <v>0</v>
      </c>
    </row>
    <row r="73" spans="1:55" x14ac:dyDescent="0.25">
      <c r="A73" t="s">
        <v>55</v>
      </c>
      <c r="B73">
        <f t="shared" si="23"/>
        <v>0.30303030303030304</v>
      </c>
      <c r="C73">
        <f t="shared" si="24"/>
        <v>0.30303030303030304</v>
      </c>
      <c r="D73">
        <f t="shared" si="21"/>
        <v>0</v>
      </c>
      <c r="E73">
        <f t="shared" si="22"/>
        <v>0</v>
      </c>
      <c r="F73" s="8">
        <f t="shared" si="25"/>
        <v>0.30303030303030304</v>
      </c>
      <c r="H73">
        <f t="shared" si="26"/>
        <v>0.69696969696969702</v>
      </c>
      <c r="I73">
        <f t="shared" si="27"/>
        <v>0.69696969696969702</v>
      </c>
      <c r="J73">
        <f t="shared" si="28"/>
        <v>0</v>
      </c>
      <c r="K73">
        <f t="shared" si="29"/>
        <v>0</v>
      </c>
      <c r="L73" s="8">
        <f t="shared" si="30"/>
        <v>0.69696969696969702</v>
      </c>
      <c r="AR73" s="8" t="s">
        <v>54</v>
      </c>
      <c r="AS73">
        <f>8</f>
        <v>8</v>
      </c>
      <c r="AT73" s="8">
        <v>12</v>
      </c>
      <c r="AU73" s="8">
        <f>F72</f>
        <v>0.35526315789473684</v>
      </c>
      <c r="AV73">
        <f>L72</f>
        <v>0.64473684210526316</v>
      </c>
      <c r="AW73">
        <v>0.5</v>
      </c>
      <c r="AY73">
        <f>R18</f>
        <v>0.35526315789473684</v>
      </c>
      <c r="AZ73" s="8">
        <f t="shared" si="34"/>
        <v>0</v>
      </c>
      <c r="BB73">
        <f>Q18</f>
        <v>0.64473684210526316</v>
      </c>
      <c r="BC73" s="8">
        <f t="shared" si="36"/>
        <v>0</v>
      </c>
    </row>
    <row r="74" spans="1:55" x14ac:dyDescent="0.25">
      <c r="A74" t="s">
        <v>56</v>
      </c>
      <c r="B74">
        <f t="shared" si="23"/>
        <v>0.33846153846153848</v>
      </c>
      <c r="C74">
        <f t="shared" si="24"/>
        <v>0.32258064516129031</v>
      </c>
      <c r="D74">
        <f t="shared" si="21"/>
        <v>1.5880893300248167E-2</v>
      </c>
      <c r="E74">
        <f t="shared" si="22"/>
        <v>4.8048048048048129</v>
      </c>
      <c r="F74" s="8">
        <f t="shared" si="25"/>
        <v>0.33846153846153848</v>
      </c>
      <c r="H74">
        <f t="shared" si="26"/>
        <v>0.66153846153846163</v>
      </c>
      <c r="I74">
        <f t="shared" si="27"/>
        <v>0.67741935483870974</v>
      </c>
      <c r="J74">
        <f t="shared" si="28"/>
        <v>1.5880893300248111E-2</v>
      </c>
      <c r="K74">
        <f t="shared" si="29"/>
        <v>2.3721275018532202</v>
      </c>
      <c r="L74" s="8">
        <f t="shared" si="30"/>
        <v>0.66153846153846163</v>
      </c>
      <c r="AR74" s="8" t="s">
        <v>55</v>
      </c>
      <c r="AS74" s="8">
        <f>8</f>
        <v>8</v>
      </c>
      <c r="AT74" s="8">
        <v>27</v>
      </c>
      <c r="AU74" s="8">
        <f t="shared" ref="AU74:AU75" si="49">F73</f>
        <v>0.30303030303030304</v>
      </c>
      <c r="AV74" s="8">
        <f t="shared" ref="AV74:AV75" si="50">L73</f>
        <v>0.69696969696969702</v>
      </c>
      <c r="AW74" s="8">
        <v>0.5</v>
      </c>
      <c r="AY74" s="8">
        <f t="shared" ref="AY74:AY75" si="51">R19</f>
        <v>0.30303030303030304</v>
      </c>
      <c r="AZ74" s="8">
        <f t="shared" si="34"/>
        <v>0</v>
      </c>
      <c r="BB74" s="8">
        <f t="shared" ref="BB74:BB75" si="52">Q19</f>
        <v>0.69696969696969702</v>
      </c>
      <c r="BC74" s="8">
        <f t="shared" si="36"/>
        <v>0</v>
      </c>
    </row>
    <row r="75" spans="1:55" x14ac:dyDescent="0.25">
      <c r="A75" s="1" t="s">
        <v>57</v>
      </c>
      <c r="B75" s="1">
        <f t="shared" si="23"/>
        <v>0.78461538461538471</v>
      </c>
      <c r="C75" s="1">
        <f t="shared" si="24"/>
        <v>0.75384615384615383</v>
      </c>
      <c r="D75" s="1">
        <f t="shared" si="21"/>
        <v>3.0769230769230882E-2</v>
      </c>
      <c r="E75" s="1">
        <f t="shared" si="22"/>
        <v>4.0000000000000142</v>
      </c>
      <c r="F75" s="8">
        <f t="shared" si="25"/>
        <v>0.78461538461538471</v>
      </c>
      <c r="G75" s="1"/>
      <c r="H75" s="1">
        <f t="shared" si="26"/>
        <v>0.2153846153846154</v>
      </c>
      <c r="I75" s="1">
        <f t="shared" si="27"/>
        <v>0.24615384615384617</v>
      </c>
      <c r="J75" s="1">
        <f t="shared" si="28"/>
        <v>3.0769230769230771E-2</v>
      </c>
      <c r="K75" s="1">
        <f t="shared" si="29"/>
        <v>13.333333333333334</v>
      </c>
      <c r="L75" s="8">
        <f t="shared" si="30"/>
        <v>0.2153846153846154</v>
      </c>
      <c r="AR75" s="8" t="s">
        <v>56</v>
      </c>
      <c r="AS75" s="8">
        <f>8</f>
        <v>8</v>
      </c>
      <c r="AT75" s="8">
        <v>42</v>
      </c>
      <c r="AU75" s="8">
        <f t="shared" si="49"/>
        <v>0.33846153846153848</v>
      </c>
      <c r="AV75" s="8">
        <f t="shared" si="50"/>
        <v>0.66153846153846163</v>
      </c>
      <c r="AW75" s="8">
        <v>0.5</v>
      </c>
      <c r="AY75" s="8">
        <f t="shared" si="51"/>
        <v>0.33846153846153848</v>
      </c>
      <c r="AZ75" s="8">
        <f t="shared" si="34"/>
        <v>0</v>
      </c>
      <c r="BB75" s="8">
        <f t="shared" si="52"/>
        <v>0.66153846153846163</v>
      </c>
      <c r="BC75" s="8">
        <f t="shared" si="36"/>
        <v>0</v>
      </c>
    </row>
    <row r="76" spans="1:55" x14ac:dyDescent="0.25">
      <c r="A76" t="s">
        <v>58</v>
      </c>
      <c r="B76">
        <f t="shared" si="23"/>
        <v>0.45205479452054792</v>
      </c>
      <c r="C76">
        <f t="shared" si="24"/>
        <v>0.44594594594594594</v>
      </c>
      <c r="D76">
        <f t="shared" si="21"/>
        <v>6.1088485746019772E-3</v>
      </c>
      <c r="E76">
        <f t="shared" si="22"/>
        <v>1.3605442176870701</v>
      </c>
      <c r="F76" s="8">
        <f t="shared" si="25"/>
        <v>0.45205479452054792</v>
      </c>
      <c r="H76">
        <f t="shared" si="26"/>
        <v>0.54794520547945202</v>
      </c>
      <c r="I76">
        <f t="shared" si="27"/>
        <v>0.55405405405405406</v>
      </c>
      <c r="J76">
        <f t="shared" si="28"/>
        <v>6.1088485746020327E-3</v>
      </c>
      <c r="K76">
        <f t="shared" si="29"/>
        <v>1.1086846967915398</v>
      </c>
      <c r="L76" s="8">
        <f t="shared" si="30"/>
        <v>0.54794520547945202</v>
      </c>
      <c r="AR76" s="8" t="s">
        <v>58</v>
      </c>
      <c r="AS76">
        <f>9</f>
        <v>9</v>
      </c>
      <c r="AT76" s="8">
        <v>12</v>
      </c>
      <c r="AU76" s="8">
        <f>F76</f>
        <v>0.45205479452054792</v>
      </c>
      <c r="AV76">
        <f>L76</f>
        <v>0.54794520547945202</v>
      </c>
      <c r="AW76" s="8">
        <v>0.5</v>
      </c>
      <c r="AY76">
        <f>R22</f>
        <v>0.45205479452054792</v>
      </c>
      <c r="AZ76" s="8">
        <f t="shared" si="34"/>
        <v>0</v>
      </c>
      <c r="BB76">
        <f>Q22</f>
        <v>0.54794520547945202</v>
      </c>
      <c r="BC76" s="8">
        <f t="shared" si="36"/>
        <v>0</v>
      </c>
    </row>
    <row r="77" spans="1:55" x14ac:dyDescent="0.25">
      <c r="A77" t="s">
        <v>59</v>
      </c>
      <c r="B77">
        <f t="shared" si="23"/>
        <v>0.29411764705882354</v>
      </c>
      <c r="C77">
        <f t="shared" si="24"/>
        <v>0.29850746268656714</v>
      </c>
      <c r="D77">
        <f t="shared" si="21"/>
        <v>4.3898156277435985E-3</v>
      </c>
      <c r="E77">
        <f t="shared" si="22"/>
        <v>1.4814814814814692</v>
      </c>
      <c r="F77" s="8">
        <f t="shared" si="25"/>
        <v>0.29411764705882354</v>
      </c>
      <c r="H77">
        <f t="shared" si="26"/>
        <v>0.70588235294117641</v>
      </c>
      <c r="I77">
        <f t="shared" si="27"/>
        <v>0.70149253731343286</v>
      </c>
      <c r="J77">
        <f t="shared" si="28"/>
        <v>4.3898156277435429E-3</v>
      </c>
      <c r="K77">
        <f t="shared" si="29"/>
        <v>0.62383031815344925</v>
      </c>
      <c r="L77" s="8">
        <f t="shared" si="30"/>
        <v>0.70588235294117641</v>
      </c>
      <c r="AR77" s="8" t="s">
        <v>59</v>
      </c>
      <c r="AS77" s="8">
        <f>9</f>
        <v>9</v>
      </c>
      <c r="AT77" s="8">
        <v>27</v>
      </c>
      <c r="AU77" s="8">
        <f t="shared" ref="AU77:AU78" si="53">F77</f>
        <v>0.29411764705882354</v>
      </c>
      <c r="AV77" s="8">
        <f t="shared" ref="AV77:AV78" si="54">L77</f>
        <v>0.70588235294117641</v>
      </c>
      <c r="AW77" s="8">
        <v>0.5</v>
      </c>
      <c r="AY77" s="8">
        <f t="shared" ref="AY77:AY78" si="55">R23</f>
        <v>0.29411764705882354</v>
      </c>
      <c r="AZ77" s="8">
        <f t="shared" si="34"/>
        <v>0</v>
      </c>
      <c r="BB77" s="8">
        <f t="shared" ref="BB77:BB78" si="56">Q23</f>
        <v>0.70588235294117641</v>
      </c>
      <c r="BC77" s="8">
        <f t="shared" si="36"/>
        <v>0</v>
      </c>
    </row>
    <row r="78" spans="1:55" x14ac:dyDescent="0.25">
      <c r="A78" t="s">
        <v>60</v>
      </c>
      <c r="B78">
        <f t="shared" si="23"/>
        <v>0.2537313432835821</v>
      </c>
      <c r="C78">
        <f t="shared" si="24"/>
        <v>0.25757575757575757</v>
      </c>
      <c r="D78">
        <f t="shared" si="21"/>
        <v>3.8444142921754687E-3</v>
      </c>
      <c r="E78">
        <f t="shared" si="22"/>
        <v>1.5037593984962336</v>
      </c>
      <c r="F78" s="8">
        <f t="shared" si="25"/>
        <v>0.2537313432835821</v>
      </c>
      <c r="H78">
        <f t="shared" si="26"/>
        <v>0.74626865671641784</v>
      </c>
      <c r="I78">
        <f t="shared" si="27"/>
        <v>0.74242424242424243</v>
      </c>
      <c r="J78">
        <f t="shared" si="28"/>
        <v>3.8444142921754132E-3</v>
      </c>
      <c r="K78">
        <f t="shared" si="29"/>
        <v>0.51648184718212597</v>
      </c>
      <c r="L78" s="8">
        <f t="shared" si="30"/>
        <v>0.74626865671641784</v>
      </c>
      <c r="AR78" s="8" t="s">
        <v>60</v>
      </c>
      <c r="AS78" s="8">
        <f>9</f>
        <v>9</v>
      </c>
      <c r="AT78" s="8">
        <v>42</v>
      </c>
      <c r="AU78" s="8">
        <f t="shared" si="53"/>
        <v>0.2537313432835821</v>
      </c>
      <c r="AV78" s="8">
        <f t="shared" si="54"/>
        <v>0.74626865671641784</v>
      </c>
      <c r="AW78" s="8">
        <v>0.5</v>
      </c>
      <c r="AY78" s="8">
        <f t="shared" si="55"/>
        <v>0.2537313432835821</v>
      </c>
      <c r="AZ78" s="8">
        <f t="shared" si="34"/>
        <v>0</v>
      </c>
      <c r="BB78" s="8">
        <f t="shared" si="56"/>
        <v>0.74626865671641784</v>
      </c>
      <c r="BC78" s="8">
        <f t="shared" si="36"/>
        <v>0</v>
      </c>
    </row>
    <row r="79" spans="1:55" x14ac:dyDescent="0.25">
      <c r="A79" s="1" t="s">
        <v>61</v>
      </c>
      <c r="B79" s="1">
        <f t="shared" si="23"/>
        <v>0.703125</v>
      </c>
      <c r="C79" s="1">
        <f t="shared" si="24"/>
        <v>0.734375</v>
      </c>
      <c r="D79" s="1">
        <f t="shared" si="21"/>
        <v>3.125E-2</v>
      </c>
      <c r="E79" s="1">
        <f t="shared" si="22"/>
        <v>4.3478260869565215</v>
      </c>
      <c r="F79" s="8">
        <f t="shared" si="25"/>
        <v>0.703125</v>
      </c>
      <c r="G79" s="1"/>
      <c r="H79" s="1">
        <f t="shared" si="26"/>
        <v>0.296875</v>
      </c>
      <c r="I79" s="1">
        <f t="shared" si="27"/>
        <v>0.265625</v>
      </c>
      <c r="J79" s="1">
        <f t="shared" si="28"/>
        <v>3.125E-2</v>
      </c>
      <c r="K79" s="1">
        <f t="shared" si="29"/>
        <v>11.111111111111111</v>
      </c>
      <c r="L79" s="8">
        <f t="shared" si="30"/>
        <v>0.296875</v>
      </c>
      <c r="AR79" s="8" t="s">
        <v>62</v>
      </c>
      <c r="AS79">
        <f>10</f>
        <v>10</v>
      </c>
      <c r="AT79" s="8">
        <v>12</v>
      </c>
      <c r="AU79" s="8">
        <f>F80</f>
        <v>0.39473684210526316</v>
      </c>
      <c r="AV79">
        <f>L80</f>
        <v>0.60526315789473684</v>
      </c>
      <c r="AW79" s="8">
        <v>0.5</v>
      </c>
      <c r="AY79">
        <f>R26</f>
        <v>0.39473684210526316</v>
      </c>
      <c r="AZ79" s="8">
        <f t="shared" si="34"/>
        <v>0</v>
      </c>
      <c r="BB79">
        <f>Q26</f>
        <v>0.60526315789473684</v>
      </c>
      <c r="BC79" s="8">
        <f t="shared" si="36"/>
        <v>0</v>
      </c>
    </row>
    <row r="80" spans="1:55" x14ac:dyDescent="0.25">
      <c r="A80" t="s">
        <v>62</v>
      </c>
      <c r="B80">
        <f t="shared" si="23"/>
        <v>0.39473684210526316</v>
      </c>
      <c r="C80">
        <f t="shared" si="24"/>
        <v>0.41095890410958902</v>
      </c>
      <c r="D80">
        <f t="shared" si="21"/>
        <v>1.6222062004325855E-2</v>
      </c>
      <c r="E80">
        <f t="shared" si="22"/>
        <v>4.0268456375838859</v>
      </c>
      <c r="F80" s="8">
        <f t="shared" si="25"/>
        <v>0.39473684210526316</v>
      </c>
      <c r="H80">
        <f t="shared" si="26"/>
        <v>0.60526315789473684</v>
      </c>
      <c r="I80">
        <f t="shared" si="27"/>
        <v>0.58904109589041087</v>
      </c>
      <c r="J80">
        <f t="shared" si="28"/>
        <v>1.6222062004325966E-2</v>
      </c>
      <c r="K80">
        <f t="shared" si="29"/>
        <v>2.716571083610035</v>
      </c>
      <c r="L80" s="8">
        <f t="shared" si="30"/>
        <v>0.60526315789473684</v>
      </c>
      <c r="AR80" s="8" t="s">
        <v>63</v>
      </c>
      <c r="AS80" s="8">
        <f>10</f>
        <v>10</v>
      </c>
      <c r="AT80" s="8">
        <v>27</v>
      </c>
      <c r="AU80" s="8">
        <f t="shared" ref="AU80:AU81" si="57">F81</f>
        <v>0.31578947368421051</v>
      </c>
      <c r="AV80" s="8">
        <f t="shared" ref="AV80:AV81" si="58">L81</f>
        <v>0.68421052631578949</v>
      </c>
      <c r="AW80" s="8">
        <v>0.5</v>
      </c>
      <c r="AY80" s="8">
        <f t="shared" ref="AY80:AY81" si="59">R27</f>
        <v>0.31578947368421051</v>
      </c>
      <c r="AZ80" s="8">
        <f t="shared" si="34"/>
        <v>0</v>
      </c>
      <c r="BB80" s="8">
        <f t="shared" ref="BB80:BB81" si="60">Q27</f>
        <v>0.68421052631578949</v>
      </c>
      <c r="BC80" s="8">
        <f t="shared" si="36"/>
        <v>0</v>
      </c>
    </row>
    <row r="81" spans="1:55" x14ac:dyDescent="0.25">
      <c r="A81" t="s">
        <v>63</v>
      </c>
      <c r="B81">
        <f t="shared" si="23"/>
        <v>0.31578947368421051</v>
      </c>
      <c r="C81">
        <f t="shared" si="24"/>
        <v>0.33333333333333331</v>
      </c>
      <c r="D81">
        <f t="shared" si="21"/>
        <v>1.7543859649122806E-2</v>
      </c>
      <c r="E81">
        <f t="shared" si="22"/>
        <v>5.4054054054054053</v>
      </c>
      <c r="F81" s="8">
        <f t="shared" si="25"/>
        <v>0.31578947368421051</v>
      </c>
      <c r="H81">
        <f t="shared" si="26"/>
        <v>0.68421052631578949</v>
      </c>
      <c r="I81">
        <f t="shared" si="27"/>
        <v>0.66666666666666663</v>
      </c>
      <c r="J81">
        <f t="shared" si="28"/>
        <v>1.7543859649122862E-2</v>
      </c>
      <c r="K81">
        <f t="shared" si="29"/>
        <v>2.5974025974026054</v>
      </c>
      <c r="L81" s="8">
        <f t="shared" si="30"/>
        <v>0.68421052631578949</v>
      </c>
      <c r="AR81" s="8" t="s">
        <v>64</v>
      </c>
      <c r="AS81" s="8">
        <f>10</f>
        <v>10</v>
      </c>
      <c r="AT81" s="8">
        <v>42</v>
      </c>
      <c r="AU81" s="8">
        <f t="shared" si="57"/>
        <v>0.28358208955223879</v>
      </c>
      <c r="AV81" s="8">
        <f t="shared" si="58"/>
        <v>0.71641791044776126</v>
      </c>
      <c r="AW81" s="8">
        <v>0.5</v>
      </c>
      <c r="AY81" s="8">
        <f t="shared" si="59"/>
        <v>0.28358208955223879</v>
      </c>
      <c r="AZ81" s="8">
        <f t="shared" si="34"/>
        <v>0</v>
      </c>
      <c r="BB81" s="8">
        <f t="shared" si="60"/>
        <v>0.71641791044776126</v>
      </c>
      <c r="BC81" s="8">
        <f t="shared" si="36"/>
        <v>0</v>
      </c>
    </row>
    <row r="82" spans="1:55" x14ac:dyDescent="0.25">
      <c r="A82" t="s">
        <v>64</v>
      </c>
      <c r="B82">
        <f t="shared" si="23"/>
        <v>0.28358208955223879</v>
      </c>
      <c r="C82">
        <f t="shared" si="24"/>
        <v>0.27272727272727271</v>
      </c>
      <c r="D82">
        <f t="shared" si="21"/>
        <v>1.0854816824966085E-2</v>
      </c>
      <c r="E82">
        <f t="shared" si="22"/>
        <v>3.9024390243902469</v>
      </c>
      <c r="F82" s="8">
        <f t="shared" si="25"/>
        <v>0.28358208955223879</v>
      </c>
      <c r="H82">
        <f t="shared" si="26"/>
        <v>0.71641791044776126</v>
      </c>
      <c r="I82">
        <f t="shared" si="27"/>
        <v>0.72727272727272729</v>
      </c>
      <c r="J82">
        <f t="shared" si="28"/>
        <v>1.0854816824966029E-2</v>
      </c>
      <c r="K82">
        <f t="shared" si="29"/>
        <v>1.5037593984962336</v>
      </c>
      <c r="L82" s="8">
        <f t="shared" si="30"/>
        <v>0.71641791044776126</v>
      </c>
      <c r="AR82" s="8" t="s">
        <v>66</v>
      </c>
      <c r="AS82">
        <f>11</f>
        <v>11</v>
      </c>
      <c r="AT82" s="8">
        <v>12</v>
      </c>
      <c r="AU82" s="8">
        <f>F84</f>
        <v>0.65838509316770188</v>
      </c>
      <c r="AV82">
        <f>L84</f>
        <v>0.34161490683229812</v>
      </c>
      <c r="AW82">
        <v>1.6</v>
      </c>
      <c r="AY82">
        <f>R30</f>
        <v>0.65838509316770188</v>
      </c>
      <c r="AZ82" s="8">
        <f t="shared" si="34"/>
        <v>0</v>
      </c>
      <c r="BB82">
        <f>Q30</f>
        <v>0.34161490683229812</v>
      </c>
      <c r="BC82" s="8">
        <f t="shared" si="36"/>
        <v>0</v>
      </c>
    </row>
    <row r="83" spans="1:55" x14ac:dyDescent="0.25">
      <c r="A83" s="1" t="s">
        <v>65</v>
      </c>
      <c r="B83" s="1">
        <f t="shared" si="23"/>
        <v>0.69117647058823528</v>
      </c>
      <c r="C83" s="1">
        <f t="shared" si="24"/>
        <v>0.70270270270270263</v>
      </c>
      <c r="D83" s="1">
        <f t="shared" si="21"/>
        <v>1.152623211446735E-2</v>
      </c>
      <c r="E83" s="1">
        <f t="shared" si="22"/>
        <v>1.6538351867693102</v>
      </c>
      <c r="F83" s="8">
        <f t="shared" si="25"/>
        <v>0.69117647058823528</v>
      </c>
      <c r="G83" s="1"/>
      <c r="H83" s="1">
        <f t="shared" si="26"/>
        <v>0.30882352941176472</v>
      </c>
      <c r="I83" s="1">
        <f t="shared" si="27"/>
        <v>0.29729729729729731</v>
      </c>
      <c r="J83" s="1">
        <f t="shared" si="28"/>
        <v>1.1526232114467405E-2</v>
      </c>
      <c r="K83" s="1">
        <f t="shared" si="29"/>
        <v>3.8032786885245886</v>
      </c>
      <c r="L83" s="8">
        <f t="shared" si="30"/>
        <v>0.30882352941176472</v>
      </c>
      <c r="AR83" s="8" t="s">
        <v>67</v>
      </c>
      <c r="AS83" s="8">
        <f>11</f>
        <v>11</v>
      </c>
      <c r="AT83" s="8">
        <v>27</v>
      </c>
      <c r="AU83" s="8">
        <f t="shared" ref="AU83:AU84" si="61">F85</f>
        <v>0.57309941520467833</v>
      </c>
      <c r="AV83" s="8">
        <f t="shared" ref="AV83:AV84" si="62">L85</f>
        <v>0.42690058479532161</v>
      </c>
      <c r="AW83" s="8">
        <v>1.6</v>
      </c>
      <c r="AY83" s="8">
        <f t="shared" ref="AY83:AY84" si="63">R31</f>
        <v>0.57309941520467833</v>
      </c>
      <c r="AZ83" s="8">
        <f t="shared" si="34"/>
        <v>0</v>
      </c>
      <c r="BB83" s="8">
        <f t="shared" ref="BB83:BB84" si="64">Q31</f>
        <v>0.42690058479532161</v>
      </c>
      <c r="BC83" s="8">
        <f t="shared" si="36"/>
        <v>0</v>
      </c>
    </row>
    <row r="84" spans="1:55" x14ac:dyDescent="0.25">
      <c r="A84" t="s">
        <v>66</v>
      </c>
      <c r="B84">
        <f t="shared" si="23"/>
        <v>0.65838509316770188</v>
      </c>
      <c r="C84">
        <f t="shared" si="24"/>
        <v>0.67307692307692313</v>
      </c>
      <c r="D84">
        <f t="shared" si="21"/>
        <v>1.4691829909221243E-2</v>
      </c>
      <c r="E84">
        <f t="shared" si="22"/>
        <v>2.2068718040728492</v>
      </c>
      <c r="F84" s="8">
        <f t="shared" si="25"/>
        <v>0.65838509316770188</v>
      </c>
      <c r="H84">
        <f t="shared" si="26"/>
        <v>0.34161490683229812</v>
      </c>
      <c r="I84">
        <f t="shared" si="27"/>
        <v>0.32692307692307687</v>
      </c>
      <c r="J84">
        <f t="shared" si="28"/>
        <v>1.4691829909221243E-2</v>
      </c>
      <c r="K84">
        <f t="shared" si="29"/>
        <v>4.395211720564598</v>
      </c>
      <c r="L84" s="8">
        <f t="shared" si="30"/>
        <v>0.34161490683229812</v>
      </c>
      <c r="AR84" s="8" t="s">
        <v>68</v>
      </c>
      <c r="AS84" s="8">
        <f>11</f>
        <v>11</v>
      </c>
      <c r="AT84" s="8">
        <v>42</v>
      </c>
      <c r="AU84" s="8">
        <f t="shared" si="61"/>
        <v>0.54651162790697672</v>
      </c>
      <c r="AV84" s="8">
        <f t="shared" si="62"/>
        <v>0.45348837209302328</v>
      </c>
      <c r="AW84" s="8">
        <v>1.6</v>
      </c>
      <c r="AY84" s="8">
        <f t="shared" si="63"/>
        <v>0.54651162790697672</v>
      </c>
      <c r="AZ84" s="8">
        <f t="shared" si="34"/>
        <v>0</v>
      </c>
      <c r="BB84" s="8">
        <f t="shared" si="64"/>
        <v>0.45348837209302328</v>
      </c>
      <c r="BC84" s="8">
        <f t="shared" si="36"/>
        <v>0</v>
      </c>
    </row>
    <row r="85" spans="1:55" x14ac:dyDescent="0.25">
      <c r="A85" t="s">
        <v>67</v>
      </c>
      <c r="B85">
        <f t="shared" si="23"/>
        <v>0.57309941520467833</v>
      </c>
      <c r="C85">
        <f t="shared" si="24"/>
        <v>0.55555555555555558</v>
      </c>
      <c r="D85">
        <f t="shared" si="21"/>
        <v>1.7543859649122751E-2</v>
      </c>
      <c r="E85">
        <f t="shared" si="22"/>
        <v>3.1088082901554301</v>
      </c>
      <c r="F85" s="8">
        <f t="shared" si="25"/>
        <v>0.57309941520467833</v>
      </c>
      <c r="H85">
        <f t="shared" si="26"/>
        <v>0.42690058479532161</v>
      </c>
      <c r="I85">
        <f t="shared" si="27"/>
        <v>0.44444444444444442</v>
      </c>
      <c r="J85">
        <f t="shared" si="28"/>
        <v>1.7543859649122806E-2</v>
      </c>
      <c r="K85">
        <f t="shared" si="29"/>
        <v>4.026845637583893</v>
      </c>
      <c r="L85" s="8">
        <f t="shared" si="30"/>
        <v>0.42690058479532161</v>
      </c>
      <c r="AR85" s="8" t="s">
        <v>70</v>
      </c>
      <c r="AS85">
        <f>12</f>
        <v>12</v>
      </c>
      <c r="AT85" s="8">
        <v>12</v>
      </c>
      <c r="AU85" s="8">
        <f>F88</f>
        <v>0.6</v>
      </c>
      <c r="AV85">
        <f>L88</f>
        <v>0.4</v>
      </c>
      <c r="AW85" s="8">
        <v>1.6</v>
      </c>
      <c r="AY85">
        <f>R34</f>
        <v>0.6</v>
      </c>
      <c r="AZ85" s="8">
        <f t="shared" si="34"/>
        <v>0</v>
      </c>
      <c r="BB85">
        <f>Q34</f>
        <v>0.4</v>
      </c>
      <c r="BC85" s="8">
        <f t="shared" si="36"/>
        <v>0</v>
      </c>
    </row>
    <row r="86" spans="1:55" x14ac:dyDescent="0.25">
      <c r="A86" t="s">
        <v>68</v>
      </c>
      <c r="B86">
        <f t="shared" si="23"/>
        <v>0.54651162790697672</v>
      </c>
      <c r="C86">
        <f t="shared" si="24"/>
        <v>0.51162790697674421</v>
      </c>
      <c r="D86">
        <f t="shared" si="21"/>
        <v>3.4883720930232509E-2</v>
      </c>
      <c r="E86">
        <f t="shared" si="22"/>
        <v>6.5934065934065833</v>
      </c>
      <c r="F86" s="8">
        <f t="shared" si="25"/>
        <v>0.54651162790697672</v>
      </c>
      <c r="H86">
        <f t="shared" si="26"/>
        <v>0.45348837209302328</v>
      </c>
      <c r="I86">
        <f t="shared" si="27"/>
        <v>0.48837209302325579</v>
      </c>
      <c r="J86">
        <f t="shared" si="28"/>
        <v>3.4883720930232509E-2</v>
      </c>
      <c r="K86">
        <f t="shared" si="29"/>
        <v>7.4074074074073968</v>
      </c>
      <c r="L86" s="8">
        <f t="shared" si="30"/>
        <v>0.45348837209302328</v>
      </c>
      <c r="AR86" s="8" t="s">
        <v>71</v>
      </c>
      <c r="AS86" s="8">
        <f>12</f>
        <v>12</v>
      </c>
      <c r="AT86" s="8">
        <v>27</v>
      </c>
      <c r="AU86" s="8">
        <f t="shared" ref="AU86:AU87" si="65">F89</f>
        <v>0.67901234567901236</v>
      </c>
      <c r="AV86" s="8">
        <f t="shared" ref="AV86:AV87" si="66">L89</f>
        <v>0.32098765432098764</v>
      </c>
      <c r="AW86" s="8">
        <v>1.6</v>
      </c>
      <c r="AY86" s="8">
        <f t="shared" ref="AY86:AY87" si="67">R35</f>
        <v>0.67901234567901236</v>
      </c>
      <c r="AZ86" s="8">
        <f t="shared" si="34"/>
        <v>0</v>
      </c>
      <c r="BB86" s="8">
        <f t="shared" ref="BB86:BB87" si="68">Q35</f>
        <v>0.32098765432098764</v>
      </c>
      <c r="BC86" s="8">
        <f t="shared" si="36"/>
        <v>0</v>
      </c>
    </row>
    <row r="87" spans="1:55" x14ac:dyDescent="0.25">
      <c r="A87" s="1" t="s">
        <v>69</v>
      </c>
      <c r="B87" s="1">
        <f t="shared" si="23"/>
        <v>0.49090909090909091</v>
      </c>
      <c r="C87" s="1">
        <f t="shared" si="24"/>
        <v>0.48780487804878048</v>
      </c>
      <c r="D87" s="1">
        <f t="shared" si="21"/>
        <v>3.1042128603104291E-3</v>
      </c>
      <c r="E87" s="1">
        <f t="shared" si="22"/>
        <v>0.63434526506570166</v>
      </c>
      <c r="F87" s="8">
        <f t="shared" si="25"/>
        <v>0.49090909090909091</v>
      </c>
      <c r="G87" s="1"/>
      <c r="H87" s="1">
        <f t="shared" si="26"/>
        <v>0.50909090909090904</v>
      </c>
      <c r="I87" s="1">
        <f t="shared" si="27"/>
        <v>0.51219512195121952</v>
      </c>
      <c r="J87" s="1">
        <f t="shared" si="28"/>
        <v>3.1042128603104846E-3</v>
      </c>
      <c r="K87" s="1">
        <f t="shared" si="29"/>
        <v>0.60790273556232244</v>
      </c>
      <c r="L87" s="8">
        <f t="shared" si="30"/>
        <v>0.50909090909090904</v>
      </c>
      <c r="AR87" s="8" t="s">
        <v>72</v>
      </c>
      <c r="AS87" s="8">
        <f>12</f>
        <v>12</v>
      </c>
      <c r="AT87" s="8">
        <v>42</v>
      </c>
      <c r="AU87" s="8">
        <f t="shared" si="65"/>
        <v>0.59235668789808915</v>
      </c>
      <c r="AV87" s="8">
        <f t="shared" si="66"/>
        <v>0.40764331210191085</v>
      </c>
      <c r="AW87" s="8">
        <v>1.6</v>
      </c>
      <c r="AY87" s="8">
        <f t="shared" si="67"/>
        <v>0.59235668789808915</v>
      </c>
      <c r="AZ87" s="8">
        <f t="shared" si="34"/>
        <v>0</v>
      </c>
      <c r="BB87" s="8">
        <f t="shared" si="68"/>
        <v>0.40764331210191085</v>
      </c>
      <c r="BC87" s="8">
        <f t="shared" si="36"/>
        <v>0</v>
      </c>
    </row>
    <row r="88" spans="1:55" x14ac:dyDescent="0.25">
      <c r="A88" t="s">
        <v>70</v>
      </c>
      <c r="B88">
        <f t="shared" si="23"/>
        <v>0.6</v>
      </c>
      <c r="C88">
        <f t="shared" si="24"/>
        <v>0.56213017751479288</v>
      </c>
      <c r="D88">
        <f t="shared" si="21"/>
        <v>3.7869822485207094E-2</v>
      </c>
      <c r="E88">
        <f t="shared" si="22"/>
        <v>6.5173116089613021</v>
      </c>
      <c r="F88" s="8">
        <f t="shared" si="25"/>
        <v>0.6</v>
      </c>
      <c r="H88">
        <f t="shared" si="26"/>
        <v>0.4</v>
      </c>
      <c r="I88">
        <f t="shared" si="27"/>
        <v>0.43786982248520712</v>
      </c>
      <c r="J88">
        <f t="shared" si="28"/>
        <v>3.7869822485207094E-2</v>
      </c>
      <c r="K88">
        <f t="shared" si="29"/>
        <v>9.0395480225988685</v>
      </c>
      <c r="L88" s="8">
        <f t="shared" si="30"/>
        <v>0.4</v>
      </c>
      <c r="AR88" t="s">
        <v>80</v>
      </c>
      <c r="AS88">
        <v>6</v>
      </c>
      <c r="AT88">
        <v>12</v>
      </c>
      <c r="AU88">
        <f>F92</f>
        <v>0</v>
      </c>
      <c r="AV88">
        <f>L92</f>
        <v>1</v>
      </c>
      <c r="AW88">
        <v>0.3</v>
      </c>
      <c r="AY88">
        <f>R38</f>
        <v>0</v>
      </c>
      <c r="AZ88" s="8">
        <f t="shared" si="34"/>
        <v>0</v>
      </c>
      <c r="BB88">
        <f>Q38</f>
        <v>1</v>
      </c>
      <c r="BC88" s="8">
        <f t="shared" si="36"/>
        <v>0</v>
      </c>
    </row>
    <row r="89" spans="1:55" x14ac:dyDescent="0.25">
      <c r="A89" t="s">
        <v>71</v>
      </c>
      <c r="B89">
        <f t="shared" si="23"/>
        <v>0.67901234567901236</v>
      </c>
      <c r="C89">
        <f t="shared" si="24"/>
        <v>0.66871165644171782</v>
      </c>
      <c r="D89">
        <f t="shared" si="21"/>
        <v>1.0300689237294547E-2</v>
      </c>
      <c r="E89">
        <f t="shared" si="22"/>
        <v>1.528605147802629</v>
      </c>
      <c r="F89" s="8">
        <f t="shared" si="25"/>
        <v>0.67901234567901236</v>
      </c>
      <c r="H89">
        <f t="shared" si="26"/>
        <v>0.32098765432098764</v>
      </c>
      <c r="I89">
        <f t="shared" si="27"/>
        <v>0.33128834355828218</v>
      </c>
      <c r="J89">
        <f t="shared" si="28"/>
        <v>1.0300689237294547E-2</v>
      </c>
      <c r="K89">
        <f t="shared" si="29"/>
        <v>3.1583836507199234</v>
      </c>
      <c r="L89" s="8">
        <f t="shared" si="30"/>
        <v>0.32098765432098764</v>
      </c>
      <c r="AR89" s="8" t="s">
        <v>81</v>
      </c>
      <c r="AS89">
        <f>6</f>
        <v>6</v>
      </c>
      <c r="AT89" s="8">
        <v>27</v>
      </c>
      <c r="AU89" s="8">
        <f>F93</f>
        <v>0.29629629629629628</v>
      </c>
      <c r="AV89">
        <f>L93</f>
        <v>0.70370370370370372</v>
      </c>
      <c r="AW89">
        <v>0.3</v>
      </c>
      <c r="AY89" s="8">
        <f t="shared" ref="AY89:AY90" si="69">R39</f>
        <v>0.29629629629629628</v>
      </c>
      <c r="AZ89" s="8">
        <f t="shared" si="34"/>
        <v>0</v>
      </c>
      <c r="BB89" s="8">
        <f t="shared" ref="BB89:BB90" si="70">Q39</f>
        <v>0.70370370370370372</v>
      </c>
      <c r="BC89" s="8">
        <f t="shared" si="36"/>
        <v>0</v>
      </c>
    </row>
    <row r="90" spans="1:55" x14ac:dyDescent="0.25">
      <c r="A90" t="s">
        <v>72</v>
      </c>
      <c r="B90">
        <f t="shared" si="23"/>
        <v>0.59235668789808915</v>
      </c>
      <c r="C90">
        <f t="shared" si="24"/>
        <v>0.59872611464968151</v>
      </c>
      <c r="D90">
        <f t="shared" si="21"/>
        <v>6.3694267515923553E-3</v>
      </c>
      <c r="E90">
        <f t="shared" si="22"/>
        <v>1.0695187165775399</v>
      </c>
      <c r="F90" s="8">
        <f t="shared" si="25"/>
        <v>0.59235668789808915</v>
      </c>
      <c r="H90">
        <f t="shared" si="26"/>
        <v>0.40764331210191085</v>
      </c>
      <c r="I90">
        <f t="shared" si="27"/>
        <v>0.40127388535031849</v>
      </c>
      <c r="J90">
        <f t="shared" si="28"/>
        <v>6.3694267515923553E-3</v>
      </c>
      <c r="K90">
        <f t="shared" si="29"/>
        <v>1.5748031496062989</v>
      </c>
      <c r="L90" s="8">
        <f t="shared" si="30"/>
        <v>0.40764331210191085</v>
      </c>
      <c r="AR90" s="8" t="s">
        <v>82</v>
      </c>
      <c r="AS90">
        <v>6</v>
      </c>
      <c r="AT90" s="8">
        <v>42</v>
      </c>
      <c r="AU90" s="8">
        <f>F94</f>
        <v>0.16666666666666666</v>
      </c>
      <c r="AV90" s="8">
        <f>L94</f>
        <v>0.83333333333333337</v>
      </c>
      <c r="AW90" s="8">
        <v>0.3</v>
      </c>
      <c r="AY90" s="8">
        <f t="shared" si="69"/>
        <v>0.16666666666666666</v>
      </c>
      <c r="AZ90" s="8">
        <f t="shared" si="34"/>
        <v>0</v>
      </c>
      <c r="BB90" s="8">
        <f>Q40</f>
        <v>0.83333333333333337</v>
      </c>
      <c r="BC90" s="8">
        <f t="shared" si="36"/>
        <v>0</v>
      </c>
    </row>
    <row r="91" spans="1:55" x14ac:dyDescent="0.25">
      <c r="A91" s="1" t="s">
        <v>73</v>
      </c>
      <c r="B91" s="1">
        <f t="shared" si="23"/>
        <v>0.3772455089820359</v>
      </c>
      <c r="C91" s="1">
        <f t="shared" si="24"/>
        <v>0.38181818181818183</v>
      </c>
      <c r="D91" s="1">
        <f t="shared" si="21"/>
        <v>4.5726728361459301E-3</v>
      </c>
      <c r="E91" s="1">
        <f t="shared" si="22"/>
        <v>1.2048192771084443</v>
      </c>
      <c r="F91" s="8">
        <f t="shared" si="25"/>
        <v>0.3772455089820359</v>
      </c>
      <c r="G91" s="1"/>
      <c r="H91" s="1">
        <f t="shared" si="26"/>
        <v>0.6227544910179641</v>
      </c>
      <c r="I91" s="1">
        <f t="shared" si="27"/>
        <v>0.61818181818181817</v>
      </c>
      <c r="J91" s="1">
        <f t="shared" si="28"/>
        <v>4.5726728361459301E-3</v>
      </c>
      <c r="K91" s="1">
        <f t="shared" si="29"/>
        <v>0.73697139849096982</v>
      </c>
      <c r="L91" s="8">
        <f t="shared" si="30"/>
        <v>0.6227544910179641</v>
      </c>
      <c r="AR91" s="8" t="s">
        <v>79</v>
      </c>
      <c r="AS91">
        <f>7</f>
        <v>7</v>
      </c>
      <c r="AT91" s="8">
        <v>12</v>
      </c>
      <c r="AU91" s="8">
        <f>F96</f>
        <v>0</v>
      </c>
      <c r="AV91">
        <f>L96</f>
        <v>1</v>
      </c>
      <c r="AW91" s="8">
        <v>0.3</v>
      </c>
      <c r="AY91">
        <f>R42</f>
        <v>0</v>
      </c>
      <c r="AZ91" s="8">
        <f t="shared" si="34"/>
        <v>0</v>
      </c>
      <c r="BB91">
        <f>Q42</f>
        <v>1</v>
      </c>
      <c r="BC91" s="8">
        <f t="shared" si="36"/>
        <v>0</v>
      </c>
    </row>
    <row r="92" spans="1:55" x14ac:dyDescent="0.25">
      <c r="A92" t="s">
        <v>80</v>
      </c>
      <c r="B92">
        <f t="shared" si="23"/>
        <v>0</v>
      </c>
      <c r="C92">
        <f t="shared" si="24"/>
        <v>0</v>
      </c>
      <c r="D92">
        <f t="shared" si="21"/>
        <v>0</v>
      </c>
      <c r="E92" t="e">
        <f t="shared" si="22"/>
        <v>#DIV/0!</v>
      </c>
      <c r="F92" s="8">
        <f t="shared" si="25"/>
        <v>0</v>
      </c>
      <c r="H92">
        <f t="shared" si="26"/>
        <v>1</v>
      </c>
      <c r="I92">
        <f t="shared" si="27"/>
        <v>0</v>
      </c>
      <c r="J92">
        <f t="shared" si="28"/>
        <v>1</v>
      </c>
      <c r="K92">
        <f t="shared" si="29"/>
        <v>200</v>
      </c>
      <c r="L92" s="8">
        <f t="shared" si="30"/>
        <v>1</v>
      </c>
      <c r="AR92" s="8" t="s">
        <v>84</v>
      </c>
      <c r="AS92">
        <f>7</f>
        <v>7</v>
      </c>
      <c r="AT92" s="8">
        <v>27</v>
      </c>
      <c r="AU92" s="8">
        <f>F97</f>
        <v>0.33846153846153848</v>
      </c>
      <c r="AV92" s="8">
        <f>L97</f>
        <v>0.66153846153846163</v>
      </c>
      <c r="AW92" s="8">
        <v>0.3</v>
      </c>
      <c r="AY92" s="8">
        <f t="shared" ref="AY92:AY93" si="71">R43</f>
        <v>0.33846153846153848</v>
      </c>
      <c r="AZ92" s="8">
        <f t="shared" si="34"/>
        <v>0</v>
      </c>
      <c r="BB92" s="8">
        <f t="shared" ref="BB92:BB93" si="72">Q43</f>
        <v>0.66153846153846163</v>
      </c>
      <c r="BC92" s="8">
        <f t="shared" si="36"/>
        <v>0</v>
      </c>
    </row>
    <row r="93" spans="1:55" x14ac:dyDescent="0.25">
      <c r="A93" t="s">
        <v>81</v>
      </c>
      <c r="B93">
        <f t="shared" si="23"/>
        <v>0.29629629629629628</v>
      </c>
      <c r="C93">
        <f t="shared" si="24"/>
        <v>0.27500000000000002</v>
      </c>
      <c r="D93">
        <f t="shared" si="21"/>
        <v>2.1296296296296258E-2</v>
      </c>
      <c r="E93">
        <f t="shared" si="22"/>
        <v>7.4554294975688684</v>
      </c>
      <c r="F93" s="8">
        <f t="shared" si="25"/>
        <v>0.29629629629629628</v>
      </c>
      <c r="H93">
        <f t="shared" si="26"/>
        <v>0.70370370370370372</v>
      </c>
      <c r="I93">
        <f t="shared" si="27"/>
        <v>0.72500000000000009</v>
      </c>
      <c r="J93">
        <f t="shared" si="28"/>
        <v>2.1296296296296369E-2</v>
      </c>
      <c r="K93">
        <f t="shared" si="29"/>
        <v>2.9812054439403859</v>
      </c>
      <c r="L93" s="8">
        <f t="shared" si="30"/>
        <v>0.70370370370370372</v>
      </c>
      <c r="AR93" t="s">
        <v>85</v>
      </c>
      <c r="AS93">
        <v>7</v>
      </c>
      <c r="AT93">
        <v>42</v>
      </c>
      <c r="AU93">
        <f>F98</f>
        <v>0</v>
      </c>
      <c r="AV93">
        <f>L98</f>
        <v>1</v>
      </c>
      <c r="AW93">
        <v>0.3</v>
      </c>
      <c r="AY93" s="8">
        <f t="shared" si="71"/>
        <v>0</v>
      </c>
      <c r="AZ93" s="8">
        <f t="shared" si="34"/>
        <v>0</v>
      </c>
      <c r="BB93" s="8">
        <f t="shared" si="72"/>
        <v>1</v>
      </c>
      <c r="BC93" s="8">
        <f t="shared" si="36"/>
        <v>0</v>
      </c>
    </row>
    <row r="94" spans="1:55" x14ac:dyDescent="0.25">
      <c r="A94" t="s">
        <v>82</v>
      </c>
      <c r="B94">
        <f t="shared" si="23"/>
        <v>0.16666666666666666</v>
      </c>
      <c r="C94">
        <f t="shared" si="24"/>
        <v>0.17105263157894737</v>
      </c>
      <c r="D94">
        <f t="shared" si="21"/>
        <v>4.3859649122807154E-3</v>
      </c>
      <c r="E94">
        <f t="shared" si="22"/>
        <v>2.5974025974026054</v>
      </c>
      <c r="F94" s="8">
        <f t="shared" si="25"/>
        <v>0.16666666666666666</v>
      </c>
      <c r="H94">
        <f t="shared" si="26"/>
        <v>0.83333333333333337</v>
      </c>
      <c r="I94">
        <f t="shared" si="27"/>
        <v>0.82894736842105265</v>
      </c>
      <c r="J94">
        <f t="shared" si="28"/>
        <v>4.3859649122807154E-3</v>
      </c>
      <c r="K94">
        <f t="shared" si="29"/>
        <v>0.52770448548812821</v>
      </c>
      <c r="L94" s="8">
        <f t="shared" si="30"/>
        <v>0.83333333333333337</v>
      </c>
      <c r="AR94" s="8" t="s">
        <v>87</v>
      </c>
      <c r="AS94">
        <f>14</f>
        <v>14</v>
      </c>
      <c r="AT94" s="8">
        <v>12</v>
      </c>
      <c r="AU94" s="8">
        <f>F100</f>
        <v>0.80107526881720426</v>
      </c>
      <c r="AV94">
        <f>L100</f>
        <v>0.19892473118279569</v>
      </c>
      <c r="AW94">
        <v>1.6</v>
      </c>
      <c r="AY94" s="8">
        <f>R46</f>
        <v>0.80107526881720426</v>
      </c>
      <c r="AZ94" s="8">
        <f t="shared" si="34"/>
        <v>0</v>
      </c>
      <c r="BB94">
        <f>Q46</f>
        <v>0.19892473118279569</v>
      </c>
      <c r="BC94" s="8">
        <f t="shared" si="36"/>
        <v>0</v>
      </c>
    </row>
    <row r="95" spans="1:55" x14ac:dyDescent="0.25">
      <c r="A95" s="1" t="s">
        <v>83</v>
      </c>
      <c r="B95" s="1">
        <f t="shared" si="23"/>
        <v>0.64615384615384619</v>
      </c>
      <c r="C95" s="1">
        <f t="shared" si="24"/>
        <v>0.66153846153846163</v>
      </c>
      <c r="D95" s="1">
        <f t="shared" si="21"/>
        <v>1.5384615384615441E-2</v>
      </c>
      <c r="E95" s="1">
        <f t="shared" si="22"/>
        <v>2.3529411764705963</v>
      </c>
      <c r="F95" s="8">
        <f t="shared" si="25"/>
        <v>0.64615384615384619</v>
      </c>
      <c r="G95" s="1"/>
      <c r="H95" s="1">
        <f t="shared" si="26"/>
        <v>0.35384615384615387</v>
      </c>
      <c r="I95" s="1">
        <f t="shared" si="27"/>
        <v>0.33846153846153848</v>
      </c>
      <c r="J95" s="1">
        <f t="shared" si="28"/>
        <v>1.5384615384615385E-2</v>
      </c>
      <c r="K95" s="1">
        <f t="shared" si="29"/>
        <v>4.4444444444444446</v>
      </c>
      <c r="L95" s="8">
        <f t="shared" si="30"/>
        <v>0.35384615384615387</v>
      </c>
      <c r="AR95" s="8" t="s">
        <v>88</v>
      </c>
      <c r="AS95">
        <f>14</f>
        <v>14</v>
      </c>
      <c r="AT95" s="8">
        <v>27</v>
      </c>
      <c r="AU95" s="8">
        <f>F101</f>
        <v>0.9642857142857143</v>
      </c>
      <c r="AV95" s="8">
        <f>L101</f>
        <v>3.5714285714285712E-2</v>
      </c>
      <c r="AW95" s="8">
        <v>1.6</v>
      </c>
      <c r="AY95" s="8">
        <f t="shared" ref="AY95:AY96" si="73">R47</f>
        <v>0.9642857142857143</v>
      </c>
      <c r="AZ95" s="8">
        <f t="shared" si="34"/>
        <v>0</v>
      </c>
      <c r="BB95" s="8">
        <f t="shared" ref="BB95:BB96" si="74">Q47</f>
        <v>3.5714285714285712E-2</v>
      </c>
      <c r="BC95" s="8">
        <f t="shared" si="36"/>
        <v>0</v>
      </c>
    </row>
    <row r="96" spans="1:55" x14ac:dyDescent="0.25">
      <c r="A96" t="s">
        <v>79</v>
      </c>
      <c r="B96">
        <f t="shared" si="23"/>
        <v>0</v>
      </c>
      <c r="C96">
        <f t="shared" si="24"/>
        <v>0.42499999999999999</v>
      </c>
      <c r="D96">
        <f t="shared" si="21"/>
        <v>0.42499999999999999</v>
      </c>
      <c r="E96">
        <f t="shared" si="22"/>
        <v>200</v>
      </c>
      <c r="F96" s="8">
        <f t="shared" si="25"/>
        <v>0</v>
      </c>
      <c r="H96">
        <f t="shared" si="26"/>
        <v>1</v>
      </c>
      <c r="I96">
        <f t="shared" si="27"/>
        <v>0.57499999999999996</v>
      </c>
      <c r="J96">
        <f t="shared" si="28"/>
        <v>0.42500000000000004</v>
      </c>
      <c r="K96">
        <f t="shared" si="29"/>
        <v>53.968253968253975</v>
      </c>
      <c r="L96" s="8">
        <f t="shared" si="30"/>
        <v>1</v>
      </c>
      <c r="AR96" s="8" t="s">
        <v>89</v>
      </c>
      <c r="AS96">
        <f>14</f>
        <v>14</v>
      </c>
      <c r="AT96" s="8">
        <v>42</v>
      </c>
      <c r="AU96" s="8">
        <f>F102</f>
        <v>0.97619047619047616</v>
      </c>
      <c r="AV96" s="8">
        <f>L102</f>
        <v>2.3809523809523808E-2</v>
      </c>
      <c r="AW96" s="8">
        <v>1.6</v>
      </c>
      <c r="AY96" s="8">
        <f t="shared" si="73"/>
        <v>0.97619047619047616</v>
      </c>
      <c r="AZ96" s="8">
        <f t="shared" si="34"/>
        <v>0</v>
      </c>
      <c r="BB96" s="8">
        <f t="shared" si="74"/>
        <v>2.3809523809523808E-2</v>
      </c>
      <c r="BC96" s="8">
        <f t="shared" si="36"/>
        <v>0</v>
      </c>
    </row>
    <row r="97" spans="1:47" x14ac:dyDescent="0.25">
      <c r="A97" t="s">
        <v>84</v>
      </c>
      <c r="B97">
        <f t="shared" si="23"/>
        <v>0.33846153846153848</v>
      </c>
      <c r="C97">
        <f t="shared" si="24"/>
        <v>0.29850746268656714</v>
      </c>
      <c r="D97">
        <f t="shared" si="21"/>
        <v>3.9954075774971343E-2</v>
      </c>
      <c r="E97">
        <f t="shared" si="22"/>
        <v>12.545061283345364</v>
      </c>
      <c r="F97" s="8">
        <f t="shared" si="25"/>
        <v>0.33846153846153848</v>
      </c>
      <c r="H97">
        <f t="shared" si="26"/>
        <v>0.66153846153846163</v>
      </c>
      <c r="I97">
        <f t="shared" si="27"/>
        <v>0.70149253731343286</v>
      </c>
      <c r="J97">
        <f t="shared" si="28"/>
        <v>3.9954075774971232E-2</v>
      </c>
      <c r="K97">
        <f t="shared" si="29"/>
        <v>5.8625336927223621</v>
      </c>
      <c r="L97" s="8">
        <f t="shared" si="30"/>
        <v>0.66153846153846163</v>
      </c>
      <c r="AU97" s="8"/>
    </row>
    <row r="98" spans="1:47" x14ac:dyDescent="0.25">
      <c r="A98" t="s">
        <v>85</v>
      </c>
      <c r="B98" s="8">
        <f t="shared" si="23"/>
        <v>0</v>
      </c>
      <c r="C98">
        <f t="shared" si="24"/>
        <v>0</v>
      </c>
      <c r="D98">
        <f t="shared" si="21"/>
        <v>0</v>
      </c>
      <c r="E98" t="e">
        <f t="shared" si="22"/>
        <v>#DIV/0!</v>
      </c>
      <c r="F98" s="8">
        <f t="shared" si="25"/>
        <v>0</v>
      </c>
      <c r="H98">
        <f t="shared" si="26"/>
        <v>1</v>
      </c>
      <c r="I98">
        <f t="shared" si="27"/>
        <v>0</v>
      </c>
      <c r="J98">
        <f t="shared" si="28"/>
        <v>1</v>
      </c>
      <c r="K98">
        <f t="shared" si="29"/>
        <v>200</v>
      </c>
      <c r="L98" s="8">
        <f t="shared" si="30"/>
        <v>1</v>
      </c>
      <c r="AU98" s="8"/>
    </row>
    <row r="99" spans="1:47" x14ac:dyDescent="0.25">
      <c r="A99" s="1" t="s">
        <v>86</v>
      </c>
      <c r="B99" s="1">
        <f t="shared" si="23"/>
        <v>0.80769230769230771</v>
      </c>
      <c r="C99" s="1">
        <f t="shared" si="24"/>
        <v>0.83333333333333337</v>
      </c>
      <c r="D99" s="1">
        <f t="shared" si="21"/>
        <v>2.5641025641025661E-2</v>
      </c>
      <c r="E99" s="1">
        <f t="shared" si="22"/>
        <v>3.1250000000000027</v>
      </c>
      <c r="F99" s="8">
        <f t="shared" si="25"/>
        <v>0.80769230769230771</v>
      </c>
      <c r="G99" s="1"/>
      <c r="H99" s="1">
        <f t="shared" si="26"/>
        <v>0.19230769230769232</v>
      </c>
      <c r="I99" s="1">
        <f t="shared" si="27"/>
        <v>0.16666666666666666</v>
      </c>
      <c r="J99" s="1">
        <f t="shared" si="28"/>
        <v>2.5641025641025661E-2</v>
      </c>
      <c r="K99" s="1">
        <f t="shared" si="29"/>
        <v>14.285714285714297</v>
      </c>
      <c r="L99" s="8">
        <f t="shared" si="30"/>
        <v>0.19230769230769232</v>
      </c>
      <c r="AU99" s="8"/>
    </row>
    <row r="100" spans="1:47" x14ac:dyDescent="0.25">
      <c r="A100" t="s">
        <v>87</v>
      </c>
      <c r="B100">
        <f t="shared" si="23"/>
        <v>0.80107526881720426</v>
      </c>
      <c r="C100">
        <f t="shared" si="24"/>
        <v>0.79365079365079361</v>
      </c>
      <c r="D100">
        <f t="shared" si="21"/>
        <v>7.424475166410649E-3</v>
      </c>
      <c r="E100">
        <f t="shared" si="22"/>
        <v>0.93112859206935283</v>
      </c>
      <c r="F100" s="8">
        <f t="shared" si="25"/>
        <v>0.80107526881720426</v>
      </c>
      <c r="H100">
        <f t="shared" si="26"/>
        <v>0.19892473118279569</v>
      </c>
      <c r="I100">
        <f t="shared" si="27"/>
        <v>0.20634920634920634</v>
      </c>
      <c r="J100">
        <f t="shared" si="28"/>
        <v>7.424475166410649E-3</v>
      </c>
      <c r="K100">
        <f t="shared" si="29"/>
        <v>3.6639292482627916</v>
      </c>
      <c r="L100" s="8">
        <f t="shared" si="30"/>
        <v>0.19892473118279569</v>
      </c>
      <c r="AU100" s="8"/>
    </row>
    <row r="101" spans="1:47" x14ac:dyDescent="0.25">
      <c r="A101" t="s">
        <v>88</v>
      </c>
      <c r="B101">
        <f t="shared" si="23"/>
        <v>0.9642857142857143</v>
      </c>
      <c r="C101">
        <f t="shared" si="24"/>
        <v>0.8597560975609756</v>
      </c>
      <c r="D101">
        <f t="shared" si="21"/>
        <v>0.10452961672473871</v>
      </c>
      <c r="E101">
        <f t="shared" si="22"/>
        <v>11.461318051575935</v>
      </c>
      <c r="F101" s="8">
        <f t="shared" si="25"/>
        <v>0.9642857142857143</v>
      </c>
      <c r="H101">
        <f t="shared" si="26"/>
        <v>3.5714285714285712E-2</v>
      </c>
      <c r="I101">
        <f t="shared" si="27"/>
        <v>0.1402439024390244</v>
      </c>
      <c r="J101">
        <f t="shared" si="28"/>
        <v>0.10452961672473869</v>
      </c>
      <c r="K101">
        <f t="shared" si="29"/>
        <v>118.81188118811883</v>
      </c>
      <c r="L101" s="8">
        <f t="shared" si="30"/>
        <v>3.5714285714285712E-2</v>
      </c>
      <c r="AU101" s="8"/>
    </row>
    <row r="102" spans="1:47" x14ac:dyDescent="0.25">
      <c r="A102" t="s">
        <v>89</v>
      </c>
      <c r="B102">
        <f>R48</f>
        <v>0.97619047619047616</v>
      </c>
      <c r="C102">
        <f t="shared" si="24"/>
        <v>0.92261904761904767</v>
      </c>
      <c r="D102">
        <f t="shared" si="21"/>
        <v>5.3571428571428492E-2</v>
      </c>
      <c r="E102">
        <f t="shared" si="22"/>
        <v>5.6426332288401166</v>
      </c>
      <c r="F102" s="8">
        <f t="shared" si="25"/>
        <v>0.97619047619047616</v>
      </c>
      <c r="H102">
        <f t="shared" si="26"/>
        <v>2.3809523809523808E-2</v>
      </c>
      <c r="I102">
        <f t="shared" si="27"/>
        <v>7.7380952380952384E-2</v>
      </c>
      <c r="J102">
        <f t="shared" si="28"/>
        <v>5.3571428571428575E-2</v>
      </c>
      <c r="K102">
        <f t="shared" si="29"/>
        <v>105.88235294117648</v>
      </c>
      <c r="L102" s="8">
        <f t="shared" si="30"/>
        <v>2.3809523809523808E-2</v>
      </c>
      <c r="AU102" s="8"/>
    </row>
    <row r="103" spans="1:47" x14ac:dyDescent="0.25">
      <c r="A103" t="s">
        <v>90</v>
      </c>
      <c r="B103">
        <f>R49</f>
        <v>0.1206896551724138</v>
      </c>
      <c r="C103">
        <f>AM49</f>
        <v>0.6257309941520468</v>
      </c>
      <c r="D103">
        <f t="shared" si="21"/>
        <v>0.50504133897963299</v>
      </c>
      <c r="E103">
        <f t="shared" si="22"/>
        <v>135.32351749290828</v>
      </c>
      <c r="F103" s="8">
        <f t="shared" si="25"/>
        <v>0.1206896551724138</v>
      </c>
      <c r="H103">
        <f t="shared" si="26"/>
        <v>0.8793103448275863</v>
      </c>
      <c r="I103">
        <f t="shared" si="27"/>
        <v>0.3742690058479532</v>
      </c>
      <c r="J103">
        <f t="shared" si="28"/>
        <v>0.5050413389796331</v>
      </c>
      <c r="K103">
        <f t="shared" si="29"/>
        <v>80.575886752996084</v>
      </c>
      <c r="L103" s="8">
        <f t="shared" si="30"/>
        <v>0.8793103448275863</v>
      </c>
      <c r="AU103" s="8"/>
    </row>
    <row r="104" spans="1:47" x14ac:dyDescent="0.25">
      <c r="AU104" s="8"/>
    </row>
    <row r="105" spans="1:47" x14ac:dyDescent="0.25">
      <c r="AU105" s="8"/>
    </row>
    <row r="106" spans="1:47" x14ac:dyDescent="0.25">
      <c r="A106" t="s">
        <v>110</v>
      </c>
      <c r="AU106" s="8"/>
    </row>
    <row r="107" spans="1:47" x14ac:dyDescent="0.25">
      <c r="A107" s="6" t="s">
        <v>101</v>
      </c>
      <c r="B107" s="6" t="s">
        <v>102</v>
      </c>
      <c r="C107" s="6" t="s">
        <v>103</v>
      </c>
      <c r="D107" s="6" t="s">
        <v>104</v>
      </c>
      <c r="E107" s="6" t="s">
        <v>105</v>
      </c>
      <c r="AU107" s="8"/>
    </row>
    <row r="108" spans="1:47" x14ac:dyDescent="0.25">
      <c r="A108" s="7">
        <v>2</v>
      </c>
      <c r="B108" s="7">
        <v>2</v>
      </c>
      <c r="C108" s="7">
        <v>1</v>
      </c>
      <c r="D108" s="7">
        <f>180</f>
        <v>180</v>
      </c>
      <c r="E108" s="7" t="s">
        <v>106</v>
      </c>
    </row>
    <row r="109" spans="1:47" x14ac:dyDescent="0.25">
      <c r="A109" s="7">
        <v>3</v>
      </c>
      <c r="B109" s="7">
        <v>2</v>
      </c>
      <c r="C109" s="7">
        <v>1</v>
      </c>
      <c r="D109" s="7">
        <v>180</v>
      </c>
      <c r="E109" s="7" t="s">
        <v>141</v>
      </c>
    </row>
    <row r="110" spans="1:47" x14ac:dyDescent="0.25">
      <c r="A110" s="7">
        <v>4</v>
      </c>
      <c r="B110" s="7">
        <v>2</v>
      </c>
      <c r="C110" s="7">
        <v>1</v>
      </c>
      <c r="D110" s="7">
        <v>180</v>
      </c>
      <c r="E110" s="7" t="s">
        <v>142</v>
      </c>
    </row>
    <row r="111" spans="1:47" x14ac:dyDescent="0.25">
      <c r="A111" s="7">
        <v>5</v>
      </c>
      <c r="B111" s="7">
        <v>2</v>
      </c>
      <c r="C111" s="7">
        <v>0.3</v>
      </c>
      <c r="D111" s="7">
        <v>180</v>
      </c>
      <c r="E111" s="7" t="s">
        <v>106</v>
      </c>
    </row>
    <row r="112" spans="1:47" x14ac:dyDescent="0.25">
      <c r="A112" s="7">
        <v>6</v>
      </c>
      <c r="B112" s="7">
        <v>2</v>
      </c>
      <c r="C112" s="7">
        <v>0.3</v>
      </c>
      <c r="D112" s="7">
        <v>180</v>
      </c>
      <c r="E112" s="7" t="s">
        <v>141</v>
      </c>
    </row>
    <row r="113" spans="1:10" x14ac:dyDescent="0.25">
      <c r="A113" s="7">
        <v>7</v>
      </c>
      <c r="B113" s="7">
        <v>2</v>
      </c>
      <c r="C113" s="7">
        <v>0.3</v>
      </c>
      <c r="D113" s="7">
        <v>180</v>
      </c>
      <c r="E113" s="7" t="s">
        <v>142</v>
      </c>
    </row>
    <row r="114" spans="1:10" x14ac:dyDescent="0.25">
      <c r="A114" s="7">
        <v>8</v>
      </c>
      <c r="B114" s="7">
        <v>2</v>
      </c>
      <c r="C114" s="7">
        <v>0.5</v>
      </c>
      <c r="D114" s="7">
        <v>180</v>
      </c>
      <c r="E114" s="7" t="s">
        <v>106</v>
      </c>
    </row>
    <row r="115" spans="1:10" x14ac:dyDescent="0.25">
      <c r="A115" s="7">
        <v>9</v>
      </c>
      <c r="B115" s="7">
        <v>2</v>
      </c>
      <c r="C115" s="7">
        <v>0.5</v>
      </c>
      <c r="D115" s="7">
        <v>180</v>
      </c>
      <c r="E115" s="7" t="s">
        <v>143</v>
      </c>
    </row>
    <row r="116" spans="1:10" x14ac:dyDescent="0.25">
      <c r="A116" s="7">
        <v>10</v>
      </c>
      <c r="B116" s="7">
        <v>2</v>
      </c>
      <c r="C116" s="7">
        <v>0.5</v>
      </c>
      <c r="D116" s="7">
        <v>180</v>
      </c>
      <c r="E116" s="7" t="s">
        <v>107</v>
      </c>
    </row>
    <row r="117" spans="1:10" x14ac:dyDescent="0.25">
      <c r="A117" s="7">
        <v>11</v>
      </c>
      <c r="B117" s="7">
        <v>2</v>
      </c>
      <c r="C117" s="7">
        <v>1.6</v>
      </c>
      <c r="D117" s="7">
        <v>180</v>
      </c>
      <c r="E117" s="7" t="s">
        <v>107</v>
      </c>
    </row>
    <row r="118" spans="1:10" x14ac:dyDescent="0.25">
      <c r="A118" s="7">
        <v>12</v>
      </c>
      <c r="B118" s="7">
        <v>2</v>
      </c>
      <c r="C118" s="7">
        <v>1.6</v>
      </c>
      <c r="D118" s="7">
        <v>180</v>
      </c>
      <c r="E118" s="7" t="s">
        <v>108</v>
      </c>
    </row>
    <row r="119" spans="1:10" x14ac:dyDescent="0.25">
      <c r="A119" s="7">
        <v>14</v>
      </c>
      <c r="B119" s="7">
        <v>2</v>
      </c>
      <c r="C119" s="7">
        <v>1.6</v>
      </c>
      <c r="D119" s="7">
        <v>180</v>
      </c>
      <c r="E119" s="7" t="s">
        <v>109</v>
      </c>
    </row>
    <row r="121" spans="1:10" x14ac:dyDescent="0.25">
      <c r="A121" s="8"/>
      <c r="B121" s="11" t="s">
        <v>121</v>
      </c>
      <c r="C121" s="11" t="s">
        <v>122</v>
      </c>
      <c r="D121" s="11" t="s">
        <v>123</v>
      </c>
      <c r="E121" s="8"/>
      <c r="F121" s="8"/>
      <c r="G121" s="8"/>
      <c r="H121" s="8"/>
      <c r="I121" s="8"/>
      <c r="J121" s="8"/>
    </row>
    <row r="122" spans="1:10" x14ac:dyDescent="0.25">
      <c r="A122" s="8"/>
      <c r="B122" s="12" t="s">
        <v>124</v>
      </c>
      <c r="C122" s="13"/>
      <c r="D122" s="13"/>
      <c r="E122" s="8"/>
      <c r="F122" s="8"/>
      <c r="G122" s="8"/>
      <c r="H122" s="16" t="s">
        <v>125</v>
      </c>
      <c r="I122" s="10"/>
      <c r="J122" s="10" t="s">
        <v>126</v>
      </c>
    </row>
    <row r="123" spans="1:10" x14ac:dyDescent="0.25">
      <c r="A123" s="14" t="s">
        <v>127</v>
      </c>
      <c r="B123" s="13">
        <v>1</v>
      </c>
      <c r="C123" s="13">
        <v>2</v>
      </c>
      <c r="D123" s="13">
        <v>3</v>
      </c>
      <c r="E123" s="8"/>
      <c r="F123" s="15" t="s">
        <v>128</v>
      </c>
      <c r="G123" s="8"/>
      <c r="H123" s="16" t="s">
        <v>129</v>
      </c>
      <c r="I123" s="10"/>
      <c r="J123" s="10" t="s">
        <v>130</v>
      </c>
    </row>
    <row r="124" spans="1:10" x14ac:dyDescent="0.25">
      <c r="A124" s="14"/>
      <c r="B124" s="8"/>
      <c r="C124" s="8"/>
      <c r="D124" s="8"/>
      <c r="E124" s="8"/>
      <c r="F124" s="8"/>
      <c r="G124" s="8"/>
      <c r="H124" s="8"/>
      <c r="I124" s="8"/>
      <c r="J124" s="8"/>
    </row>
    <row r="125" spans="1:10" x14ac:dyDescent="0.25">
      <c r="A125" s="14"/>
      <c r="B125" s="8"/>
      <c r="C125" s="8"/>
      <c r="D125" s="8"/>
      <c r="E125" s="8"/>
      <c r="F125" s="8"/>
      <c r="G125" s="8"/>
      <c r="H125" s="8"/>
      <c r="I125" s="8"/>
      <c r="J125" s="8"/>
    </row>
    <row r="126" spans="1:10" x14ac:dyDescent="0.25">
      <c r="A126" s="14">
        <v>2</v>
      </c>
      <c r="B126" s="8">
        <v>462</v>
      </c>
      <c r="C126" s="8">
        <v>510</v>
      </c>
      <c r="D126" s="8">
        <v>503</v>
      </c>
      <c r="E126" s="8"/>
      <c r="F126" s="8">
        <v>496</v>
      </c>
      <c r="G126" s="8"/>
      <c r="H126" s="8">
        <v>1</v>
      </c>
      <c r="I126" s="8"/>
      <c r="J126" s="8">
        <v>0</v>
      </c>
    </row>
    <row r="127" spans="1:10" x14ac:dyDescent="0.25">
      <c r="A127" s="14">
        <v>3</v>
      </c>
      <c r="B127" s="8">
        <v>442</v>
      </c>
      <c r="C127" s="8">
        <v>505</v>
      </c>
      <c r="D127" s="8">
        <v>499</v>
      </c>
      <c r="E127" s="8"/>
      <c r="F127" s="8">
        <v>472</v>
      </c>
      <c r="G127" s="8"/>
      <c r="H127" s="8">
        <v>1</v>
      </c>
      <c r="I127" s="8"/>
      <c r="J127" s="8">
        <v>60</v>
      </c>
    </row>
    <row r="128" spans="1:10" x14ac:dyDescent="0.25">
      <c r="A128" s="14">
        <v>4</v>
      </c>
      <c r="B128" s="8">
        <v>453</v>
      </c>
      <c r="C128" s="8">
        <v>508</v>
      </c>
      <c r="D128" s="8">
        <v>501</v>
      </c>
      <c r="E128" s="8"/>
      <c r="F128" s="8">
        <v>484</v>
      </c>
      <c r="G128" s="8"/>
      <c r="H128" s="8">
        <v>1</v>
      </c>
      <c r="I128" s="8"/>
      <c r="J128" s="8">
        <v>30</v>
      </c>
    </row>
    <row r="129" spans="1:10" x14ac:dyDescent="0.25">
      <c r="A129" s="14">
        <v>5</v>
      </c>
      <c r="B129" s="8">
        <v>639</v>
      </c>
      <c r="C129" s="8">
        <v>650</v>
      </c>
      <c r="D129" s="8">
        <v>661</v>
      </c>
      <c r="E129" s="8"/>
      <c r="F129" s="8">
        <v>685</v>
      </c>
      <c r="G129" s="8"/>
      <c r="H129" s="8">
        <v>0.3</v>
      </c>
      <c r="I129" s="8"/>
      <c r="J129" s="8">
        <v>0</v>
      </c>
    </row>
    <row r="130" spans="1:10" x14ac:dyDescent="0.25">
      <c r="A130" s="14">
        <v>6</v>
      </c>
      <c r="B130" s="8">
        <v>642</v>
      </c>
      <c r="C130" s="8">
        <v>654</v>
      </c>
      <c r="D130" s="8">
        <v>666</v>
      </c>
      <c r="E130" s="8"/>
      <c r="F130" s="8">
        <v>689</v>
      </c>
      <c r="G130" s="8"/>
      <c r="H130" s="8">
        <v>0.3</v>
      </c>
      <c r="I130" s="8"/>
      <c r="J130" s="8">
        <v>60</v>
      </c>
    </row>
    <row r="131" spans="1:10" x14ac:dyDescent="0.25">
      <c r="A131" s="14">
        <v>7</v>
      </c>
      <c r="B131" s="8">
        <v>635</v>
      </c>
      <c r="C131" s="8">
        <v>646</v>
      </c>
      <c r="D131" s="8">
        <v>657</v>
      </c>
      <c r="E131" s="8"/>
      <c r="F131" s="8">
        <v>672</v>
      </c>
      <c r="G131" s="8"/>
      <c r="H131" s="8">
        <v>0.3</v>
      </c>
      <c r="I131" s="8"/>
      <c r="J131" s="8">
        <v>30</v>
      </c>
    </row>
    <row r="132" spans="1:10" x14ac:dyDescent="0.25">
      <c r="A132" s="14">
        <v>8</v>
      </c>
      <c r="B132" s="8">
        <v>514</v>
      </c>
      <c r="C132" s="8">
        <v>523</v>
      </c>
      <c r="D132" s="8">
        <v>532</v>
      </c>
      <c r="E132" s="8"/>
      <c r="F132" s="8">
        <v>542</v>
      </c>
      <c r="G132" s="8"/>
      <c r="H132" s="8">
        <v>0.5</v>
      </c>
      <c r="I132" s="8"/>
      <c r="J132" s="8">
        <v>0</v>
      </c>
    </row>
    <row r="133" spans="1:10" x14ac:dyDescent="0.25">
      <c r="A133" s="14">
        <v>9</v>
      </c>
      <c r="B133" s="8">
        <v>517</v>
      </c>
      <c r="C133" s="8">
        <v>525</v>
      </c>
      <c r="D133" s="8">
        <v>534</v>
      </c>
      <c r="E133" s="8"/>
      <c r="F133" s="8">
        <v>546</v>
      </c>
      <c r="G133" s="8"/>
      <c r="H133" s="8">
        <v>0.5</v>
      </c>
      <c r="I133" s="8"/>
      <c r="J133" s="8">
        <v>60</v>
      </c>
    </row>
    <row r="134" spans="1:10" x14ac:dyDescent="0.25">
      <c r="A134" s="14">
        <v>10</v>
      </c>
      <c r="B134" s="8">
        <v>520</v>
      </c>
      <c r="C134" s="8">
        <v>530</v>
      </c>
      <c r="D134" s="8">
        <v>536</v>
      </c>
      <c r="E134" s="8"/>
      <c r="F134" s="8">
        <v>553</v>
      </c>
      <c r="G134" s="8"/>
      <c r="H134" s="8">
        <v>0.5</v>
      </c>
      <c r="I134" s="8"/>
      <c r="J134" s="8">
        <v>30</v>
      </c>
    </row>
    <row r="135" spans="1:10" x14ac:dyDescent="0.25">
      <c r="A135" s="14">
        <v>11</v>
      </c>
      <c r="B135" s="8">
        <v>584</v>
      </c>
      <c r="C135" s="8">
        <v>602</v>
      </c>
      <c r="D135" s="8">
        <v>614</v>
      </c>
      <c r="E135" s="8"/>
      <c r="F135" s="8">
        <v>560</v>
      </c>
      <c r="G135" s="8"/>
      <c r="H135" s="8">
        <v>1.6</v>
      </c>
      <c r="I135" s="8"/>
      <c r="J135" s="8">
        <v>30</v>
      </c>
    </row>
    <row r="136" spans="1:10" x14ac:dyDescent="0.25">
      <c r="A136" s="14">
        <v>12</v>
      </c>
      <c r="B136" s="8">
        <v>588</v>
      </c>
      <c r="C136" s="8">
        <v>607</v>
      </c>
      <c r="D136" s="8">
        <v>617</v>
      </c>
      <c r="E136" s="8"/>
      <c r="F136" s="8" t="s">
        <v>131</v>
      </c>
      <c r="G136" s="8"/>
      <c r="H136" s="8">
        <v>1.6</v>
      </c>
      <c r="I136" s="8"/>
      <c r="J136" s="8">
        <v>0</v>
      </c>
    </row>
    <row r="137" spans="1:10" x14ac:dyDescent="0.25">
      <c r="A137" s="14">
        <v>13</v>
      </c>
      <c r="B137" s="9" t="s">
        <v>8</v>
      </c>
      <c r="C137" s="9" t="s">
        <v>8</v>
      </c>
      <c r="D137" s="9" t="s">
        <v>8</v>
      </c>
      <c r="E137" s="9" t="s">
        <v>8</v>
      </c>
      <c r="F137" s="9" t="s">
        <v>8</v>
      </c>
      <c r="G137" s="9"/>
      <c r="H137" s="9" t="s">
        <v>8</v>
      </c>
      <c r="I137" s="9"/>
      <c r="J137" s="9" t="s">
        <v>8</v>
      </c>
    </row>
    <row r="138" spans="1:10" x14ac:dyDescent="0.25">
      <c r="A138" s="14">
        <v>14</v>
      </c>
      <c r="B138" s="9" t="s">
        <v>132</v>
      </c>
      <c r="C138" s="8">
        <v>610</v>
      </c>
      <c r="D138" s="8">
        <v>631</v>
      </c>
      <c r="E138" s="8"/>
      <c r="F138" s="8">
        <v>577</v>
      </c>
      <c r="G138" s="8"/>
      <c r="H138" s="8">
        <v>1.6</v>
      </c>
      <c r="I138" s="8"/>
      <c r="J138" s="8">
        <v>60</v>
      </c>
    </row>
    <row r="145" spans="1:15" ht="18.75" x14ac:dyDescent="0.3">
      <c r="A145" s="2" t="s">
        <v>74</v>
      </c>
      <c r="B145" s="2" t="s">
        <v>25</v>
      </c>
      <c r="C145" s="2" t="s">
        <v>76</v>
      </c>
      <c r="D145" s="2" t="s">
        <v>27</v>
      </c>
      <c r="E145" s="2" t="s">
        <v>28</v>
      </c>
      <c r="F145" s="2" t="s">
        <v>29</v>
      </c>
      <c r="G145" s="2" t="s">
        <v>30</v>
      </c>
      <c r="H145" s="2" t="s">
        <v>31</v>
      </c>
      <c r="I145" s="2" t="s">
        <v>32</v>
      </c>
      <c r="J145" s="2" t="s">
        <v>33</v>
      </c>
      <c r="K145" s="2" t="s">
        <v>34</v>
      </c>
      <c r="L145" s="2" t="s">
        <v>35</v>
      </c>
      <c r="M145" s="2" t="s">
        <v>36</v>
      </c>
      <c r="N145" s="2" t="s">
        <v>37</v>
      </c>
      <c r="O145" s="2" t="s">
        <v>91</v>
      </c>
    </row>
    <row r="146" spans="1:15" x14ac:dyDescent="0.25">
      <c r="A146" s="8" t="s">
        <v>38</v>
      </c>
      <c r="B146" s="8">
        <v>100</v>
      </c>
      <c r="C146" s="8">
        <v>10</v>
      </c>
      <c r="D146" s="8">
        <v>3</v>
      </c>
      <c r="E146" s="8">
        <f t="shared" ref="E146:E169" si="75">B146-SUM(C146:D146)</f>
        <v>87</v>
      </c>
      <c r="F146" s="8">
        <f>0</f>
        <v>0</v>
      </c>
      <c r="G146" s="8">
        <f>36-C146</f>
        <v>26</v>
      </c>
      <c r="H146" s="8"/>
      <c r="I146" s="8">
        <f>71-C146</f>
        <v>61</v>
      </c>
      <c r="J146" s="8">
        <f>100-(SUM(C146:D146))</f>
        <v>87</v>
      </c>
      <c r="K146" s="8">
        <f t="shared" ref="K146:K151" si="76">(G146-F146)/E146</f>
        <v>0.2988505747126437</v>
      </c>
      <c r="L146" s="8">
        <f t="shared" ref="L146:L154" si="77">(J146-I146)/E146</f>
        <v>0.2988505747126437</v>
      </c>
      <c r="M146" s="8">
        <f t="shared" ref="M146:M151" si="78">(I146-G146)/E146</f>
        <v>0.40229885057471265</v>
      </c>
      <c r="N146" s="8"/>
      <c r="O146" s="8"/>
    </row>
    <row r="147" spans="1:15" x14ac:dyDescent="0.25">
      <c r="A147" s="8" t="s">
        <v>39</v>
      </c>
      <c r="B147" s="8">
        <v>100</v>
      </c>
      <c r="C147" s="8">
        <v>0</v>
      </c>
      <c r="D147" s="8">
        <v>10</v>
      </c>
      <c r="E147" s="8">
        <f t="shared" si="75"/>
        <v>90</v>
      </c>
      <c r="F147" s="8">
        <f>0</f>
        <v>0</v>
      </c>
      <c r="G147" s="8">
        <f>28-C147</f>
        <v>28</v>
      </c>
      <c r="H147" s="8"/>
      <c r="I147" s="8">
        <f>65-C147</f>
        <v>65</v>
      </c>
      <c r="J147" s="8">
        <f t="shared" ref="J147:J172" si="79">E147</f>
        <v>90</v>
      </c>
      <c r="K147" s="8">
        <f t="shared" si="76"/>
        <v>0.31111111111111112</v>
      </c>
      <c r="L147" s="8">
        <f t="shared" si="77"/>
        <v>0.27777777777777779</v>
      </c>
      <c r="M147" s="8">
        <f t="shared" si="78"/>
        <v>0.41111111111111109</v>
      </c>
      <c r="N147" s="8"/>
      <c r="O147" s="8"/>
    </row>
    <row r="148" spans="1:15" x14ac:dyDescent="0.25">
      <c r="A148" s="8" t="s">
        <v>40</v>
      </c>
      <c r="B148" s="8">
        <v>100</v>
      </c>
      <c r="C148" s="8">
        <v>10</v>
      </c>
      <c r="D148" s="8">
        <v>3</v>
      </c>
      <c r="E148" s="8">
        <f t="shared" si="75"/>
        <v>87</v>
      </c>
      <c r="F148" s="8">
        <f>0</f>
        <v>0</v>
      </c>
      <c r="G148" s="8">
        <f>41-C148</f>
        <v>31</v>
      </c>
      <c r="H148" s="8"/>
      <c r="I148" s="8">
        <f>75-C148</f>
        <v>65</v>
      </c>
      <c r="J148" s="8">
        <f t="shared" si="79"/>
        <v>87</v>
      </c>
      <c r="K148" s="8">
        <f t="shared" si="76"/>
        <v>0.35632183908045978</v>
      </c>
      <c r="L148" s="8">
        <f t="shared" si="77"/>
        <v>0.25287356321839083</v>
      </c>
      <c r="M148" s="8">
        <f t="shared" si="78"/>
        <v>0.39080459770114945</v>
      </c>
      <c r="N148" s="8"/>
      <c r="O148" s="8"/>
    </row>
    <row r="149" spans="1:15" x14ac:dyDescent="0.25">
      <c r="A149" s="8" t="s">
        <v>42</v>
      </c>
      <c r="B149" s="8">
        <v>100</v>
      </c>
      <c r="C149" s="8">
        <v>5</v>
      </c>
      <c r="D149" s="8">
        <v>7</v>
      </c>
      <c r="E149" s="8">
        <f t="shared" si="75"/>
        <v>88</v>
      </c>
      <c r="F149" s="8">
        <v>0</v>
      </c>
      <c r="G149" s="8">
        <f>24-C149</f>
        <v>19</v>
      </c>
      <c r="H149" s="8"/>
      <c r="I149" s="8">
        <f>74-C149</f>
        <v>69</v>
      </c>
      <c r="J149" s="8">
        <f t="shared" si="79"/>
        <v>88</v>
      </c>
      <c r="K149" s="8">
        <f t="shared" si="76"/>
        <v>0.21590909090909091</v>
      </c>
      <c r="L149" s="8">
        <f t="shared" si="77"/>
        <v>0.21590909090909091</v>
      </c>
      <c r="M149" s="8">
        <f t="shared" si="78"/>
        <v>0.56818181818181823</v>
      </c>
      <c r="N149" s="8"/>
      <c r="O149" s="8"/>
    </row>
    <row r="150" spans="1:15" x14ac:dyDescent="0.25">
      <c r="A150" s="8" t="s">
        <v>43</v>
      </c>
      <c r="B150" s="8">
        <v>100</v>
      </c>
      <c r="C150" s="8">
        <v>5</v>
      </c>
      <c r="D150" s="8">
        <v>5</v>
      </c>
      <c r="E150" s="8">
        <f t="shared" si="75"/>
        <v>90</v>
      </c>
      <c r="F150" s="8">
        <f>0</f>
        <v>0</v>
      </c>
      <c r="G150" s="8">
        <f>34-C150</f>
        <v>29</v>
      </c>
      <c r="H150" s="8"/>
      <c r="I150" s="8">
        <f>68-C150</f>
        <v>63</v>
      </c>
      <c r="J150" s="8">
        <f t="shared" si="79"/>
        <v>90</v>
      </c>
      <c r="K150" s="8">
        <f t="shared" si="76"/>
        <v>0.32222222222222224</v>
      </c>
      <c r="L150" s="8">
        <f t="shared" si="77"/>
        <v>0.3</v>
      </c>
      <c r="M150" s="8">
        <f t="shared" si="78"/>
        <v>0.37777777777777777</v>
      </c>
      <c r="N150" s="8"/>
      <c r="O150" s="8"/>
    </row>
    <row r="151" spans="1:15" x14ac:dyDescent="0.25">
      <c r="A151" s="8" t="s">
        <v>44</v>
      </c>
      <c r="B151" s="8">
        <v>100</v>
      </c>
      <c r="C151" s="8">
        <v>5</v>
      </c>
      <c r="D151" s="8">
        <v>6</v>
      </c>
      <c r="E151" s="8">
        <f t="shared" si="75"/>
        <v>89</v>
      </c>
      <c r="F151" s="8">
        <f>0</f>
        <v>0</v>
      </c>
      <c r="G151" s="8">
        <f>36-C151</f>
        <v>31</v>
      </c>
      <c r="H151" s="8"/>
      <c r="I151" s="8">
        <f>66-C151</f>
        <v>61</v>
      </c>
      <c r="J151" s="8">
        <f t="shared" si="79"/>
        <v>89</v>
      </c>
      <c r="K151" s="8">
        <f t="shared" si="76"/>
        <v>0.34831460674157305</v>
      </c>
      <c r="L151" s="8">
        <f t="shared" si="77"/>
        <v>0.3146067415730337</v>
      </c>
      <c r="M151" s="8">
        <f t="shared" si="78"/>
        <v>0.33707865168539325</v>
      </c>
      <c r="N151" s="8"/>
      <c r="O151" s="8"/>
    </row>
    <row r="152" spans="1:15" x14ac:dyDescent="0.25">
      <c r="A152" s="8" t="s">
        <v>46</v>
      </c>
      <c r="B152" s="8">
        <v>100</v>
      </c>
      <c r="C152" s="8">
        <v>5</v>
      </c>
      <c r="D152" s="8">
        <v>6</v>
      </c>
      <c r="E152" s="8">
        <f t="shared" si="75"/>
        <v>89</v>
      </c>
      <c r="F152" s="8">
        <f>0</f>
        <v>0</v>
      </c>
      <c r="G152" s="8">
        <f>16-C152</f>
        <v>11</v>
      </c>
      <c r="H152" s="8"/>
      <c r="I152" s="8">
        <f>79-C152</f>
        <v>74</v>
      </c>
      <c r="J152" s="8">
        <f t="shared" si="79"/>
        <v>89</v>
      </c>
      <c r="K152" s="8">
        <f t="shared" ref="K152:K179" si="80">(G152-F152)/J152</f>
        <v>0.12359550561797752</v>
      </c>
      <c r="L152" s="8">
        <f t="shared" si="77"/>
        <v>0.16853932584269662</v>
      </c>
      <c r="M152" s="8">
        <f t="shared" ref="M152:M179" si="81">(I152-G152)/J152</f>
        <v>0.7078651685393258</v>
      </c>
      <c r="N152" s="8"/>
      <c r="O152" s="8"/>
    </row>
    <row r="153" spans="1:15" x14ac:dyDescent="0.25">
      <c r="A153" s="8" t="s">
        <v>47</v>
      </c>
      <c r="B153" s="8">
        <v>100</v>
      </c>
      <c r="C153" s="8">
        <v>6</v>
      </c>
      <c r="D153" s="8">
        <f>5</f>
        <v>5</v>
      </c>
      <c r="E153" s="8">
        <f t="shared" si="75"/>
        <v>89</v>
      </c>
      <c r="F153" s="8">
        <f>0</f>
        <v>0</v>
      </c>
      <c r="G153" s="8">
        <f>33-C153</f>
        <v>27</v>
      </c>
      <c r="H153" s="8"/>
      <c r="I153" s="8">
        <f>68-C153</f>
        <v>62</v>
      </c>
      <c r="J153" s="8">
        <f t="shared" si="79"/>
        <v>89</v>
      </c>
      <c r="K153" s="8">
        <f t="shared" si="80"/>
        <v>0.30337078651685395</v>
      </c>
      <c r="L153" s="8">
        <f t="shared" si="77"/>
        <v>0.30337078651685395</v>
      </c>
      <c r="M153" s="8">
        <f t="shared" si="81"/>
        <v>0.39325842696629215</v>
      </c>
      <c r="N153" s="8"/>
      <c r="O153" s="8"/>
    </row>
    <row r="154" spans="1:15" x14ac:dyDescent="0.25">
      <c r="A154" s="8" t="s">
        <v>48</v>
      </c>
      <c r="B154" s="8">
        <v>100</v>
      </c>
      <c r="C154" s="8">
        <f>0</f>
        <v>0</v>
      </c>
      <c r="D154" s="8">
        <v>10</v>
      </c>
      <c r="E154" s="8">
        <f t="shared" si="75"/>
        <v>90</v>
      </c>
      <c r="F154" s="8">
        <f>0</f>
        <v>0</v>
      </c>
      <c r="G154" s="8">
        <f>33-C154</f>
        <v>33</v>
      </c>
      <c r="H154" s="8"/>
      <c r="I154" s="8">
        <f>62-C154</f>
        <v>62</v>
      </c>
      <c r="J154" s="8">
        <f t="shared" si="79"/>
        <v>90</v>
      </c>
      <c r="K154" s="8">
        <f t="shared" si="80"/>
        <v>0.36666666666666664</v>
      </c>
      <c r="L154" s="8">
        <f t="shared" si="77"/>
        <v>0.31111111111111112</v>
      </c>
      <c r="M154" s="8">
        <f t="shared" si="81"/>
        <v>0.32222222222222224</v>
      </c>
      <c r="N154" s="8"/>
      <c r="O154" s="8"/>
    </row>
    <row r="155" spans="1:15" x14ac:dyDescent="0.25">
      <c r="A155" s="8" t="s">
        <v>49</v>
      </c>
      <c r="B155" s="8">
        <v>54</v>
      </c>
      <c r="C155" s="8">
        <v>2</v>
      </c>
      <c r="D155" s="8">
        <v>2</v>
      </c>
      <c r="E155" s="8">
        <f t="shared" si="75"/>
        <v>50</v>
      </c>
      <c r="F155" s="8">
        <v>0</v>
      </c>
      <c r="G155" s="8">
        <f>13-C155</f>
        <v>11</v>
      </c>
      <c r="H155" s="8"/>
      <c r="I155" s="8">
        <f>33-C155</f>
        <v>31</v>
      </c>
      <c r="J155" s="8">
        <f t="shared" si="79"/>
        <v>50</v>
      </c>
      <c r="K155" s="8">
        <f t="shared" si="80"/>
        <v>0.22</v>
      </c>
      <c r="L155" s="8">
        <f t="shared" ref="L155:L179" si="82">(J155-I155)/J155</f>
        <v>0.38</v>
      </c>
      <c r="M155" s="8">
        <f t="shared" si="81"/>
        <v>0.4</v>
      </c>
      <c r="N155" s="8"/>
      <c r="O155" s="8"/>
    </row>
    <row r="156" spans="1:15" x14ac:dyDescent="0.25">
      <c r="A156" s="8" t="s">
        <v>51</v>
      </c>
      <c r="B156" s="8">
        <v>52</v>
      </c>
      <c r="C156" s="8">
        <v>2</v>
      </c>
      <c r="D156" s="8">
        <v>1</v>
      </c>
      <c r="E156" s="8">
        <f t="shared" si="75"/>
        <v>49</v>
      </c>
      <c r="F156" s="8">
        <f>0</f>
        <v>0</v>
      </c>
      <c r="G156" s="8">
        <f>17-C156</f>
        <v>15</v>
      </c>
      <c r="H156" s="8"/>
      <c r="I156" s="8">
        <f>42-C156</f>
        <v>40</v>
      </c>
      <c r="J156" s="8">
        <f t="shared" si="79"/>
        <v>49</v>
      </c>
      <c r="K156" s="8">
        <f t="shared" si="80"/>
        <v>0.30612244897959184</v>
      </c>
      <c r="L156" s="8">
        <f t="shared" si="82"/>
        <v>0.18367346938775511</v>
      </c>
      <c r="M156" s="8">
        <f t="shared" si="81"/>
        <v>0.51020408163265307</v>
      </c>
      <c r="N156" s="8"/>
      <c r="O156" s="8"/>
    </row>
    <row r="157" spans="1:15" x14ac:dyDescent="0.25">
      <c r="A157" s="8" t="s">
        <v>52</v>
      </c>
      <c r="B157" s="3">
        <v>49</v>
      </c>
      <c r="C157" s="3">
        <v>1</v>
      </c>
      <c r="D157" s="3">
        <v>0</v>
      </c>
      <c r="E157" s="3">
        <f t="shared" si="75"/>
        <v>48</v>
      </c>
      <c r="F157" s="3">
        <v>0</v>
      </c>
      <c r="G157" s="3">
        <f>8-C157</f>
        <v>7</v>
      </c>
      <c r="H157" s="3"/>
      <c r="I157" s="3">
        <f>33-C157</f>
        <v>32</v>
      </c>
      <c r="J157" s="3">
        <f t="shared" si="79"/>
        <v>48</v>
      </c>
      <c r="K157" s="3">
        <f t="shared" si="80"/>
        <v>0.14583333333333334</v>
      </c>
      <c r="L157" s="3">
        <f t="shared" si="82"/>
        <v>0.33333333333333331</v>
      </c>
      <c r="M157" s="3">
        <f t="shared" si="81"/>
        <v>0.52083333333333337</v>
      </c>
      <c r="N157" s="3"/>
      <c r="O157" s="8"/>
    </row>
    <row r="158" spans="1:15" x14ac:dyDescent="0.25">
      <c r="A158" s="8" t="s">
        <v>54</v>
      </c>
      <c r="B158" s="8">
        <v>76</v>
      </c>
      <c r="C158" s="8">
        <v>0</v>
      </c>
      <c r="D158" s="8">
        <v>0</v>
      </c>
      <c r="E158" s="8">
        <f t="shared" si="75"/>
        <v>76</v>
      </c>
      <c r="F158" s="8">
        <v>0</v>
      </c>
      <c r="G158" s="8">
        <f>23-C158</f>
        <v>23</v>
      </c>
      <c r="H158" s="8"/>
      <c r="I158" s="8">
        <f>50-C158</f>
        <v>50</v>
      </c>
      <c r="J158" s="8">
        <f t="shared" si="79"/>
        <v>76</v>
      </c>
      <c r="K158" s="8">
        <f t="shared" si="80"/>
        <v>0.30263157894736842</v>
      </c>
      <c r="L158" s="8">
        <f t="shared" si="82"/>
        <v>0.34210526315789475</v>
      </c>
      <c r="M158" s="8">
        <f t="shared" si="81"/>
        <v>0.35526315789473684</v>
      </c>
      <c r="N158" s="8"/>
      <c r="O158" s="8"/>
    </row>
    <row r="159" spans="1:15" x14ac:dyDescent="0.25">
      <c r="A159" s="8" t="s">
        <v>55</v>
      </c>
      <c r="B159" s="8">
        <v>72</v>
      </c>
      <c r="C159" s="8">
        <v>1</v>
      </c>
      <c r="D159" s="8">
        <v>5</v>
      </c>
      <c r="E159" s="8">
        <f t="shared" si="75"/>
        <v>66</v>
      </c>
      <c r="F159" s="8">
        <v>0</v>
      </c>
      <c r="G159" s="8">
        <f>24-C159</f>
        <v>23</v>
      </c>
      <c r="H159" s="8"/>
      <c r="I159" s="8">
        <f>44-C159</f>
        <v>43</v>
      </c>
      <c r="J159" s="8">
        <f t="shared" si="79"/>
        <v>66</v>
      </c>
      <c r="K159" s="8">
        <f t="shared" si="80"/>
        <v>0.34848484848484851</v>
      </c>
      <c r="L159" s="8">
        <f t="shared" si="82"/>
        <v>0.34848484848484851</v>
      </c>
      <c r="M159" s="8">
        <f t="shared" si="81"/>
        <v>0.30303030303030304</v>
      </c>
      <c r="N159" s="8"/>
      <c r="O159" s="8"/>
    </row>
    <row r="160" spans="1:15" x14ac:dyDescent="0.25">
      <c r="A160" s="8" t="s">
        <v>56</v>
      </c>
      <c r="B160" s="8">
        <v>65</v>
      </c>
      <c r="C160" s="8">
        <v>0</v>
      </c>
      <c r="D160" s="8">
        <v>0</v>
      </c>
      <c r="E160" s="8">
        <f t="shared" si="75"/>
        <v>65</v>
      </c>
      <c r="F160" s="8">
        <v>0</v>
      </c>
      <c r="G160" s="8">
        <f>28-C160</f>
        <v>28</v>
      </c>
      <c r="H160" s="8"/>
      <c r="I160" s="8">
        <f>50-C160</f>
        <v>50</v>
      </c>
      <c r="J160" s="8">
        <f t="shared" si="79"/>
        <v>65</v>
      </c>
      <c r="K160" s="8">
        <f t="shared" si="80"/>
        <v>0.43076923076923079</v>
      </c>
      <c r="L160" s="8">
        <f t="shared" si="82"/>
        <v>0.23076923076923078</v>
      </c>
      <c r="M160" s="8">
        <f t="shared" si="81"/>
        <v>0.33846153846153848</v>
      </c>
      <c r="N160" s="8"/>
      <c r="O160" s="8"/>
    </row>
    <row r="161" spans="1:15" x14ac:dyDescent="0.25">
      <c r="A161" s="8" t="s">
        <v>58</v>
      </c>
      <c r="B161" s="8">
        <v>73</v>
      </c>
      <c r="C161" s="8">
        <v>0</v>
      </c>
      <c r="D161" s="8">
        <v>0</v>
      </c>
      <c r="E161" s="8">
        <f t="shared" si="75"/>
        <v>73</v>
      </c>
      <c r="F161" s="8">
        <v>0</v>
      </c>
      <c r="G161" s="8">
        <f>14-C161</f>
        <v>14</v>
      </c>
      <c r="H161" s="8"/>
      <c r="I161" s="8">
        <f>47-C161</f>
        <v>47</v>
      </c>
      <c r="J161" s="8">
        <f t="shared" si="79"/>
        <v>73</v>
      </c>
      <c r="K161" s="8">
        <f t="shared" si="80"/>
        <v>0.19178082191780821</v>
      </c>
      <c r="L161" s="8">
        <f t="shared" si="82"/>
        <v>0.35616438356164382</v>
      </c>
      <c r="M161" s="8">
        <f t="shared" si="81"/>
        <v>0.45205479452054792</v>
      </c>
      <c r="N161" s="8"/>
      <c r="O161" s="8"/>
    </row>
    <row r="162" spans="1:15" x14ac:dyDescent="0.25">
      <c r="A162" s="8" t="s">
        <v>59</v>
      </c>
      <c r="B162" s="8">
        <v>68</v>
      </c>
      <c r="C162" s="8">
        <v>0</v>
      </c>
      <c r="D162" s="8">
        <v>0</v>
      </c>
      <c r="E162" s="8">
        <f t="shared" si="75"/>
        <v>68</v>
      </c>
      <c r="F162" s="8">
        <v>0</v>
      </c>
      <c r="G162" s="8">
        <f>30-C162</f>
        <v>30</v>
      </c>
      <c r="H162" s="8"/>
      <c r="I162" s="8">
        <f>50-C162</f>
        <v>50</v>
      </c>
      <c r="J162" s="8">
        <f t="shared" si="79"/>
        <v>68</v>
      </c>
      <c r="K162" s="8">
        <f t="shared" si="80"/>
        <v>0.44117647058823528</v>
      </c>
      <c r="L162" s="8">
        <f t="shared" si="82"/>
        <v>0.26470588235294118</v>
      </c>
      <c r="M162" s="8">
        <f t="shared" si="81"/>
        <v>0.29411764705882354</v>
      </c>
      <c r="N162" s="8"/>
      <c r="O162" s="8"/>
    </row>
    <row r="163" spans="1:15" x14ac:dyDescent="0.25">
      <c r="A163" s="8" t="s">
        <v>60</v>
      </c>
      <c r="B163" s="8">
        <v>67</v>
      </c>
      <c r="C163" s="8">
        <v>0</v>
      </c>
      <c r="D163" s="8">
        <v>0</v>
      </c>
      <c r="E163" s="8">
        <f t="shared" si="75"/>
        <v>67</v>
      </c>
      <c r="F163" s="8">
        <v>0</v>
      </c>
      <c r="G163" s="8">
        <f>23-C163</f>
        <v>23</v>
      </c>
      <c r="H163" s="8"/>
      <c r="I163" s="8">
        <f>40-C163</f>
        <v>40</v>
      </c>
      <c r="J163" s="8">
        <f t="shared" si="79"/>
        <v>67</v>
      </c>
      <c r="K163" s="8">
        <f t="shared" si="80"/>
        <v>0.34328358208955223</v>
      </c>
      <c r="L163" s="8">
        <f t="shared" si="82"/>
        <v>0.40298507462686567</v>
      </c>
      <c r="M163" s="8">
        <f t="shared" si="81"/>
        <v>0.2537313432835821</v>
      </c>
      <c r="N163" s="8"/>
      <c r="O163" s="8"/>
    </row>
    <row r="164" spans="1:15" x14ac:dyDescent="0.25">
      <c r="A164" s="8" t="s">
        <v>62</v>
      </c>
      <c r="B164" s="8">
        <v>76</v>
      </c>
      <c r="C164" s="8">
        <v>0</v>
      </c>
      <c r="D164" s="8">
        <v>0</v>
      </c>
      <c r="E164" s="8">
        <f t="shared" si="75"/>
        <v>76</v>
      </c>
      <c r="F164" s="8">
        <v>0</v>
      </c>
      <c r="G164" s="8">
        <f>26-C164</f>
        <v>26</v>
      </c>
      <c r="H164" s="8"/>
      <c r="I164" s="8">
        <f>56-C164</f>
        <v>56</v>
      </c>
      <c r="J164" s="8">
        <f t="shared" si="79"/>
        <v>76</v>
      </c>
      <c r="K164" s="8">
        <f t="shared" si="80"/>
        <v>0.34210526315789475</v>
      </c>
      <c r="L164" s="8">
        <f t="shared" si="82"/>
        <v>0.26315789473684209</v>
      </c>
      <c r="M164" s="8">
        <f t="shared" si="81"/>
        <v>0.39473684210526316</v>
      </c>
      <c r="N164" s="8"/>
      <c r="O164" s="8"/>
    </row>
    <row r="165" spans="1:15" x14ac:dyDescent="0.25">
      <c r="A165" s="8" t="s">
        <v>63</v>
      </c>
      <c r="B165" s="8">
        <v>76</v>
      </c>
      <c r="C165" s="8">
        <v>0</v>
      </c>
      <c r="D165" s="8">
        <v>0</v>
      </c>
      <c r="E165" s="8">
        <f t="shared" si="75"/>
        <v>76</v>
      </c>
      <c r="F165" s="8">
        <v>0</v>
      </c>
      <c r="G165" s="8">
        <f>26-C165</f>
        <v>26</v>
      </c>
      <c r="H165" s="8"/>
      <c r="I165" s="8">
        <f>50-C165</f>
        <v>50</v>
      </c>
      <c r="J165" s="8">
        <f t="shared" si="79"/>
        <v>76</v>
      </c>
      <c r="K165" s="8">
        <f t="shared" si="80"/>
        <v>0.34210526315789475</v>
      </c>
      <c r="L165" s="8">
        <f t="shared" si="82"/>
        <v>0.34210526315789475</v>
      </c>
      <c r="M165" s="8">
        <f t="shared" si="81"/>
        <v>0.31578947368421051</v>
      </c>
      <c r="N165" s="8"/>
      <c r="O165" s="8"/>
    </row>
    <row r="166" spans="1:15" x14ac:dyDescent="0.25">
      <c r="A166" s="8" t="s">
        <v>64</v>
      </c>
      <c r="B166" s="8">
        <v>67</v>
      </c>
      <c r="C166" s="8">
        <v>0</v>
      </c>
      <c r="D166" s="8">
        <v>0</v>
      </c>
      <c r="E166" s="8">
        <f t="shared" si="75"/>
        <v>67</v>
      </c>
      <c r="F166" s="8">
        <v>0</v>
      </c>
      <c r="G166" s="8">
        <f>27-C166</f>
        <v>27</v>
      </c>
      <c r="H166" s="8"/>
      <c r="I166" s="8">
        <f>46-C166</f>
        <v>46</v>
      </c>
      <c r="J166" s="8">
        <f t="shared" si="79"/>
        <v>67</v>
      </c>
      <c r="K166" s="8">
        <f t="shared" si="80"/>
        <v>0.40298507462686567</v>
      </c>
      <c r="L166" s="8">
        <f t="shared" si="82"/>
        <v>0.31343283582089554</v>
      </c>
      <c r="M166" s="8">
        <f t="shared" si="81"/>
        <v>0.28358208955223879</v>
      </c>
      <c r="N166" s="8"/>
      <c r="O166" s="8"/>
    </row>
    <row r="167" spans="1:15" x14ac:dyDescent="0.25">
      <c r="A167" s="8" t="s">
        <v>66</v>
      </c>
      <c r="B167" s="8">
        <v>161</v>
      </c>
      <c r="C167" s="8">
        <v>0</v>
      </c>
      <c r="D167" s="8">
        <v>0</v>
      </c>
      <c r="E167" s="8">
        <f t="shared" si="75"/>
        <v>161</v>
      </c>
      <c r="F167" s="8">
        <v>0</v>
      </c>
      <c r="G167" s="8">
        <f>9-C167</f>
        <v>9</v>
      </c>
      <c r="H167" s="8"/>
      <c r="I167" s="8">
        <f>115-C167</f>
        <v>115</v>
      </c>
      <c r="J167" s="8">
        <f t="shared" si="79"/>
        <v>161</v>
      </c>
      <c r="K167" s="8">
        <f t="shared" si="80"/>
        <v>5.5900621118012424E-2</v>
      </c>
      <c r="L167" s="8">
        <f t="shared" si="82"/>
        <v>0.2857142857142857</v>
      </c>
      <c r="M167" s="8">
        <f t="shared" si="81"/>
        <v>0.65838509316770188</v>
      </c>
      <c r="N167" s="8"/>
      <c r="O167" s="8"/>
    </row>
    <row r="168" spans="1:15" x14ac:dyDescent="0.25">
      <c r="A168" s="8" t="s">
        <v>67</v>
      </c>
      <c r="B168" s="8">
        <v>171</v>
      </c>
      <c r="C168" s="8">
        <v>0</v>
      </c>
      <c r="D168" s="8">
        <v>0</v>
      </c>
      <c r="E168" s="8">
        <f t="shared" si="75"/>
        <v>171</v>
      </c>
      <c r="F168" s="8">
        <f>0</f>
        <v>0</v>
      </c>
      <c r="G168" s="8">
        <f>31-C168</f>
        <v>31</v>
      </c>
      <c r="H168" s="8"/>
      <c r="I168" s="8">
        <f>129-C168</f>
        <v>129</v>
      </c>
      <c r="J168" s="8">
        <f t="shared" si="79"/>
        <v>171</v>
      </c>
      <c r="K168" s="8">
        <f t="shared" si="80"/>
        <v>0.18128654970760233</v>
      </c>
      <c r="L168" s="8">
        <f t="shared" si="82"/>
        <v>0.24561403508771928</v>
      </c>
      <c r="M168" s="8">
        <f t="shared" si="81"/>
        <v>0.57309941520467833</v>
      </c>
      <c r="N168" s="8"/>
      <c r="O168" s="8"/>
    </row>
    <row r="169" spans="1:15" x14ac:dyDescent="0.25">
      <c r="A169" s="8" t="s">
        <v>68</v>
      </c>
      <c r="B169" s="8">
        <v>177</v>
      </c>
      <c r="C169" s="8">
        <v>5</v>
      </c>
      <c r="D169" s="8">
        <v>0</v>
      </c>
      <c r="E169" s="8">
        <f t="shared" si="75"/>
        <v>172</v>
      </c>
      <c r="F169" s="8">
        <f>0</f>
        <v>0</v>
      </c>
      <c r="G169" s="8">
        <f>34-C169</f>
        <v>29</v>
      </c>
      <c r="H169" s="8"/>
      <c r="I169" s="8">
        <f>128-C169</f>
        <v>123</v>
      </c>
      <c r="J169" s="8">
        <f t="shared" si="79"/>
        <v>172</v>
      </c>
      <c r="K169" s="8">
        <f t="shared" si="80"/>
        <v>0.16860465116279069</v>
      </c>
      <c r="L169" s="8">
        <f t="shared" si="82"/>
        <v>0.28488372093023256</v>
      </c>
      <c r="M169" s="8">
        <f t="shared" si="81"/>
        <v>0.54651162790697672</v>
      </c>
      <c r="N169" s="8"/>
      <c r="O169" s="8"/>
    </row>
    <row r="170" spans="1:15" x14ac:dyDescent="0.25">
      <c r="A170" s="8" t="s">
        <v>70</v>
      </c>
      <c r="B170" s="8">
        <v>191</v>
      </c>
      <c r="C170" s="8">
        <f>5</f>
        <v>5</v>
      </c>
      <c r="D170" s="8">
        <v>11</v>
      </c>
      <c r="E170" s="8">
        <f t="shared" ref="E170:E172" si="83">B170-SUM(C170:D170)</f>
        <v>175</v>
      </c>
      <c r="F170" s="8">
        <f>0</f>
        <v>0</v>
      </c>
      <c r="G170" s="8">
        <f>31-C170</f>
        <v>26</v>
      </c>
      <c r="H170" s="8"/>
      <c r="I170" s="8">
        <f>136-C170</f>
        <v>131</v>
      </c>
      <c r="J170" s="8">
        <f t="shared" si="79"/>
        <v>175</v>
      </c>
      <c r="K170" s="8">
        <f t="shared" si="80"/>
        <v>0.14857142857142858</v>
      </c>
      <c r="L170" s="8">
        <f t="shared" si="82"/>
        <v>0.25142857142857145</v>
      </c>
      <c r="M170" s="8">
        <f t="shared" si="81"/>
        <v>0.6</v>
      </c>
      <c r="N170" s="8"/>
      <c r="O170" s="8"/>
    </row>
    <row r="171" spans="1:15" x14ac:dyDescent="0.25">
      <c r="A171" s="8" t="s">
        <v>71</v>
      </c>
      <c r="B171" s="8">
        <v>180</v>
      </c>
      <c r="C171" s="8">
        <v>5</v>
      </c>
      <c r="D171" s="8">
        <v>13</v>
      </c>
      <c r="E171" s="8">
        <f t="shared" si="83"/>
        <v>162</v>
      </c>
      <c r="F171" s="8">
        <v>0</v>
      </c>
      <c r="G171" s="8">
        <f>30-C171</f>
        <v>25</v>
      </c>
      <c r="H171" s="8"/>
      <c r="I171" s="8">
        <f>140-C171</f>
        <v>135</v>
      </c>
      <c r="J171" s="8">
        <f t="shared" si="79"/>
        <v>162</v>
      </c>
      <c r="K171" s="8">
        <f t="shared" si="80"/>
        <v>0.15432098765432098</v>
      </c>
      <c r="L171" s="8">
        <f t="shared" si="82"/>
        <v>0.16666666666666666</v>
      </c>
      <c r="M171" s="8">
        <f t="shared" si="81"/>
        <v>0.67901234567901236</v>
      </c>
      <c r="N171" s="8"/>
      <c r="O171" s="8"/>
    </row>
    <row r="172" spans="1:15" x14ac:dyDescent="0.25">
      <c r="A172" s="8" t="s">
        <v>72</v>
      </c>
      <c r="B172" s="8">
        <v>166</v>
      </c>
      <c r="C172" s="8">
        <v>4</v>
      </c>
      <c r="D172" s="8">
        <v>5</v>
      </c>
      <c r="E172" s="8">
        <f t="shared" si="83"/>
        <v>157</v>
      </c>
      <c r="F172" s="8">
        <v>0</v>
      </c>
      <c r="G172" s="8">
        <f>31-C172</f>
        <v>27</v>
      </c>
      <c r="H172" s="8"/>
      <c r="I172" s="8">
        <f>124-C172</f>
        <v>120</v>
      </c>
      <c r="J172" s="8">
        <f t="shared" si="79"/>
        <v>157</v>
      </c>
      <c r="K172" s="8">
        <f t="shared" si="80"/>
        <v>0.17197452229299362</v>
      </c>
      <c r="L172" s="8">
        <f t="shared" si="82"/>
        <v>0.2356687898089172</v>
      </c>
      <c r="M172" s="8">
        <f t="shared" si="81"/>
        <v>0.59235668789808915</v>
      </c>
      <c r="N172" s="8"/>
      <c r="O172" s="8"/>
    </row>
    <row r="173" spans="1:15" x14ac:dyDescent="0.25">
      <c r="A173" s="8" t="s">
        <v>81</v>
      </c>
      <c r="B173" s="8">
        <v>81</v>
      </c>
      <c r="C173" s="8">
        <v>0</v>
      </c>
      <c r="D173" s="8">
        <v>0</v>
      </c>
      <c r="E173" s="8">
        <f t="shared" ref="E173:E176" si="84">B173-SUM(C173:D173)</f>
        <v>81</v>
      </c>
      <c r="F173" s="8">
        <v>0</v>
      </c>
      <c r="G173" s="8">
        <f>31-C173</f>
        <v>31</v>
      </c>
      <c r="H173" s="8"/>
      <c r="I173" s="8">
        <f>55-C173</f>
        <v>55</v>
      </c>
      <c r="J173" s="8">
        <f t="shared" ref="J173:J176" si="85">E173</f>
        <v>81</v>
      </c>
      <c r="K173" s="8">
        <f t="shared" si="80"/>
        <v>0.38271604938271603</v>
      </c>
      <c r="L173" s="8">
        <f t="shared" si="82"/>
        <v>0.32098765432098764</v>
      </c>
      <c r="M173" s="8">
        <f t="shared" si="81"/>
        <v>0.29629629629629628</v>
      </c>
      <c r="N173" s="8"/>
      <c r="O173" s="8"/>
    </row>
    <row r="174" spans="1:15" x14ac:dyDescent="0.25">
      <c r="A174" s="8" t="s">
        <v>82</v>
      </c>
      <c r="B174" s="8">
        <v>81</v>
      </c>
      <c r="C174" s="8">
        <v>0</v>
      </c>
      <c r="D174" s="8">
        <f>0</f>
        <v>0</v>
      </c>
      <c r="E174" s="8">
        <f t="shared" si="84"/>
        <v>81</v>
      </c>
      <c r="F174" s="8">
        <v>0</v>
      </c>
      <c r="G174" s="8">
        <f>25-C174</f>
        <v>25</v>
      </c>
      <c r="H174" s="8"/>
      <c r="I174" s="8">
        <f>55-C174</f>
        <v>55</v>
      </c>
      <c r="J174" s="8">
        <f t="shared" si="85"/>
        <v>81</v>
      </c>
      <c r="K174" s="8">
        <f t="shared" si="80"/>
        <v>0.30864197530864196</v>
      </c>
      <c r="L174" s="8">
        <f t="shared" si="82"/>
        <v>0.32098765432098764</v>
      </c>
      <c r="M174" s="8">
        <f t="shared" si="81"/>
        <v>0.37037037037037035</v>
      </c>
      <c r="N174" s="8"/>
      <c r="O174" s="8"/>
    </row>
    <row r="175" spans="1:15" x14ac:dyDescent="0.25">
      <c r="A175" s="8" t="s">
        <v>79</v>
      </c>
      <c r="B175" s="8">
        <v>74</v>
      </c>
      <c r="C175" s="8">
        <v>0</v>
      </c>
      <c r="D175" s="8">
        <v>0</v>
      </c>
      <c r="E175" s="8">
        <f t="shared" si="84"/>
        <v>74</v>
      </c>
      <c r="F175" s="8">
        <v>0</v>
      </c>
      <c r="G175" s="8">
        <f>10-C175</f>
        <v>10</v>
      </c>
      <c r="H175" s="8"/>
      <c r="I175" s="8">
        <f>41-C175</f>
        <v>41</v>
      </c>
      <c r="J175" s="8">
        <f t="shared" si="85"/>
        <v>74</v>
      </c>
      <c r="K175" s="8">
        <f t="shared" si="80"/>
        <v>0.13513513513513514</v>
      </c>
      <c r="L175" s="8">
        <f t="shared" si="82"/>
        <v>0.44594594594594594</v>
      </c>
      <c r="M175" s="8">
        <f t="shared" si="81"/>
        <v>0.41891891891891891</v>
      </c>
      <c r="N175" s="8"/>
      <c r="O175" s="8"/>
    </row>
    <row r="176" spans="1:15" x14ac:dyDescent="0.25">
      <c r="A176" s="8" t="s">
        <v>84</v>
      </c>
      <c r="B176" s="8">
        <v>69</v>
      </c>
      <c r="C176" s="8">
        <v>2</v>
      </c>
      <c r="D176" s="8">
        <v>2</v>
      </c>
      <c r="E176" s="8">
        <f t="shared" si="84"/>
        <v>65</v>
      </c>
      <c r="F176" s="8">
        <v>0</v>
      </c>
      <c r="G176" s="8">
        <f>21-C176</f>
        <v>19</v>
      </c>
      <c r="H176" s="8"/>
      <c r="I176" s="8">
        <f>43-C176</f>
        <v>41</v>
      </c>
      <c r="J176" s="8">
        <f t="shared" si="85"/>
        <v>65</v>
      </c>
      <c r="K176" s="8">
        <f t="shared" si="80"/>
        <v>0.29230769230769232</v>
      </c>
      <c r="L176" s="8">
        <f t="shared" si="82"/>
        <v>0.36923076923076925</v>
      </c>
      <c r="M176" s="8">
        <f t="shared" si="81"/>
        <v>0.33846153846153848</v>
      </c>
      <c r="N176" s="8"/>
      <c r="O176" s="8"/>
    </row>
    <row r="177" spans="1:15" x14ac:dyDescent="0.25">
      <c r="A177" s="8" t="s">
        <v>87</v>
      </c>
      <c r="B177" s="8">
        <v>189</v>
      </c>
      <c r="C177" s="8">
        <v>0</v>
      </c>
      <c r="D177" s="8">
        <v>0</v>
      </c>
      <c r="E177" s="8">
        <f t="shared" ref="E177:E179" si="86">B177-SUM(C177:D177)</f>
        <v>189</v>
      </c>
      <c r="F177" s="8">
        <f>0</f>
        <v>0</v>
      </c>
      <c r="G177" s="8">
        <f>2-C177</f>
        <v>2</v>
      </c>
      <c r="H177" s="8"/>
      <c r="I177" s="8">
        <f>159-C177</f>
        <v>159</v>
      </c>
      <c r="J177" s="8">
        <f t="shared" ref="J177:J179" si="87">E177</f>
        <v>189</v>
      </c>
      <c r="K177" s="8">
        <f t="shared" si="80"/>
        <v>1.0582010582010581E-2</v>
      </c>
      <c r="L177" s="8">
        <f t="shared" si="82"/>
        <v>0.15873015873015872</v>
      </c>
      <c r="M177" s="8">
        <f t="shared" si="81"/>
        <v>0.8306878306878307</v>
      </c>
      <c r="N177" s="8"/>
      <c r="O177" s="8"/>
    </row>
    <row r="178" spans="1:15" x14ac:dyDescent="0.25">
      <c r="A178" s="8" t="s">
        <v>88</v>
      </c>
      <c r="B178" s="8">
        <v>175</v>
      </c>
      <c r="C178" s="8">
        <v>10</v>
      </c>
      <c r="D178" s="8">
        <v>0</v>
      </c>
      <c r="E178" s="8">
        <f t="shared" si="86"/>
        <v>165</v>
      </c>
      <c r="F178" s="8">
        <v>0</v>
      </c>
      <c r="G178" s="8">
        <f>0</f>
        <v>0</v>
      </c>
      <c r="H178" s="8"/>
      <c r="I178" s="8">
        <f>151-C178</f>
        <v>141</v>
      </c>
      <c r="J178" s="8">
        <f t="shared" si="87"/>
        <v>165</v>
      </c>
      <c r="K178" s="8">
        <f t="shared" si="80"/>
        <v>0</v>
      </c>
      <c r="L178" s="8">
        <f t="shared" si="82"/>
        <v>0.14545454545454545</v>
      </c>
      <c r="M178" s="8">
        <f t="shared" si="81"/>
        <v>0.8545454545454545</v>
      </c>
      <c r="N178" s="8"/>
      <c r="O178" s="8"/>
    </row>
    <row r="179" spans="1:15" x14ac:dyDescent="0.25">
      <c r="A179" s="8" t="s">
        <v>89</v>
      </c>
      <c r="B179" s="8">
        <v>172</v>
      </c>
      <c r="C179" s="8">
        <v>0</v>
      </c>
      <c r="D179" s="8">
        <v>0</v>
      </c>
      <c r="E179" s="8">
        <f t="shared" si="86"/>
        <v>172</v>
      </c>
      <c r="F179" s="8">
        <v>0</v>
      </c>
      <c r="G179" s="8">
        <f>0-C179</f>
        <v>0</v>
      </c>
      <c r="H179" s="8"/>
      <c r="I179" s="8">
        <f>155-C179</f>
        <v>155</v>
      </c>
      <c r="J179" s="8">
        <f t="shared" si="87"/>
        <v>172</v>
      </c>
      <c r="K179" s="8">
        <f t="shared" si="80"/>
        <v>0</v>
      </c>
      <c r="L179" s="8">
        <f t="shared" si="82"/>
        <v>9.8837209302325577E-2</v>
      </c>
      <c r="M179" s="8">
        <f t="shared" si="81"/>
        <v>0.90116279069767447</v>
      </c>
      <c r="N179" s="8"/>
      <c r="O179" s="8"/>
    </row>
    <row r="183" spans="1:15" ht="18.75" x14ac:dyDescent="0.3">
      <c r="A183" s="2"/>
      <c r="B183" s="10"/>
      <c r="C183" s="10"/>
      <c r="D183" s="10"/>
      <c r="E183" s="10"/>
      <c r="F183" s="10"/>
      <c r="G183" s="8"/>
      <c r="H183" s="10"/>
      <c r="I183" s="10"/>
      <c r="J183" s="10"/>
      <c r="K183" s="10"/>
      <c r="L183" s="10"/>
    </row>
    <row r="184" spans="1:1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9286-B607-48C1-96A3-5871355D3077}">
  <dimension ref="A1:O41"/>
  <sheetViews>
    <sheetView workbookViewId="0">
      <selection sqref="A1:F35"/>
    </sheetView>
  </sheetViews>
  <sheetFormatPr defaultRowHeight="15" x14ac:dyDescent="0.25"/>
  <cols>
    <col min="1" max="1" width="27.85546875" bestFit="1" customWidth="1"/>
    <col min="2" max="2" width="19.140625" bestFit="1" customWidth="1"/>
    <col min="3" max="3" width="35.140625" bestFit="1" customWidth="1"/>
    <col min="4" max="5" width="17.140625" bestFit="1" customWidth="1"/>
    <col min="6" max="6" width="12" bestFit="1" customWidth="1"/>
  </cols>
  <sheetData>
    <row r="1" spans="1:15" ht="18.75" x14ac:dyDescent="0.3">
      <c r="A1" s="2" t="str">
        <f>'estimates new'!AR60</f>
        <v>sample files from polar</v>
      </c>
      <c r="B1" s="2" t="str">
        <f>'estimates new'!AS60</f>
        <v>sample number</v>
      </c>
      <c r="C1" s="2" t="str">
        <f>'estimates new'!AT60</f>
        <v>Distance from injection point</v>
      </c>
      <c r="D1" s="2" t="str">
        <f>'estimates new'!AU60</f>
        <v>core fraction</v>
      </c>
      <c r="E1" s="2" t="str">
        <f>'estimates new'!AV60</f>
        <v>skin fraction</v>
      </c>
      <c r="F1" s="2" t="str">
        <f>'estimates new'!AW60</f>
        <v>thickness</v>
      </c>
      <c r="G1" s="2"/>
      <c r="H1" s="2"/>
      <c r="I1" s="2"/>
      <c r="J1" s="2"/>
      <c r="K1" s="2"/>
      <c r="L1" s="2"/>
      <c r="M1" s="2"/>
    </row>
    <row r="2" spans="1:15" ht="15.75" x14ac:dyDescent="0.25">
      <c r="A2" s="17" t="str">
        <f>'estimates new'!AR61</f>
        <v>462 (2)</v>
      </c>
      <c r="B2" s="17">
        <f>'estimates new'!AS61</f>
        <v>2</v>
      </c>
      <c r="C2" s="17">
        <f>'estimates new'!AT61</f>
        <v>12</v>
      </c>
      <c r="D2" s="17">
        <f>'estimates new'!AU61</f>
        <v>0.40229885057471265</v>
      </c>
      <c r="E2" s="17">
        <f>'estimates new'!AV61</f>
        <v>0.5977011494252874</v>
      </c>
      <c r="F2" s="17">
        <f>'estimates new'!AW61</f>
        <v>1</v>
      </c>
    </row>
    <row r="3" spans="1:15" ht="15.75" x14ac:dyDescent="0.25">
      <c r="A3" s="17" t="str">
        <f>'estimates new'!AR62</f>
        <v>510 (2)</v>
      </c>
      <c r="B3" s="17">
        <f>'estimates new'!AS62</f>
        <v>2</v>
      </c>
      <c r="C3" s="17">
        <f>'estimates new'!AT62</f>
        <v>27</v>
      </c>
      <c r="D3" s="17">
        <f>'estimates new'!AU62</f>
        <v>0.41111111111111109</v>
      </c>
      <c r="E3" s="17">
        <f>'estimates new'!AV62</f>
        <v>0.58888888888888891</v>
      </c>
      <c r="F3" s="17">
        <f>'estimates new'!AW62</f>
        <v>1</v>
      </c>
    </row>
    <row r="4" spans="1:15" ht="15.75" x14ac:dyDescent="0.25">
      <c r="A4" s="17" t="str">
        <f>'estimates new'!AR63</f>
        <v>503 (2)</v>
      </c>
      <c r="B4" s="17">
        <f>'estimates new'!AS63</f>
        <v>2</v>
      </c>
      <c r="C4" s="17">
        <f>'estimates new'!AT63</f>
        <v>42</v>
      </c>
      <c r="D4" s="17">
        <f>'estimates new'!AU63</f>
        <v>0.39080459770114945</v>
      </c>
      <c r="E4" s="17">
        <f>'estimates new'!AV63</f>
        <v>0.60919540229885061</v>
      </c>
      <c r="F4" s="17">
        <f>'estimates new'!AW63</f>
        <v>1</v>
      </c>
    </row>
    <row r="5" spans="1:15" ht="15.75" x14ac:dyDescent="0.25">
      <c r="A5" s="17" t="str">
        <f>'estimates new'!AR64</f>
        <v>442 (3)</v>
      </c>
      <c r="B5" s="17">
        <f>'estimates new'!AS64</f>
        <v>3</v>
      </c>
      <c r="C5" s="17">
        <f>'estimates new'!AT64</f>
        <v>12</v>
      </c>
      <c r="D5" s="17">
        <f>'estimates new'!AU64</f>
        <v>0.56818181818181823</v>
      </c>
      <c r="E5" s="17">
        <f>'estimates new'!AV64</f>
        <v>0.43181818181818182</v>
      </c>
      <c r="F5" s="17">
        <f>'estimates new'!AW64</f>
        <v>1</v>
      </c>
    </row>
    <row r="6" spans="1:15" ht="15.75" x14ac:dyDescent="0.25">
      <c r="A6" s="17" t="str">
        <f>'estimates new'!AR65</f>
        <v>505 (3)</v>
      </c>
      <c r="B6" s="17">
        <f>'estimates new'!AS65</f>
        <v>3</v>
      </c>
      <c r="C6" s="17">
        <f>'estimates new'!AT65</f>
        <v>27</v>
      </c>
      <c r="D6" s="17">
        <f>'estimates new'!AU65</f>
        <v>0.37777777777777777</v>
      </c>
      <c r="E6" s="17">
        <f>'estimates new'!AV65</f>
        <v>0.62222222222222223</v>
      </c>
      <c r="F6" s="17">
        <f>'estimates new'!AW65</f>
        <v>1</v>
      </c>
    </row>
    <row r="7" spans="1:15" ht="18.75" x14ac:dyDescent="0.3">
      <c r="A7" s="17" t="str">
        <f>'estimates new'!AR66</f>
        <v>499 (3)</v>
      </c>
      <c r="B7" s="17">
        <f>'estimates new'!AS66</f>
        <v>3</v>
      </c>
      <c r="C7" s="17">
        <f>'estimates new'!AT66</f>
        <v>42</v>
      </c>
      <c r="D7" s="17">
        <f>'estimates new'!AU66</f>
        <v>0.33707865168539325</v>
      </c>
      <c r="E7" s="17">
        <f>'estimates new'!AV66</f>
        <v>0.66292134831460681</v>
      </c>
      <c r="F7" s="17">
        <f>'estimates new'!AW66</f>
        <v>1</v>
      </c>
      <c r="J7" s="2"/>
      <c r="K7" s="2"/>
      <c r="L7" s="2"/>
      <c r="M7" s="2"/>
      <c r="N7" s="2"/>
      <c r="O7" s="2"/>
    </row>
    <row r="8" spans="1:15" ht="15.75" x14ac:dyDescent="0.25">
      <c r="A8" s="17" t="str">
        <f>'estimates new'!AR67</f>
        <v>453 (4)</v>
      </c>
      <c r="B8" s="17">
        <f>'estimates new'!AS67</f>
        <v>4</v>
      </c>
      <c r="C8" s="17">
        <f>'estimates new'!AT67</f>
        <v>12</v>
      </c>
      <c r="D8" s="17">
        <f>'estimates new'!AU67</f>
        <v>0.7078651685393258</v>
      </c>
      <c r="E8" s="17">
        <f>'estimates new'!AV67</f>
        <v>0.29213483146067415</v>
      </c>
      <c r="F8" s="17">
        <f>'estimates new'!AW67</f>
        <v>1</v>
      </c>
      <c r="J8" s="17"/>
      <c r="K8" s="17"/>
      <c r="L8" s="17"/>
      <c r="M8" s="17"/>
      <c r="N8" s="17"/>
      <c r="O8" s="17"/>
    </row>
    <row r="9" spans="1:15" ht="15.75" x14ac:dyDescent="0.25">
      <c r="A9" s="17" t="str">
        <f>'estimates new'!AR68</f>
        <v>508 (4)</v>
      </c>
      <c r="B9" s="17">
        <f>'estimates new'!AS68</f>
        <v>4</v>
      </c>
      <c r="C9" s="17">
        <f>'estimates new'!AT68</f>
        <v>27</v>
      </c>
      <c r="D9" s="17">
        <f>'estimates new'!AU68</f>
        <v>0.39325842696629215</v>
      </c>
      <c r="E9" s="17">
        <f>'estimates new'!AV68</f>
        <v>0.6067415730337079</v>
      </c>
      <c r="F9" s="17">
        <f>'estimates new'!AW68</f>
        <v>1</v>
      </c>
      <c r="J9" s="17"/>
      <c r="K9" s="17"/>
      <c r="L9" s="17"/>
      <c r="M9" s="17"/>
      <c r="N9" s="17"/>
      <c r="O9" s="17"/>
    </row>
    <row r="10" spans="1:15" ht="15.75" x14ac:dyDescent="0.25">
      <c r="A10" s="17" t="str">
        <f>'estimates new'!AR69</f>
        <v>501 (4)</v>
      </c>
      <c r="B10" s="17">
        <f>'estimates new'!AS69</f>
        <v>4</v>
      </c>
      <c r="C10" s="17">
        <f>'estimates new'!AT69</f>
        <v>42</v>
      </c>
      <c r="D10" s="17">
        <f>'estimates new'!AU69</f>
        <v>0.32222222222222224</v>
      </c>
      <c r="E10" s="17">
        <f>'estimates new'!AV69</f>
        <v>0.67777777777777781</v>
      </c>
      <c r="F10" s="17">
        <f>'estimates new'!AW69</f>
        <v>1</v>
      </c>
      <c r="J10" s="17"/>
      <c r="K10" s="17"/>
      <c r="L10" s="17"/>
      <c r="M10" s="17"/>
      <c r="N10" s="17"/>
      <c r="O10" s="17"/>
    </row>
    <row r="11" spans="1:15" ht="15.75" x14ac:dyDescent="0.25">
      <c r="A11" s="17" t="str">
        <f>'estimates new'!AR70</f>
        <v>639 (5)</v>
      </c>
      <c r="B11" s="17">
        <f>'estimates new'!AS70</f>
        <v>5</v>
      </c>
      <c r="C11" s="17">
        <f>'estimates new'!AT70</f>
        <v>12</v>
      </c>
      <c r="D11" s="17">
        <f>'estimates new'!AU70</f>
        <v>0.32</v>
      </c>
      <c r="E11" s="17">
        <f>'estimates new'!AV70</f>
        <v>0.68</v>
      </c>
      <c r="F11" s="17">
        <f>'estimates new'!AW70</f>
        <v>0.3</v>
      </c>
      <c r="J11" s="17"/>
      <c r="K11" s="17"/>
      <c r="L11" s="17"/>
      <c r="M11" s="17"/>
      <c r="N11" s="17"/>
      <c r="O11" s="17"/>
    </row>
    <row r="12" spans="1:15" ht="15.75" x14ac:dyDescent="0.25">
      <c r="A12" s="17" t="str">
        <f>'estimates new'!AR71</f>
        <v>650 (5)</v>
      </c>
      <c r="B12" s="17">
        <f>'estimates new'!AS71</f>
        <v>5</v>
      </c>
      <c r="C12" s="17">
        <f>'estimates new'!AT71</f>
        <v>27</v>
      </c>
      <c r="D12" s="17">
        <f>'estimates new'!AU71</f>
        <v>0.1</v>
      </c>
      <c r="E12" s="17">
        <f>'estimates new'!AV71</f>
        <v>0.9</v>
      </c>
      <c r="F12" s="17">
        <f>'estimates new'!AW71</f>
        <v>0.3</v>
      </c>
      <c r="J12" s="17"/>
      <c r="K12" s="17"/>
      <c r="L12" s="17"/>
      <c r="M12" s="17"/>
      <c r="N12" s="17"/>
      <c r="O12" s="17"/>
    </row>
    <row r="13" spans="1:15" ht="15.75" x14ac:dyDescent="0.25">
      <c r="A13" s="17" t="str">
        <f>'estimates new'!AR72</f>
        <v>661 (5)</v>
      </c>
      <c r="B13" s="17">
        <f>'estimates new'!AS72</f>
        <v>5</v>
      </c>
      <c r="C13" s="17">
        <f>'estimates new'!AT72</f>
        <v>42</v>
      </c>
      <c r="D13" s="17">
        <f>'estimates new'!AU72</f>
        <v>0</v>
      </c>
      <c r="E13" s="17">
        <f>'estimates new'!AV72</f>
        <v>1</v>
      </c>
      <c r="F13" s="17">
        <f>'estimates new'!AW72</f>
        <v>0.3</v>
      </c>
      <c r="J13" s="17"/>
      <c r="K13" s="17"/>
      <c r="L13" s="17"/>
      <c r="M13" s="17"/>
      <c r="N13" s="17"/>
      <c r="O13" s="17"/>
    </row>
    <row r="14" spans="1:15" ht="15.75" x14ac:dyDescent="0.25">
      <c r="A14" s="17" t="str">
        <f>'estimates new'!AR73</f>
        <v>514 (8)</v>
      </c>
      <c r="B14" s="17">
        <f>'estimates new'!AS73</f>
        <v>8</v>
      </c>
      <c r="C14" s="17">
        <f>'estimates new'!AT73</f>
        <v>12</v>
      </c>
      <c r="D14" s="17">
        <f>'estimates new'!AU73</f>
        <v>0.35526315789473684</v>
      </c>
      <c r="E14" s="17">
        <f>'estimates new'!AV73</f>
        <v>0.64473684210526316</v>
      </c>
      <c r="F14" s="17">
        <f>'estimates new'!AW73</f>
        <v>0.5</v>
      </c>
      <c r="J14" s="17"/>
      <c r="K14" s="17"/>
      <c r="L14" s="17"/>
      <c r="M14" s="17"/>
      <c r="N14" s="17"/>
      <c r="O14" s="17"/>
    </row>
    <row r="15" spans="1:15" ht="15.75" x14ac:dyDescent="0.25">
      <c r="A15" s="17" t="str">
        <f>'estimates new'!AR74</f>
        <v>523 (8)</v>
      </c>
      <c r="B15" s="17">
        <f>'estimates new'!AS74</f>
        <v>8</v>
      </c>
      <c r="C15" s="17">
        <f>'estimates new'!AT74</f>
        <v>27</v>
      </c>
      <c r="D15" s="17">
        <f>'estimates new'!AU74</f>
        <v>0.30303030303030304</v>
      </c>
      <c r="E15" s="17">
        <f>'estimates new'!AV74</f>
        <v>0.69696969696969702</v>
      </c>
      <c r="F15" s="17">
        <f>'estimates new'!AW74</f>
        <v>0.5</v>
      </c>
      <c r="J15" s="17"/>
      <c r="K15" s="17"/>
      <c r="L15" s="17"/>
      <c r="M15" s="17"/>
      <c r="N15" s="17"/>
      <c r="O15" s="17"/>
    </row>
    <row r="16" spans="1:15" ht="15.75" x14ac:dyDescent="0.25">
      <c r="A16" s="17" t="str">
        <f>'estimates new'!AR75</f>
        <v>532 (8)</v>
      </c>
      <c r="B16" s="17">
        <f>'estimates new'!AS75</f>
        <v>8</v>
      </c>
      <c r="C16" s="17">
        <f>'estimates new'!AT75</f>
        <v>42</v>
      </c>
      <c r="D16" s="17">
        <f>'estimates new'!AU75</f>
        <v>0.33846153846153848</v>
      </c>
      <c r="E16" s="17">
        <f>'estimates new'!AV75</f>
        <v>0.66153846153846163</v>
      </c>
      <c r="F16" s="17">
        <f>'estimates new'!AW75</f>
        <v>0.5</v>
      </c>
      <c r="J16" s="17"/>
      <c r="K16" s="17"/>
      <c r="L16" s="17"/>
      <c r="M16" s="17"/>
      <c r="N16" s="17"/>
      <c r="O16" s="17"/>
    </row>
    <row r="17" spans="1:15" ht="15.75" x14ac:dyDescent="0.25">
      <c r="A17" s="17" t="str">
        <f>'estimates new'!AR76</f>
        <v>517 (9)</v>
      </c>
      <c r="B17" s="17">
        <f>'estimates new'!AS76</f>
        <v>9</v>
      </c>
      <c r="C17" s="17">
        <f>'estimates new'!AT76</f>
        <v>12</v>
      </c>
      <c r="D17" s="17">
        <f>'estimates new'!AU76</f>
        <v>0.45205479452054792</v>
      </c>
      <c r="E17" s="17">
        <f>'estimates new'!AV76</f>
        <v>0.54794520547945202</v>
      </c>
      <c r="F17" s="17">
        <f>'estimates new'!AW76</f>
        <v>0.5</v>
      </c>
      <c r="J17" s="17"/>
      <c r="K17" s="17"/>
      <c r="L17" s="17"/>
      <c r="M17" s="17"/>
      <c r="N17" s="17"/>
      <c r="O17" s="17"/>
    </row>
    <row r="18" spans="1:15" ht="15.75" x14ac:dyDescent="0.25">
      <c r="A18" s="17" t="str">
        <f>'estimates new'!AR77</f>
        <v>525 (9)</v>
      </c>
      <c r="B18" s="17">
        <f>'estimates new'!AS77</f>
        <v>9</v>
      </c>
      <c r="C18" s="17">
        <f>'estimates new'!AT77</f>
        <v>27</v>
      </c>
      <c r="D18" s="17">
        <f>'estimates new'!AU77</f>
        <v>0.29411764705882354</v>
      </c>
      <c r="E18" s="17">
        <f>'estimates new'!AV77</f>
        <v>0.70588235294117641</v>
      </c>
      <c r="F18" s="17">
        <f>'estimates new'!AW77</f>
        <v>0.5</v>
      </c>
      <c r="J18" s="17"/>
      <c r="K18" s="17"/>
      <c r="L18" s="17"/>
      <c r="M18" s="17"/>
      <c r="N18" s="17"/>
      <c r="O18" s="17"/>
    </row>
    <row r="19" spans="1:15" ht="15.75" x14ac:dyDescent="0.25">
      <c r="A19" s="17" t="str">
        <f>'estimates new'!AR78</f>
        <v>534 (9)</v>
      </c>
      <c r="B19" s="17">
        <f>'estimates new'!AS78</f>
        <v>9</v>
      </c>
      <c r="C19" s="17">
        <f>'estimates new'!AT78</f>
        <v>42</v>
      </c>
      <c r="D19" s="17">
        <f>'estimates new'!AU78</f>
        <v>0.2537313432835821</v>
      </c>
      <c r="E19" s="17">
        <f>'estimates new'!AV78</f>
        <v>0.74626865671641784</v>
      </c>
      <c r="F19" s="17">
        <f>'estimates new'!AW78</f>
        <v>0.5</v>
      </c>
      <c r="J19" s="17"/>
      <c r="K19" s="17"/>
      <c r="L19" s="17"/>
      <c r="M19" s="17"/>
      <c r="N19" s="17"/>
      <c r="O19" s="17"/>
    </row>
    <row r="20" spans="1:15" ht="15.75" x14ac:dyDescent="0.25">
      <c r="A20" s="17" t="str">
        <f>'estimates new'!AR79</f>
        <v>520 (10)</v>
      </c>
      <c r="B20" s="17">
        <f>'estimates new'!AS79</f>
        <v>10</v>
      </c>
      <c r="C20" s="17">
        <f>'estimates new'!AT79</f>
        <v>12</v>
      </c>
      <c r="D20" s="17">
        <f>'estimates new'!AU79</f>
        <v>0.39473684210526316</v>
      </c>
      <c r="E20" s="17">
        <f>'estimates new'!AV79</f>
        <v>0.60526315789473684</v>
      </c>
      <c r="F20" s="17">
        <f>'estimates new'!AW79</f>
        <v>0.5</v>
      </c>
      <c r="J20" s="17"/>
      <c r="K20" s="17"/>
      <c r="L20" s="17"/>
      <c r="M20" s="17"/>
      <c r="N20" s="17"/>
      <c r="O20" s="17"/>
    </row>
    <row r="21" spans="1:15" ht="15.75" x14ac:dyDescent="0.25">
      <c r="A21" s="17" t="str">
        <f>'estimates new'!AR80</f>
        <v>530 (10)</v>
      </c>
      <c r="B21" s="17">
        <f>'estimates new'!AS80</f>
        <v>10</v>
      </c>
      <c r="C21" s="17">
        <f>'estimates new'!AT80</f>
        <v>27</v>
      </c>
      <c r="D21" s="17">
        <f>'estimates new'!AU80</f>
        <v>0.31578947368421051</v>
      </c>
      <c r="E21" s="17">
        <f>'estimates new'!AV80</f>
        <v>0.68421052631578949</v>
      </c>
      <c r="F21" s="17">
        <f>'estimates new'!AW80</f>
        <v>0.5</v>
      </c>
      <c r="J21" s="17"/>
      <c r="K21" s="17"/>
      <c r="L21" s="17"/>
      <c r="M21" s="17"/>
      <c r="N21" s="17"/>
      <c r="O21" s="17"/>
    </row>
    <row r="22" spans="1:15" ht="15.75" x14ac:dyDescent="0.25">
      <c r="A22" s="17" t="str">
        <f>'estimates new'!AR81</f>
        <v>536(10)</v>
      </c>
      <c r="B22" s="17">
        <f>'estimates new'!AS81</f>
        <v>10</v>
      </c>
      <c r="C22" s="17">
        <f>'estimates new'!AT81</f>
        <v>42</v>
      </c>
      <c r="D22" s="17">
        <f>'estimates new'!AU81</f>
        <v>0.28358208955223879</v>
      </c>
      <c r="E22" s="17">
        <f>'estimates new'!AV81</f>
        <v>0.71641791044776126</v>
      </c>
      <c r="F22" s="17">
        <f>'estimates new'!AW81</f>
        <v>0.5</v>
      </c>
      <c r="J22" s="17"/>
      <c r="K22" s="17"/>
      <c r="L22" s="17"/>
      <c r="M22" s="17"/>
      <c r="N22" s="17"/>
      <c r="O22" s="17"/>
    </row>
    <row r="23" spans="1:15" ht="15.75" x14ac:dyDescent="0.25">
      <c r="A23" s="17" t="str">
        <f>'estimates new'!AR82</f>
        <v>584 (11)</v>
      </c>
      <c r="B23" s="17">
        <f>'estimates new'!AS82</f>
        <v>11</v>
      </c>
      <c r="C23" s="17">
        <f>'estimates new'!AT82</f>
        <v>12</v>
      </c>
      <c r="D23" s="17">
        <f>'estimates new'!AU82</f>
        <v>0.65838509316770188</v>
      </c>
      <c r="E23" s="17">
        <f>'estimates new'!AV82</f>
        <v>0.34161490683229812</v>
      </c>
      <c r="F23" s="17">
        <f>'estimates new'!AW82</f>
        <v>1.6</v>
      </c>
      <c r="J23" s="17"/>
      <c r="K23" s="17"/>
      <c r="L23" s="17"/>
      <c r="M23" s="17"/>
      <c r="N23" s="17"/>
      <c r="O23" s="17"/>
    </row>
    <row r="24" spans="1:15" ht="15.75" x14ac:dyDescent="0.25">
      <c r="A24" s="17" t="str">
        <f>'estimates new'!AR83</f>
        <v>602 (11)</v>
      </c>
      <c r="B24" s="17">
        <f>'estimates new'!AS83</f>
        <v>11</v>
      </c>
      <c r="C24" s="17">
        <f>'estimates new'!AT83</f>
        <v>27</v>
      </c>
      <c r="D24" s="17">
        <f>'estimates new'!AU83</f>
        <v>0.57309941520467833</v>
      </c>
      <c r="E24" s="17">
        <f>'estimates new'!AV83</f>
        <v>0.42690058479532161</v>
      </c>
      <c r="F24" s="17">
        <f>'estimates new'!AW83</f>
        <v>1.6</v>
      </c>
      <c r="J24" s="17"/>
      <c r="K24" s="17"/>
      <c r="L24" s="17"/>
      <c r="M24" s="17"/>
      <c r="N24" s="17"/>
      <c r="O24" s="17"/>
    </row>
    <row r="25" spans="1:15" ht="15.75" x14ac:dyDescent="0.25">
      <c r="A25" s="17" t="str">
        <f>'estimates new'!AR84</f>
        <v>614 (11)</v>
      </c>
      <c r="B25" s="17">
        <f>'estimates new'!AS84</f>
        <v>11</v>
      </c>
      <c r="C25" s="17">
        <f>'estimates new'!AT84</f>
        <v>42</v>
      </c>
      <c r="D25" s="17">
        <f>'estimates new'!AU84</f>
        <v>0.54651162790697672</v>
      </c>
      <c r="E25" s="17">
        <f>'estimates new'!AV84</f>
        <v>0.45348837209302328</v>
      </c>
      <c r="F25" s="17">
        <f>'estimates new'!AW84</f>
        <v>1.6</v>
      </c>
      <c r="J25" s="17"/>
      <c r="K25" s="17"/>
      <c r="L25" s="17"/>
      <c r="M25" s="17"/>
      <c r="N25" s="17"/>
      <c r="O25" s="17"/>
    </row>
    <row r="26" spans="1:15" ht="15.75" x14ac:dyDescent="0.25">
      <c r="A26" s="17" t="str">
        <f>'estimates new'!AR85</f>
        <v>588 (12)</v>
      </c>
      <c r="B26" s="17">
        <f>'estimates new'!AS85</f>
        <v>12</v>
      </c>
      <c r="C26" s="17">
        <f>'estimates new'!AT85</f>
        <v>12</v>
      </c>
      <c r="D26" s="17">
        <f>'estimates new'!AU85</f>
        <v>0.6</v>
      </c>
      <c r="E26" s="17">
        <f>'estimates new'!AV85</f>
        <v>0.4</v>
      </c>
      <c r="F26" s="17">
        <f>'estimates new'!AW85</f>
        <v>1.6</v>
      </c>
      <c r="J26" s="17"/>
      <c r="K26" s="17"/>
      <c r="L26" s="17"/>
      <c r="M26" s="17"/>
      <c r="N26" s="17"/>
      <c r="O26" s="17"/>
    </row>
    <row r="27" spans="1:15" ht="15.75" x14ac:dyDescent="0.25">
      <c r="A27" s="17" t="str">
        <f>'estimates new'!AR86</f>
        <v>607(12)</v>
      </c>
      <c r="B27" s="17">
        <f>'estimates new'!AS86</f>
        <v>12</v>
      </c>
      <c r="C27" s="17">
        <f>'estimates new'!AT86</f>
        <v>27</v>
      </c>
      <c r="D27" s="17">
        <f>'estimates new'!AU86</f>
        <v>0.67901234567901236</v>
      </c>
      <c r="E27" s="17">
        <f>'estimates new'!AV86</f>
        <v>0.32098765432098764</v>
      </c>
      <c r="F27" s="17">
        <f>'estimates new'!AW86</f>
        <v>1.6</v>
      </c>
      <c r="J27" s="17"/>
      <c r="K27" s="17"/>
      <c r="L27" s="17"/>
      <c r="M27" s="17"/>
      <c r="N27" s="17"/>
      <c r="O27" s="17"/>
    </row>
    <row r="28" spans="1:15" ht="15.75" x14ac:dyDescent="0.25">
      <c r="A28" s="17" t="str">
        <f>'estimates new'!AR87</f>
        <v>617 (12)</v>
      </c>
      <c r="B28" s="17">
        <f>'estimates new'!AS87</f>
        <v>12</v>
      </c>
      <c r="C28" s="17">
        <f>'estimates new'!AT87</f>
        <v>42</v>
      </c>
      <c r="D28" s="17">
        <f>'estimates new'!AU87</f>
        <v>0.59235668789808915</v>
      </c>
      <c r="E28" s="17">
        <f>'estimates new'!AV87</f>
        <v>0.40764331210191085</v>
      </c>
      <c r="F28" s="17">
        <f>'estimates new'!AW87</f>
        <v>1.6</v>
      </c>
      <c r="J28" s="17"/>
      <c r="K28" s="17"/>
      <c r="L28" s="17"/>
      <c r="M28" s="17"/>
      <c r="N28" s="17"/>
      <c r="O28" s="17"/>
    </row>
    <row r="29" spans="1:15" ht="15.75" x14ac:dyDescent="0.25">
      <c r="A29" s="17" t="str">
        <f>'estimates new'!AR89</f>
        <v>654 (6)</v>
      </c>
      <c r="B29" s="17">
        <f>'estimates new'!AS89</f>
        <v>6</v>
      </c>
      <c r="C29" s="17">
        <f>'estimates new'!AT89</f>
        <v>27</v>
      </c>
      <c r="D29" s="17">
        <f>'estimates new'!AU89</f>
        <v>0.29629629629629628</v>
      </c>
      <c r="E29" s="17">
        <f>'estimates new'!AV89</f>
        <v>0.70370370370370372</v>
      </c>
      <c r="F29" s="17">
        <f>'estimates new'!AW89</f>
        <v>0.3</v>
      </c>
      <c r="J29" s="17"/>
      <c r="K29" s="17"/>
      <c r="L29" s="17"/>
      <c r="M29" s="17"/>
      <c r="N29" s="17"/>
      <c r="O29" s="17"/>
    </row>
    <row r="30" spans="1:15" ht="15.75" x14ac:dyDescent="0.25">
      <c r="A30" s="17" t="str">
        <f>'estimates new'!AR90</f>
        <v>666 (6)</v>
      </c>
      <c r="B30" s="17">
        <f>'estimates new'!AS90</f>
        <v>6</v>
      </c>
      <c r="C30" s="17">
        <f>'estimates new'!AT90</f>
        <v>42</v>
      </c>
      <c r="D30" s="17">
        <f>'estimates new'!AU90</f>
        <v>0.16666666666666666</v>
      </c>
      <c r="E30" s="17">
        <f>'estimates new'!AV90</f>
        <v>0.83333333333333337</v>
      </c>
      <c r="F30" s="17">
        <f>'estimates new'!AW90</f>
        <v>0.3</v>
      </c>
      <c r="J30" s="17"/>
      <c r="K30" s="17"/>
      <c r="L30" s="17"/>
      <c r="M30" s="17"/>
      <c r="N30" s="17"/>
      <c r="O30" s="17"/>
    </row>
    <row r="31" spans="1:15" ht="15.75" x14ac:dyDescent="0.25">
      <c r="A31" s="17" t="str">
        <f>'estimates new'!AR91</f>
        <v>635 (7)</v>
      </c>
      <c r="B31" s="17">
        <f>'estimates new'!AS91</f>
        <v>7</v>
      </c>
      <c r="C31" s="17">
        <f>'estimates new'!AT91</f>
        <v>12</v>
      </c>
      <c r="D31" s="17">
        <f>'estimates new'!AU91</f>
        <v>0</v>
      </c>
      <c r="E31" s="17">
        <f>'estimates new'!AV91</f>
        <v>1</v>
      </c>
      <c r="F31" s="17">
        <f>'estimates new'!AW91</f>
        <v>0.3</v>
      </c>
      <c r="J31" s="17"/>
      <c r="K31" s="17"/>
      <c r="L31" s="17"/>
      <c r="M31" s="17"/>
      <c r="N31" s="17"/>
      <c r="O31" s="17"/>
    </row>
    <row r="32" spans="1:15" ht="15.75" x14ac:dyDescent="0.25">
      <c r="A32" s="17" t="str">
        <f>'estimates new'!AR92</f>
        <v>646 (7)</v>
      </c>
      <c r="B32" s="17">
        <f>'estimates new'!AS92</f>
        <v>7</v>
      </c>
      <c r="C32" s="17">
        <f>'estimates new'!AT92</f>
        <v>27</v>
      </c>
      <c r="D32" s="17">
        <f>'estimates new'!AU92</f>
        <v>0.33846153846153848</v>
      </c>
      <c r="E32" s="17">
        <f>'estimates new'!AV92</f>
        <v>0.66153846153846163</v>
      </c>
      <c r="F32" s="17">
        <f>'estimates new'!AW92</f>
        <v>0.3</v>
      </c>
      <c r="J32" s="17"/>
      <c r="K32" s="17"/>
      <c r="L32" s="17"/>
      <c r="M32" s="17"/>
      <c r="N32" s="17"/>
      <c r="O32" s="17"/>
    </row>
    <row r="33" spans="1:15" ht="15.75" x14ac:dyDescent="0.25">
      <c r="A33" s="17" t="str">
        <f>'estimates new'!AR94</f>
        <v>596 (14)</v>
      </c>
      <c r="B33" s="17">
        <f>'estimates new'!AS94</f>
        <v>14</v>
      </c>
      <c r="C33" s="17">
        <f>'estimates new'!AT94</f>
        <v>12</v>
      </c>
      <c r="D33" s="17">
        <f>'estimates new'!AU94</f>
        <v>0.80107526881720426</v>
      </c>
      <c r="E33" s="17">
        <f>'estimates new'!AV94</f>
        <v>0.19892473118279569</v>
      </c>
      <c r="F33" s="17">
        <f>'estimates new'!AW94</f>
        <v>1.6</v>
      </c>
      <c r="J33" s="17"/>
      <c r="K33" s="17"/>
      <c r="L33" s="17"/>
      <c r="M33" s="17"/>
      <c r="N33" s="17"/>
      <c r="O33" s="17"/>
    </row>
    <row r="34" spans="1:15" ht="15.75" x14ac:dyDescent="0.25">
      <c r="A34" s="17" t="str">
        <f>'estimates new'!AR95</f>
        <v>610 (14)</v>
      </c>
      <c r="B34" s="17">
        <f>'estimates new'!AS95</f>
        <v>14</v>
      </c>
      <c r="C34" s="17">
        <f>'estimates new'!AT95</f>
        <v>27</v>
      </c>
      <c r="D34" s="17">
        <f>'estimates new'!AU95</f>
        <v>0.9642857142857143</v>
      </c>
      <c r="E34" s="17">
        <f>'estimates new'!AV95</f>
        <v>3.5714285714285712E-2</v>
      </c>
      <c r="F34" s="17">
        <f>'estimates new'!AW95</f>
        <v>1.6</v>
      </c>
      <c r="J34" s="17"/>
      <c r="K34" s="17"/>
      <c r="L34" s="17"/>
      <c r="M34" s="17"/>
      <c r="N34" s="17"/>
      <c r="O34" s="17"/>
    </row>
    <row r="35" spans="1:15" ht="15.75" x14ac:dyDescent="0.25">
      <c r="A35" s="17" t="str">
        <f>'estimates new'!AR96</f>
        <v>631 (14)</v>
      </c>
      <c r="B35" s="17">
        <f>'estimates new'!AS96</f>
        <v>14</v>
      </c>
      <c r="C35" s="17">
        <f>'estimates new'!AT96</f>
        <v>42</v>
      </c>
      <c r="D35" s="17">
        <f>'estimates new'!AU96</f>
        <v>0.97619047619047616</v>
      </c>
      <c r="E35" s="17">
        <f>'estimates new'!AV96</f>
        <v>2.3809523809523808E-2</v>
      </c>
      <c r="F35" s="17">
        <f>'estimates new'!AW96</f>
        <v>1.6</v>
      </c>
      <c r="J35" s="17"/>
      <c r="K35" s="17"/>
      <c r="L35" s="17"/>
      <c r="M35" s="17"/>
      <c r="N35" s="17"/>
      <c r="O35" s="17"/>
    </row>
    <row r="36" spans="1:15" ht="18.75" x14ac:dyDescent="0.3">
      <c r="A36" s="2"/>
      <c r="B36" s="2"/>
      <c r="C36" s="2"/>
      <c r="D36" s="2"/>
      <c r="E36" s="2"/>
      <c r="F36" s="2"/>
      <c r="J36" s="17"/>
      <c r="K36" s="17"/>
      <c r="L36" s="17"/>
      <c r="M36" s="17"/>
      <c r="N36" s="17"/>
      <c r="O36" s="17"/>
    </row>
    <row r="37" spans="1:15" ht="18.75" x14ac:dyDescent="0.3">
      <c r="A37" s="2"/>
      <c r="B37" s="2"/>
      <c r="C37" s="2"/>
      <c r="D37" s="2"/>
      <c r="E37" s="2"/>
      <c r="F37" s="2"/>
      <c r="J37" s="17"/>
      <c r="K37" s="17"/>
      <c r="L37" s="17"/>
      <c r="M37" s="17"/>
      <c r="N37" s="17"/>
      <c r="O37" s="17"/>
    </row>
    <row r="38" spans="1:15" ht="18.75" x14ac:dyDescent="0.3">
      <c r="A38" s="2"/>
      <c r="B38" s="2"/>
      <c r="C38" s="2"/>
      <c r="D38" s="2"/>
      <c r="E38" s="2"/>
      <c r="F38" s="2"/>
      <c r="J38" s="17"/>
      <c r="K38" s="17"/>
      <c r="L38" s="17"/>
      <c r="M38" s="17"/>
      <c r="N38" s="17"/>
      <c r="O38" s="17"/>
    </row>
    <row r="39" spans="1:15" ht="15.75" x14ac:dyDescent="0.25">
      <c r="J39" s="17"/>
      <c r="K39" s="17"/>
      <c r="L39" s="17"/>
      <c r="M39" s="17"/>
      <c r="N39" s="17"/>
      <c r="O39" s="17"/>
    </row>
    <row r="40" spans="1:15" ht="15.75" x14ac:dyDescent="0.25">
      <c r="J40" s="17"/>
      <c r="K40" s="17"/>
      <c r="L40" s="17"/>
      <c r="M40" s="17"/>
      <c r="N40" s="17"/>
      <c r="O40" s="17"/>
    </row>
    <row r="41" spans="1:15" ht="15.75" x14ac:dyDescent="0.25">
      <c r="J41" s="17"/>
      <c r="K41" s="17"/>
      <c r="L41" s="17"/>
      <c r="M41" s="17"/>
      <c r="N41" s="17"/>
      <c r="O4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98F0-01DC-427D-801F-06803A533CD8}">
  <dimension ref="A1:T35"/>
  <sheetViews>
    <sheetView workbookViewId="0">
      <selection activeCell="H33" sqref="H33"/>
    </sheetView>
  </sheetViews>
  <sheetFormatPr defaultRowHeight="15" x14ac:dyDescent="0.25"/>
  <cols>
    <col min="1" max="1" width="27.85546875" bestFit="1" customWidth="1"/>
    <col min="2" max="2" width="19.140625" bestFit="1" customWidth="1"/>
    <col min="3" max="3" width="35.140625" bestFit="1" customWidth="1"/>
    <col min="4" max="4" width="15.85546875" bestFit="1" customWidth="1"/>
    <col min="5" max="5" width="15.42578125" bestFit="1" customWidth="1"/>
    <col min="6" max="6" width="12" bestFit="1" customWidth="1"/>
    <col min="7" max="7" width="12.7109375" bestFit="1" customWidth="1"/>
    <col min="8" max="8" width="18.42578125" bestFit="1" customWidth="1"/>
    <col min="19" max="19" width="34.28515625" bestFit="1" customWidth="1"/>
  </cols>
  <sheetData>
    <row r="1" spans="1:20" ht="18.75" x14ac:dyDescent="0.3">
      <c r="A1" s="2" t="str">
        <f>'estimates new'!AR60</f>
        <v>sample files from polar</v>
      </c>
      <c r="B1" s="2" t="str">
        <f>'estimates new'!AS60</f>
        <v>sample number</v>
      </c>
      <c r="C1" s="2" t="str">
        <f>'estimates new'!AT60</f>
        <v>Distance from injection point</v>
      </c>
      <c r="D1" s="2" t="str">
        <f>'estimates new'!AU60</f>
        <v>core fraction</v>
      </c>
      <c r="E1" s="2" t="str">
        <f>'estimates new'!AV60</f>
        <v>skin fraction</v>
      </c>
      <c r="F1" s="2" t="str">
        <f>'estimates new'!AW60</f>
        <v>thickness</v>
      </c>
      <c r="G1" s="2" t="s">
        <v>126</v>
      </c>
      <c r="H1" s="2" t="s">
        <v>138</v>
      </c>
      <c r="I1" s="2" t="s">
        <v>139</v>
      </c>
    </row>
    <row r="2" spans="1:20" ht="15.75" x14ac:dyDescent="0.25">
      <c r="A2" s="17" t="str">
        <f>'estimates new'!AR61</f>
        <v>462 (2)</v>
      </c>
      <c r="B2" s="17">
        <f>'estimates new'!AS61</f>
        <v>2</v>
      </c>
      <c r="C2" s="17">
        <f>'estimates new'!AT61</f>
        <v>12</v>
      </c>
      <c r="D2" s="17">
        <f>'estimates new'!AU61</f>
        <v>0.40229885057471265</v>
      </c>
      <c r="E2" s="17">
        <f>'estimates new'!AV61</f>
        <v>0.5977011494252874</v>
      </c>
      <c r="F2" s="17">
        <f>'estimates new'!AW61</f>
        <v>1</v>
      </c>
      <c r="G2">
        <v>0</v>
      </c>
      <c r="H2" s="18">
        <f>0</f>
        <v>0</v>
      </c>
      <c r="I2">
        <v>0</v>
      </c>
    </row>
    <row r="3" spans="1:20" ht="15.75" x14ac:dyDescent="0.25">
      <c r="A3" s="17" t="str">
        <f>'estimates new'!AR62</f>
        <v>510 (2)</v>
      </c>
      <c r="B3" s="17">
        <f>'estimates new'!AS62</f>
        <v>2</v>
      </c>
      <c r="C3" s="17">
        <f>'estimates new'!AT62</f>
        <v>27</v>
      </c>
      <c r="D3" s="17">
        <f>'estimates new'!AU62</f>
        <v>0.41111111111111109</v>
      </c>
      <c r="E3" s="17">
        <f>'estimates new'!AV62</f>
        <v>0.58888888888888891</v>
      </c>
      <c r="F3" s="17">
        <f>'estimates new'!AW62</f>
        <v>1</v>
      </c>
      <c r="G3" s="8">
        <v>0</v>
      </c>
      <c r="H3" s="18">
        <f>0</f>
        <v>0</v>
      </c>
      <c r="I3" s="8">
        <v>0</v>
      </c>
    </row>
    <row r="4" spans="1:20" ht="15.75" x14ac:dyDescent="0.25">
      <c r="A4" s="17" t="str">
        <f>'estimates new'!AR63</f>
        <v>503 (2)</v>
      </c>
      <c r="B4" s="17">
        <f>'estimates new'!AS63</f>
        <v>2</v>
      </c>
      <c r="C4" s="17">
        <f>'estimates new'!AT63</f>
        <v>42</v>
      </c>
      <c r="D4" s="17">
        <f>'estimates new'!AU63</f>
        <v>0.39080459770114945</v>
      </c>
      <c r="E4" s="17">
        <f>'estimates new'!AV63</f>
        <v>0.60919540229885061</v>
      </c>
      <c r="F4" s="17">
        <f>'estimates new'!AW63</f>
        <v>1</v>
      </c>
      <c r="G4" s="8">
        <v>0</v>
      </c>
      <c r="H4" s="18">
        <f>0</f>
        <v>0</v>
      </c>
      <c r="I4" s="8">
        <v>0</v>
      </c>
      <c r="O4" s="8"/>
      <c r="P4" s="8"/>
      <c r="Q4" s="8"/>
      <c r="R4" s="8"/>
      <c r="S4" s="8"/>
      <c r="T4" s="8"/>
    </row>
    <row r="5" spans="1:20" ht="15.75" x14ac:dyDescent="0.25">
      <c r="A5" s="17" t="str">
        <f>'estimates new'!AR64</f>
        <v>442 (3)</v>
      </c>
      <c r="B5" s="17">
        <f>'estimates new'!AS64</f>
        <v>3</v>
      </c>
      <c r="C5" s="17">
        <f>'estimates new'!AT64</f>
        <v>12</v>
      </c>
      <c r="D5" s="17">
        <f>'estimates new'!AU64</f>
        <v>0.56818181818181823</v>
      </c>
      <c r="E5" s="17">
        <f>'estimates new'!AV64</f>
        <v>0.43181818181818182</v>
      </c>
      <c r="F5" s="17">
        <f>'estimates new'!AW64</f>
        <v>1</v>
      </c>
      <c r="G5">
        <v>1</v>
      </c>
      <c r="H5" s="18">
        <v>60</v>
      </c>
      <c r="I5" s="8">
        <v>0</v>
      </c>
      <c r="O5" s="8"/>
      <c r="P5" s="8"/>
      <c r="Q5" s="8"/>
      <c r="R5" s="8"/>
      <c r="S5" s="8"/>
      <c r="T5" s="8"/>
    </row>
    <row r="6" spans="1:20" ht="15.75" x14ac:dyDescent="0.25">
      <c r="A6" s="17" t="str">
        <f>'estimates new'!AR65</f>
        <v>505 (3)</v>
      </c>
      <c r="B6" s="17">
        <f>'estimates new'!AS65</f>
        <v>3</v>
      </c>
      <c r="C6" s="17">
        <f>'estimates new'!AT65</f>
        <v>27</v>
      </c>
      <c r="D6" s="17">
        <f>'estimates new'!AU65</f>
        <v>0.37777777777777777</v>
      </c>
      <c r="E6" s="17">
        <f>'estimates new'!AV65</f>
        <v>0.62222222222222223</v>
      </c>
      <c r="F6" s="17">
        <f>'estimates new'!AW65</f>
        <v>1</v>
      </c>
      <c r="G6" s="8">
        <v>1</v>
      </c>
      <c r="H6" s="18">
        <v>60</v>
      </c>
      <c r="I6" s="8">
        <v>0</v>
      </c>
      <c r="O6" s="19"/>
      <c r="P6" s="19"/>
      <c r="Q6" s="19"/>
      <c r="R6" s="19"/>
      <c r="S6" s="19"/>
      <c r="T6" s="8"/>
    </row>
    <row r="7" spans="1:20" ht="15.75" x14ac:dyDescent="0.25">
      <c r="A7" s="17" t="str">
        <f>'estimates new'!AR66</f>
        <v>499 (3)</v>
      </c>
      <c r="B7" s="17">
        <f>'estimates new'!AS66</f>
        <v>3</v>
      </c>
      <c r="C7" s="17">
        <f>'estimates new'!AT66</f>
        <v>42</v>
      </c>
      <c r="D7" s="17">
        <f>'estimates new'!AU66</f>
        <v>0.33707865168539325</v>
      </c>
      <c r="E7" s="17">
        <f>'estimates new'!AV66</f>
        <v>0.66292134831460681</v>
      </c>
      <c r="F7" s="17">
        <f>'estimates new'!AW66</f>
        <v>1</v>
      </c>
      <c r="G7" s="8">
        <v>1</v>
      </c>
      <c r="H7" s="18">
        <v>60</v>
      </c>
      <c r="I7" s="8">
        <v>0</v>
      </c>
      <c r="O7" s="20"/>
      <c r="P7" s="20"/>
      <c r="Q7" s="20"/>
      <c r="R7" s="20"/>
      <c r="S7" s="20"/>
      <c r="T7" s="8"/>
    </row>
    <row r="8" spans="1:20" ht="15.75" x14ac:dyDescent="0.25">
      <c r="A8" s="17" t="str">
        <f>'estimates new'!AR67</f>
        <v>453 (4)</v>
      </c>
      <c r="B8" s="17">
        <f>'estimates new'!AS67</f>
        <v>4</v>
      </c>
      <c r="C8" s="17">
        <f>'estimates new'!AT67</f>
        <v>12</v>
      </c>
      <c r="D8" s="17">
        <f>'estimates new'!AU67</f>
        <v>0.7078651685393258</v>
      </c>
      <c r="E8" s="17">
        <f>'estimates new'!AV67</f>
        <v>0.29213483146067415</v>
      </c>
      <c r="F8" s="17">
        <f>'estimates new'!AW67</f>
        <v>1</v>
      </c>
      <c r="G8">
        <v>0</v>
      </c>
      <c r="H8" s="18">
        <v>30</v>
      </c>
      <c r="I8" s="8">
        <v>0</v>
      </c>
      <c r="O8" s="20"/>
      <c r="P8" s="20"/>
      <c r="Q8" s="20"/>
      <c r="R8" s="20"/>
      <c r="S8" s="20"/>
      <c r="T8" s="8"/>
    </row>
    <row r="9" spans="1:20" ht="15.75" x14ac:dyDescent="0.25">
      <c r="A9" s="17" t="str">
        <f>'estimates new'!AR68</f>
        <v>508 (4)</v>
      </c>
      <c r="B9" s="17">
        <f>'estimates new'!AS68</f>
        <v>4</v>
      </c>
      <c r="C9" s="17">
        <f>'estimates new'!AT68</f>
        <v>27</v>
      </c>
      <c r="D9" s="17">
        <f>'estimates new'!AU68</f>
        <v>0.39325842696629215</v>
      </c>
      <c r="E9" s="17">
        <f>'estimates new'!AV68</f>
        <v>0.6067415730337079</v>
      </c>
      <c r="F9" s="17">
        <f>'estimates new'!AW68</f>
        <v>1</v>
      </c>
      <c r="G9" s="8">
        <v>0</v>
      </c>
      <c r="H9" s="18">
        <v>30</v>
      </c>
      <c r="I9" s="8">
        <v>0</v>
      </c>
      <c r="O9" s="20"/>
      <c r="P9" s="20"/>
      <c r="Q9" s="20"/>
      <c r="R9" s="20"/>
      <c r="S9" s="20"/>
      <c r="T9" s="8"/>
    </row>
    <row r="10" spans="1:20" ht="15.75" x14ac:dyDescent="0.25">
      <c r="A10" s="17" t="str">
        <f>'estimates new'!AR69</f>
        <v>501 (4)</v>
      </c>
      <c r="B10" s="17">
        <f>'estimates new'!AS69</f>
        <v>4</v>
      </c>
      <c r="C10" s="17">
        <f>'estimates new'!AT69</f>
        <v>42</v>
      </c>
      <c r="D10" s="17">
        <f>'estimates new'!AU69</f>
        <v>0.32222222222222224</v>
      </c>
      <c r="E10" s="17">
        <f>'estimates new'!AV69</f>
        <v>0.67777777777777781</v>
      </c>
      <c r="F10" s="17">
        <f>'estimates new'!AW69</f>
        <v>1</v>
      </c>
      <c r="G10" s="8">
        <v>0</v>
      </c>
      <c r="H10" s="18">
        <v>30</v>
      </c>
      <c r="I10" s="8">
        <v>0</v>
      </c>
      <c r="O10" s="20"/>
      <c r="P10" s="20"/>
      <c r="Q10" s="20"/>
      <c r="R10" s="20"/>
      <c r="S10" s="20"/>
      <c r="T10" s="8"/>
    </row>
    <row r="11" spans="1:20" ht="15.75" x14ac:dyDescent="0.25">
      <c r="A11" s="17" t="str">
        <f>'estimates new'!AR70</f>
        <v>639 (5)</v>
      </c>
      <c r="B11" s="17">
        <f>'estimates new'!AS70</f>
        <v>5</v>
      </c>
      <c r="C11" s="17">
        <f>'estimates new'!AT70</f>
        <v>12</v>
      </c>
      <c r="D11" s="17">
        <f>'estimates new'!AU70</f>
        <v>0.32</v>
      </c>
      <c r="E11" s="17">
        <f>'estimates new'!AV70</f>
        <v>0.68</v>
      </c>
      <c r="F11" s="17">
        <f>'estimates new'!AW70</f>
        <v>0.3</v>
      </c>
      <c r="G11">
        <v>0</v>
      </c>
      <c r="H11" s="18">
        <f>0</f>
        <v>0</v>
      </c>
      <c r="I11" s="8">
        <v>0</v>
      </c>
      <c r="O11" s="20"/>
      <c r="P11" s="20"/>
      <c r="Q11" s="20"/>
      <c r="R11" s="20"/>
      <c r="S11" s="20"/>
      <c r="T11" s="8"/>
    </row>
    <row r="12" spans="1:20" ht="15.75" x14ac:dyDescent="0.25">
      <c r="A12" s="17" t="str">
        <f>'estimates new'!AR71</f>
        <v>650 (5)</v>
      </c>
      <c r="B12" s="17">
        <f>'estimates new'!AS71</f>
        <v>5</v>
      </c>
      <c r="C12" s="17">
        <f>'estimates new'!AT71</f>
        <v>27</v>
      </c>
      <c r="D12" s="17">
        <f>'estimates new'!AU71</f>
        <v>0.1</v>
      </c>
      <c r="E12" s="17">
        <f>'estimates new'!AV71</f>
        <v>0.9</v>
      </c>
      <c r="F12" s="17">
        <f>'estimates new'!AW71</f>
        <v>0.3</v>
      </c>
      <c r="G12" s="8">
        <v>0</v>
      </c>
      <c r="H12" s="18">
        <f>0</f>
        <v>0</v>
      </c>
      <c r="I12" s="8">
        <v>0</v>
      </c>
      <c r="O12" s="20"/>
      <c r="P12" s="20"/>
      <c r="Q12" s="20"/>
      <c r="R12" s="20"/>
      <c r="S12" s="20"/>
      <c r="T12" s="8"/>
    </row>
    <row r="13" spans="1:20" ht="15.75" x14ac:dyDescent="0.25">
      <c r="A13" s="17" t="str">
        <f>'estimates new'!AR72</f>
        <v>661 (5)</v>
      </c>
      <c r="B13" s="17">
        <f>'estimates new'!AS72</f>
        <v>5</v>
      </c>
      <c r="C13" s="17">
        <f>'estimates new'!AT72</f>
        <v>42</v>
      </c>
      <c r="D13" s="17">
        <f>'estimates new'!AU72</f>
        <v>0</v>
      </c>
      <c r="E13" s="17">
        <f>'estimates new'!AV72</f>
        <v>1</v>
      </c>
      <c r="F13" s="17">
        <f>'estimates new'!AW72</f>
        <v>0.3</v>
      </c>
      <c r="G13" s="8">
        <v>0</v>
      </c>
      <c r="H13" s="18">
        <f>0</f>
        <v>0</v>
      </c>
      <c r="I13" s="8">
        <v>0</v>
      </c>
      <c r="O13" s="20"/>
      <c r="P13" s="20"/>
      <c r="Q13" s="20"/>
      <c r="R13" s="20"/>
      <c r="S13" s="20"/>
      <c r="T13" s="8"/>
    </row>
    <row r="14" spans="1:20" ht="15.75" x14ac:dyDescent="0.25">
      <c r="A14" s="17" t="str">
        <f>'estimates new'!AR73</f>
        <v>514 (8)</v>
      </c>
      <c r="B14" s="17">
        <f>'estimates new'!AS73</f>
        <v>8</v>
      </c>
      <c r="C14" s="17">
        <f>'estimates new'!AT73</f>
        <v>12</v>
      </c>
      <c r="D14" s="17">
        <f>'estimates new'!AU73</f>
        <v>0.35526315789473684</v>
      </c>
      <c r="E14" s="17">
        <f>'estimates new'!AV73</f>
        <v>0.64473684210526316</v>
      </c>
      <c r="F14" s="17">
        <f>'estimates new'!AW73</f>
        <v>0.5</v>
      </c>
      <c r="G14" s="8">
        <v>0</v>
      </c>
      <c r="H14" s="18">
        <f>0</f>
        <v>0</v>
      </c>
      <c r="I14" s="8">
        <v>0</v>
      </c>
      <c r="O14" s="20"/>
      <c r="P14" s="20"/>
      <c r="Q14" s="20"/>
      <c r="R14" s="20"/>
      <c r="S14" s="20"/>
      <c r="T14" s="8"/>
    </row>
    <row r="15" spans="1:20" ht="15.75" x14ac:dyDescent="0.25">
      <c r="A15" s="17" t="str">
        <f>'estimates new'!AR74</f>
        <v>523 (8)</v>
      </c>
      <c r="B15" s="17">
        <f>'estimates new'!AS74</f>
        <v>8</v>
      </c>
      <c r="C15" s="17">
        <f>'estimates new'!AT74</f>
        <v>27</v>
      </c>
      <c r="D15" s="17">
        <f>'estimates new'!AU74</f>
        <v>0.30303030303030304</v>
      </c>
      <c r="E15" s="17">
        <f>'estimates new'!AV74</f>
        <v>0.69696969696969702</v>
      </c>
      <c r="F15" s="17">
        <f>'estimates new'!AW74</f>
        <v>0.5</v>
      </c>
      <c r="G15" s="8">
        <v>0</v>
      </c>
      <c r="H15" s="18">
        <f>0</f>
        <v>0</v>
      </c>
      <c r="I15" s="8">
        <v>0</v>
      </c>
      <c r="O15" s="20"/>
      <c r="P15" s="20"/>
      <c r="Q15" s="20"/>
      <c r="R15" s="20"/>
      <c r="S15" s="20"/>
      <c r="T15" s="8"/>
    </row>
    <row r="16" spans="1:20" ht="15.75" x14ac:dyDescent="0.25">
      <c r="A16" s="17" t="str">
        <f>'estimates new'!AR75</f>
        <v>532 (8)</v>
      </c>
      <c r="B16" s="17">
        <f>'estimates new'!AS75</f>
        <v>8</v>
      </c>
      <c r="C16" s="17">
        <f>'estimates new'!AT75</f>
        <v>42</v>
      </c>
      <c r="D16" s="17">
        <f>'estimates new'!AU75</f>
        <v>0.33846153846153848</v>
      </c>
      <c r="E16" s="17">
        <f>'estimates new'!AV75</f>
        <v>0.66153846153846163</v>
      </c>
      <c r="F16" s="17">
        <f>'estimates new'!AW75</f>
        <v>0.5</v>
      </c>
      <c r="G16" s="8">
        <v>0</v>
      </c>
      <c r="H16" s="18">
        <f>0</f>
        <v>0</v>
      </c>
      <c r="I16" s="8">
        <v>0</v>
      </c>
      <c r="O16" s="20"/>
      <c r="P16" s="20"/>
      <c r="Q16" s="20"/>
      <c r="R16" s="20"/>
      <c r="S16" s="20"/>
      <c r="T16" s="8"/>
    </row>
    <row r="17" spans="1:20" ht="15.75" x14ac:dyDescent="0.25">
      <c r="A17" s="17" t="str">
        <f>'estimates new'!AR76</f>
        <v>517 (9)</v>
      </c>
      <c r="B17" s="17">
        <f>'estimates new'!AS76</f>
        <v>9</v>
      </c>
      <c r="C17" s="17">
        <f>'estimates new'!AT76</f>
        <v>12</v>
      </c>
      <c r="D17" s="17">
        <f>'estimates new'!AU76</f>
        <v>0.45205479452054792</v>
      </c>
      <c r="E17" s="17">
        <f>'estimates new'!AV76</f>
        <v>0.54794520547945202</v>
      </c>
      <c r="F17" s="17">
        <f>'estimates new'!AW76</f>
        <v>0.5</v>
      </c>
      <c r="G17">
        <v>1</v>
      </c>
      <c r="H17" s="18">
        <v>60</v>
      </c>
      <c r="I17">
        <v>1</v>
      </c>
      <c r="O17" s="20"/>
      <c r="P17" s="20"/>
      <c r="Q17" s="20"/>
      <c r="R17" s="20"/>
      <c r="S17" s="20"/>
      <c r="T17" s="8"/>
    </row>
    <row r="18" spans="1:20" ht="15.75" x14ac:dyDescent="0.25">
      <c r="A18" s="17" t="str">
        <f>'estimates new'!AR77</f>
        <v>525 (9)</v>
      </c>
      <c r="B18" s="17">
        <f>'estimates new'!AS77</f>
        <v>9</v>
      </c>
      <c r="C18" s="17">
        <f>'estimates new'!AT77</f>
        <v>27</v>
      </c>
      <c r="D18" s="17">
        <f>'estimates new'!AU77</f>
        <v>0.29411764705882354</v>
      </c>
      <c r="E18" s="17">
        <f>'estimates new'!AV77</f>
        <v>0.70588235294117641</v>
      </c>
      <c r="F18" s="17">
        <f>'estimates new'!AW77</f>
        <v>0.5</v>
      </c>
      <c r="G18" s="8">
        <v>1</v>
      </c>
      <c r="H18" s="18">
        <v>60</v>
      </c>
      <c r="I18">
        <v>1</v>
      </c>
      <c r="O18" s="20"/>
      <c r="P18" s="20"/>
      <c r="Q18" s="20"/>
      <c r="R18" s="20"/>
      <c r="S18" s="20"/>
      <c r="T18" s="8"/>
    </row>
    <row r="19" spans="1:20" ht="15.75" x14ac:dyDescent="0.25">
      <c r="A19" s="17" t="str">
        <f>'estimates new'!AR78</f>
        <v>534 (9)</v>
      </c>
      <c r="B19" s="17">
        <f>'estimates new'!AS78</f>
        <v>9</v>
      </c>
      <c r="C19" s="17">
        <f>'estimates new'!AT78</f>
        <v>42</v>
      </c>
      <c r="D19" s="17">
        <f>'estimates new'!AU78</f>
        <v>0.2537313432835821</v>
      </c>
      <c r="E19" s="17">
        <f>'estimates new'!AV78</f>
        <v>0.74626865671641784</v>
      </c>
      <c r="F19" s="17">
        <f>'estimates new'!AW78</f>
        <v>0.5</v>
      </c>
      <c r="G19" s="8">
        <v>1</v>
      </c>
      <c r="H19" s="18">
        <v>60</v>
      </c>
      <c r="I19">
        <v>1</v>
      </c>
    </row>
    <row r="20" spans="1:20" ht="15.75" x14ac:dyDescent="0.25">
      <c r="A20" s="17" t="str">
        <f>'estimates new'!AR79</f>
        <v>520 (10)</v>
      </c>
      <c r="B20" s="17">
        <f>'estimates new'!AS79</f>
        <v>10</v>
      </c>
      <c r="C20" s="17">
        <f>'estimates new'!AT79</f>
        <v>12</v>
      </c>
      <c r="D20" s="17">
        <f>'estimates new'!AU79</f>
        <v>0.39473684210526316</v>
      </c>
      <c r="E20" s="17">
        <f>'estimates new'!AV79</f>
        <v>0.60526315789473684</v>
      </c>
      <c r="F20" s="17">
        <f>'estimates new'!AW79</f>
        <v>0.5</v>
      </c>
      <c r="G20" s="8">
        <v>1</v>
      </c>
      <c r="H20">
        <v>30</v>
      </c>
      <c r="I20">
        <v>0</v>
      </c>
    </row>
    <row r="21" spans="1:20" ht="15.75" x14ac:dyDescent="0.25">
      <c r="A21" s="17" t="str">
        <f>'estimates new'!AR80</f>
        <v>530 (10)</v>
      </c>
      <c r="B21" s="17">
        <f>'estimates new'!AS80</f>
        <v>10</v>
      </c>
      <c r="C21" s="17">
        <f>'estimates new'!AT80</f>
        <v>27</v>
      </c>
      <c r="D21" s="17">
        <f>'estimates new'!AU80</f>
        <v>0.31578947368421051</v>
      </c>
      <c r="E21" s="17">
        <f>'estimates new'!AV80</f>
        <v>0.68421052631578949</v>
      </c>
      <c r="F21" s="17">
        <f>'estimates new'!AW80</f>
        <v>0.5</v>
      </c>
      <c r="G21" s="8">
        <v>1</v>
      </c>
      <c r="H21">
        <v>30</v>
      </c>
      <c r="I21" s="8">
        <v>0</v>
      </c>
    </row>
    <row r="22" spans="1:20" ht="15.75" x14ac:dyDescent="0.25">
      <c r="A22" s="17" t="str">
        <f>'estimates new'!AR81</f>
        <v>536(10)</v>
      </c>
      <c r="B22" s="17">
        <f>'estimates new'!AS81</f>
        <v>10</v>
      </c>
      <c r="C22" s="17">
        <f>'estimates new'!AT81</f>
        <v>42</v>
      </c>
      <c r="D22" s="17">
        <f>'estimates new'!AU81</f>
        <v>0.28358208955223879</v>
      </c>
      <c r="E22" s="17">
        <f>'estimates new'!AV81</f>
        <v>0.71641791044776126</v>
      </c>
      <c r="F22" s="17">
        <f>'estimates new'!AW81</f>
        <v>0.5</v>
      </c>
      <c r="G22" s="8">
        <v>1</v>
      </c>
      <c r="H22">
        <v>30</v>
      </c>
      <c r="I22" s="8">
        <v>0</v>
      </c>
    </row>
    <row r="23" spans="1:20" ht="15.75" x14ac:dyDescent="0.25">
      <c r="A23" s="17" t="str">
        <f>'estimates new'!AR82</f>
        <v>584 (11)</v>
      </c>
      <c r="B23" s="17">
        <f>'estimates new'!AS82</f>
        <v>11</v>
      </c>
      <c r="C23" s="17">
        <f>'estimates new'!AT82</f>
        <v>12</v>
      </c>
      <c r="D23" s="17">
        <f>'estimates new'!AU82</f>
        <v>0.65838509316770188</v>
      </c>
      <c r="E23" s="17">
        <f>'estimates new'!AV82</f>
        <v>0.34161490683229812</v>
      </c>
      <c r="F23" s="17">
        <f>'estimates new'!AW82</f>
        <v>1.6</v>
      </c>
      <c r="G23" s="8">
        <v>1</v>
      </c>
      <c r="H23" s="8">
        <v>30</v>
      </c>
      <c r="I23" s="8">
        <v>0</v>
      </c>
    </row>
    <row r="24" spans="1:20" ht="15.75" x14ac:dyDescent="0.25">
      <c r="A24" s="17" t="str">
        <f>'estimates new'!AR83</f>
        <v>602 (11)</v>
      </c>
      <c r="B24" s="17">
        <f>'estimates new'!AS83</f>
        <v>11</v>
      </c>
      <c r="C24" s="17">
        <f>'estimates new'!AT83</f>
        <v>27</v>
      </c>
      <c r="D24" s="17">
        <f>'estimates new'!AU83</f>
        <v>0.57309941520467833</v>
      </c>
      <c r="E24" s="17">
        <f>'estimates new'!AV83</f>
        <v>0.42690058479532161</v>
      </c>
      <c r="F24" s="17">
        <f>'estimates new'!AW83</f>
        <v>1.6</v>
      </c>
      <c r="G24" s="8">
        <v>1</v>
      </c>
      <c r="H24" s="8">
        <v>30</v>
      </c>
      <c r="I24" s="8">
        <v>0</v>
      </c>
    </row>
    <row r="25" spans="1:20" ht="15.75" x14ac:dyDescent="0.25">
      <c r="A25" s="17" t="str">
        <f>'estimates new'!AR84</f>
        <v>614 (11)</v>
      </c>
      <c r="B25" s="17">
        <f>'estimates new'!AS84</f>
        <v>11</v>
      </c>
      <c r="C25" s="17">
        <f>'estimates new'!AT84</f>
        <v>42</v>
      </c>
      <c r="D25" s="17">
        <f>'estimates new'!AU84</f>
        <v>0.54651162790697672</v>
      </c>
      <c r="E25" s="17">
        <f>'estimates new'!AV84</f>
        <v>0.45348837209302328</v>
      </c>
      <c r="F25" s="17">
        <f>'estimates new'!AW84</f>
        <v>1.6</v>
      </c>
      <c r="G25" s="8">
        <v>1</v>
      </c>
      <c r="H25" s="8">
        <v>30</v>
      </c>
      <c r="I25" s="8">
        <v>0</v>
      </c>
    </row>
    <row r="26" spans="1:20" ht="15.75" x14ac:dyDescent="0.25">
      <c r="A26" s="17" t="str">
        <f>'estimates new'!AR85</f>
        <v>588 (12)</v>
      </c>
      <c r="B26" s="17">
        <f>'estimates new'!AS85</f>
        <v>12</v>
      </c>
      <c r="C26" s="17">
        <f>'estimates new'!AT85</f>
        <v>12</v>
      </c>
      <c r="D26" s="17">
        <f>'estimates new'!AU85</f>
        <v>0.6</v>
      </c>
      <c r="E26" s="17">
        <f>'estimates new'!AV85</f>
        <v>0.4</v>
      </c>
      <c r="F26" s="17">
        <f>'estimates new'!AW85</f>
        <v>1.6</v>
      </c>
      <c r="G26">
        <v>0</v>
      </c>
      <c r="H26" s="8">
        <f>0</f>
        <v>0</v>
      </c>
      <c r="I26">
        <v>1</v>
      </c>
    </row>
    <row r="27" spans="1:20" ht="15.75" x14ac:dyDescent="0.25">
      <c r="A27" s="17" t="str">
        <f>'estimates new'!AR86</f>
        <v>607(12)</v>
      </c>
      <c r="B27" s="17">
        <f>'estimates new'!AS86</f>
        <v>12</v>
      </c>
      <c r="C27" s="17">
        <f>'estimates new'!AT86</f>
        <v>27</v>
      </c>
      <c r="D27" s="17">
        <f>'estimates new'!AU86</f>
        <v>0.67901234567901236</v>
      </c>
      <c r="E27" s="17">
        <f>'estimates new'!AV86</f>
        <v>0.32098765432098764</v>
      </c>
      <c r="F27" s="17">
        <f>'estimates new'!AW86</f>
        <v>1.6</v>
      </c>
      <c r="G27" s="8">
        <v>0</v>
      </c>
      <c r="H27" s="8">
        <f>0</f>
        <v>0</v>
      </c>
      <c r="I27" s="8">
        <v>1</v>
      </c>
    </row>
    <row r="28" spans="1:20" ht="15.75" x14ac:dyDescent="0.25">
      <c r="A28" s="17" t="str">
        <f>'estimates new'!AR87</f>
        <v>617 (12)</v>
      </c>
      <c r="B28" s="17">
        <f>'estimates new'!AS87</f>
        <v>12</v>
      </c>
      <c r="C28" s="17">
        <f>'estimates new'!AT87</f>
        <v>42</v>
      </c>
      <c r="D28" s="17">
        <f>'estimates new'!AU87</f>
        <v>0.59235668789808915</v>
      </c>
      <c r="E28" s="17">
        <f>'estimates new'!AV87</f>
        <v>0.40764331210191085</v>
      </c>
      <c r="F28" s="17">
        <f>'estimates new'!AW87</f>
        <v>1.6</v>
      </c>
      <c r="G28" s="8">
        <v>0</v>
      </c>
      <c r="H28" s="8">
        <f>0</f>
        <v>0</v>
      </c>
      <c r="I28" s="8">
        <v>1</v>
      </c>
    </row>
    <row r="29" spans="1:20" ht="15.75" x14ac:dyDescent="0.25">
      <c r="A29" s="17" t="str">
        <f>'estimates new'!AR89</f>
        <v>654 (6)</v>
      </c>
      <c r="B29" s="17">
        <f>'estimates new'!AS89</f>
        <v>6</v>
      </c>
      <c r="C29" s="17">
        <f>'estimates new'!AT89</f>
        <v>27</v>
      </c>
      <c r="D29" s="17">
        <f>'estimates new'!AU89</f>
        <v>0.29629629629629628</v>
      </c>
      <c r="E29" s="17">
        <f>'estimates new'!AV89</f>
        <v>0.70370370370370372</v>
      </c>
      <c r="F29" s="17">
        <f>'estimates new'!AW89</f>
        <v>0.3</v>
      </c>
      <c r="G29">
        <v>1</v>
      </c>
      <c r="H29" s="8">
        <v>60</v>
      </c>
      <c r="I29">
        <v>0</v>
      </c>
    </row>
    <row r="30" spans="1:20" ht="15.75" x14ac:dyDescent="0.25">
      <c r="A30" s="17" t="str">
        <f>'estimates new'!AR90</f>
        <v>666 (6)</v>
      </c>
      <c r="B30" s="17">
        <f>'estimates new'!AS90</f>
        <v>6</v>
      </c>
      <c r="C30" s="17">
        <f>'estimates new'!AT90</f>
        <v>42</v>
      </c>
      <c r="D30" s="17">
        <f>'estimates new'!AU90</f>
        <v>0.16666666666666666</v>
      </c>
      <c r="E30" s="17">
        <f>'estimates new'!AV90</f>
        <v>0.83333333333333337</v>
      </c>
      <c r="F30" s="17">
        <f>'estimates new'!AW90</f>
        <v>0.3</v>
      </c>
      <c r="G30" s="8">
        <v>1</v>
      </c>
      <c r="H30" s="8">
        <v>60</v>
      </c>
      <c r="I30">
        <v>0</v>
      </c>
    </row>
    <row r="31" spans="1:20" ht="15.75" x14ac:dyDescent="0.25">
      <c r="A31" s="17" t="str">
        <f>'estimates new'!AR91</f>
        <v>635 (7)</v>
      </c>
      <c r="B31" s="17">
        <f>'estimates new'!AS91</f>
        <v>7</v>
      </c>
      <c r="C31" s="17">
        <f>'estimates new'!AT91</f>
        <v>12</v>
      </c>
      <c r="D31" s="17">
        <f>'estimates new'!AU91</f>
        <v>0</v>
      </c>
      <c r="E31" s="17">
        <f>'estimates new'!AV91</f>
        <v>1</v>
      </c>
      <c r="F31" s="17">
        <f>'estimates new'!AW91</f>
        <v>0.3</v>
      </c>
      <c r="G31">
        <v>0</v>
      </c>
      <c r="H31" s="8">
        <v>30</v>
      </c>
      <c r="I31" s="8">
        <v>0</v>
      </c>
    </row>
    <row r="32" spans="1:20" ht="15.75" x14ac:dyDescent="0.25">
      <c r="A32" s="17" t="str">
        <f>'estimates new'!AR92</f>
        <v>646 (7)</v>
      </c>
      <c r="B32" s="17">
        <f>'estimates new'!AS92</f>
        <v>7</v>
      </c>
      <c r="C32" s="17">
        <f>'estimates new'!AT92</f>
        <v>27</v>
      </c>
      <c r="D32" s="17">
        <f>'estimates new'!AU92</f>
        <v>0.33846153846153848</v>
      </c>
      <c r="E32" s="17">
        <f>'estimates new'!AV92</f>
        <v>0.66153846153846163</v>
      </c>
      <c r="F32" s="17">
        <f>'estimates new'!AW92</f>
        <v>0.3</v>
      </c>
      <c r="G32">
        <v>0</v>
      </c>
      <c r="H32" s="8">
        <v>30</v>
      </c>
      <c r="I32" s="8">
        <v>0</v>
      </c>
    </row>
    <row r="33" spans="1:9" ht="15.75" x14ac:dyDescent="0.25">
      <c r="A33" s="17" t="str">
        <f>'estimates new'!AR94</f>
        <v>596 (14)</v>
      </c>
      <c r="B33" s="17">
        <f>'estimates new'!AS94</f>
        <v>14</v>
      </c>
      <c r="C33" s="17">
        <f>'estimates new'!AT94</f>
        <v>12</v>
      </c>
      <c r="D33" s="17">
        <f>'estimates new'!AU94</f>
        <v>0.80107526881720426</v>
      </c>
      <c r="E33" s="17">
        <f>'estimates new'!AV94</f>
        <v>0.19892473118279569</v>
      </c>
      <c r="F33" s="17">
        <f>'estimates new'!AW94</f>
        <v>1.6</v>
      </c>
      <c r="G33">
        <v>1</v>
      </c>
      <c r="H33">
        <v>60</v>
      </c>
      <c r="I33" s="8">
        <v>0</v>
      </c>
    </row>
    <row r="34" spans="1:9" ht="15.75" x14ac:dyDescent="0.25">
      <c r="A34" s="17" t="str">
        <f>'estimates new'!AR95</f>
        <v>610 (14)</v>
      </c>
      <c r="B34" s="17">
        <f>'estimates new'!AS95</f>
        <v>14</v>
      </c>
      <c r="C34" s="17">
        <f>'estimates new'!AT95</f>
        <v>27</v>
      </c>
      <c r="D34" s="17">
        <f>'estimates new'!AU95</f>
        <v>0.9642857142857143</v>
      </c>
      <c r="E34" s="17">
        <f>'estimates new'!AV95</f>
        <v>3.5714285714285712E-2</v>
      </c>
      <c r="F34" s="17">
        <f>'estimates new'!AW95</f>
        <v>1.6</v>
      </c>
      <c r="G34">
        <v>1</v>
      </c>
      <c r="H34" s="8">
        <v>60</v>
      </c>
      <c r="I34" s="8">
        <v>0</v>
      </c>
    </row>
    <row r="35" spans="1:9" ht="15.75" x14ac:dyDescent="0.25">
      <c r="A35" s="17" t="str">
        <f>'estimates new'!AR96</f>
        <v>631 (14)</v>
      </c>
      <c r="B35" s="17">
        <f>'estimates new'!AS96</f>
        <v>14</v>
      </c>
      <c r="C35" s="17">
        <f>'estimates new'!AT96</f>
        <v>42</v>
      </c>
      <c r="D35" s="17">
        <f>'estimates new'!AU96</f>
        <v>0.97619047619047616</v>
      </c>
      <c r="E35" s="17">
        <f>'estimates new'!AV96</f>
        <v>2.3809523809523808E-2</v>
      </c>
      <c r="F35" s="17">
        <f>'estimates new'!AW96</f>
        <v>1.6</v>
      </c>
      <c r="G35">
        <v>1</v>
      </c>
      <c r="H35" s="8">
        <v>60</v>
      </c>
      <c r="I35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skinn and core estimates initia</vt:lpstr>
      <vt:lpstr>estimates new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2021-01-26T11:40:17Z</dcterms:created>
  <dcterms:modified xsi:type="dcterms:W3CDTF">2021-01-29T20:04:58Z</dcterms:modified>
</cp:coreProperties>
</file>