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530" tabRatio="947"/>
  </bookViews>
  <sheets>
    <sheet name="Задание на проект" sheetId="11" r:id="rId1"/>
    <sheet name="Учет персонала" sheetId="6" r:id="rId2"/>
    <sheet name="Баллы по итогам рабочего период" sheetId="9" r:id="rId3"/>
    <sheet name="Справочные данные" sheetId="12" r:id="rId4"/>
    <sheet name="Вознаграждение" sheetId="10" r:id="rId5"/>
    <sheet name="Отчеты по формулам" sheetId="26" r:id="rId6"/>
    <sheet name="СвТПолСотрудников" sheetId="30" r:id="rId7"/>
    <sheet name="СвТСреднийОклад" sheetId="28" r:id="rId8"/>
    <sheet name="СвТСредОклПол" sheetId="31" r:id="rId9"/>
    <sheet name="СвТабКол-воСотрудников" sheetId="27" r:id="rId10"/>
    <sheet name="СвТКолИждивенцев" sheetId="29" r:id="rId11"/>
    <sheet name="Секретари уволены" sheetId="25" r:id="rId12"/>
    <sheet name="ГР1971" sheetId="23" r:id="rId13"/>
    <sheet name="Оклад меньше среднего" sheetId="24" r:id="rId14"/>
    <sheet name="Именинники" sheetId="22" r:id="rId15"/>
  </sheets>
  <definedNames>
    <definedName name="_xlnm._FilterDatabase" localSheetId="1" hidden="1">'Учет персонала'!$A$1:$N$21</definedName>
    <definedName name="Должности">'Справочные данные'!$C$3:$C$7</definedName>
    <definedName name="ДолжностныеОклады">'Справочные данные'!$C$2:$G$7</definedName>
    <definedName name="_xlnm.Extract" localSheetId="1">'Учет персонала'!$Q$35:$AD$35</definedName>
    <definedName name="_xlnm.Criteria" localSheetId="1">'Учет персонала'!$Q$32:$R$33</definedName>
    <definedName name="Подразделения">'Справочные данные'!$A$3:$A$6</definedName>
    <definedName name="ПремиальныйПроцент">ПремПроцент[#All]</definedName>
  </definedNames>
  <calcPr calcId="125725"/>
  <pivotCaches>
    <pivotCache cacheId="0" r:id="rId16"/>
    <pivotCache cacheId="1" r:id="rId17"/>
  </pivotCaches>
</workbook>
</file>

<file path=xl/calcChain.xml><?xml version="1.0" encoding="utf-8"?>
<calcChain xmlns="http://schemas.openxmlformats.org/spreadsheetml/2006/main">
  <c r="B12" i="26"/>
  <c r="B13"/>
  <c r="B14"/>
  <c r="B11"/>
  <c r="C22"/>
  <c r="C23"/>
  <c r="C24"/>
  <c r="C21"/>
  <c r="B22"/>
  <c r="B23"/>
  <c r="B24"/>
  <c r="B21"/>
  <c r="B5" l="1"/>
  <c r="B4"/>
  <c r="B3"/>
  <c r="B2"/>
  <c r="N44" i="2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42" i="23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37" i="25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B5"/>
  <c r="A5"/>
  <c r="A5" i="23"/>
  <c r="M2" i="6" l="1"/>
  <c r="M3"/>
  <c r="M4"/>
  <c r="M5"/>
  <c r="B5" i="10" s="1"/>
  <c r="C5" s="1"/>
  <c r="M6" i="6"/>
  <c r="M7"/>
  <c r="M8"/>
  <c r="M9"/>
  <c r="B8" i="10" s="1"/>
  <c r="C8" s="1"/>
  <c r="M10" i="6"/>
  <c r="M11"/>
  <c r="B9" i="10" s="1"/>
  <c r="C9" s="1"/>
  <c r="M12" i="6"/>
  <c r="M13"/>
  <c r="B10" i="10" s="1"/>
  <c r="C10" s="1"/>
  <c r="M14" i="6"/>
  <c r="M15"/>
  <c r="B12" i="10" s="1"/>
  <c r="C12" s="1"/>
  <c r="M16" i="6"/>
  <c r="M17"/>
  <c r="B14" i="10" s="1"/>
  <c r="C14" s="1"/>
  <c r="M18" i="6"/>
  <c r="M19"/>
  <c r="B16" i="10" s="1"/>
  <c r="C16" s="1"/>
  <c r="M20" i="6"/>
  <c r="M21"/>
  <c r="B17" i="10" s="1"/>
  <c r="C17" s="1"/>
  <c r="B2"/>
  <c r="C2" s="1"/>
  <c r="B4"/>
  <c r="C4" s="1"/>
  <c r="B7"/>
  <c r="C7" s="1"/>
  <c r="B11"/>
  <c r="C11" s="1"/>
  <c r="B13"/>
  <c r="C13" s="1"/>
  <c r="B15"/>
  <c r="C15" s="1"/>
  <c r="N2" i="6"/>
  <c r="D2" i="10" s="1"/>
  <c r="N3" i="6"/>
  <c r="D3" i="10" s="1"/>
  <c r="N4" i="6"/>
  <c r="D4" i="10" s="1"/>
  <c r="N5" i="6"/>
  <c r="D5" i="10" s="1"/>
  <c r="N6" i="6"/>
  <c r="N7"/>
  <c r="D6" i="10" s="1"/>
  <c r="N8" i="6"/>
  <c r="D7" i="10" s="1"/>
  <c r="N9" i="6"/>
  <c r="D8" i="10" s="1"/>
  <c r="N10" i="6"/>
  <c r="N11"/>
  <c r="D9" i="10" s="1"/>
  <c r="N12" i="6"/>
  <c r="N13"/>
  <c r="D10" i="10" s="1"/>
  <c r="N14" i="6"/>
  <c r="D11" i="10" s="1"/>
  <c r="N15" i="6"/>
  <c r="D12" i="10" s="1"/>
  <c r="N16" i="6"/>
  <c r="D13" i="10" s="1"/>
  <c r="N17" i="6"/>
  <c r="D14" i="10" s="1"/>
  <c r="N18" i="6"/>
  <c r="D15" i="10" s="1"/>
  <c r="N19" i="6"/>
  <c r="N20"/>
  <c r="N21"/>
  <c r="E2" i="26" l="1"/>
  <c r="H3"/>
  <c r="H2"/>
  <c r="E4"/>
  <c r="E5"/>
  <c r="E3"/>
  <c r="A4" i="24"/>
  <c r="B6" i="10"/>
  <c r="C6" s="1"/>
  <c r="B3"/>
  <c r="C3" s="1"/>
  <c r="E15"/>
  <c r="E13"/>
  <c r="E11"/>
  <c r="E7"/>
  <c r="E4"/>
  <c r="E2"/>
  <c r="E14"/>
  <c r="E12"/>
  <c r="E10"/>
  <c r="E9"/>
  <c r="E8"/>
  <c r="E5"/>
  <c r="D17"/>
  <c r="E17" s="1"/>
  <c r="D16"/>
  <c r="E16" s="1"/>
  <c r="E3" l="1"/>
  <c r="E6"/>
</calcChain>
</file>

<file path=xl/sharedStrings.xml><?xml version="1.0" encoding="utf-8"?>
<sst xmlns="http://schemas.openxmlformats.org/spreadsheetml/2006/main" count="938" uniqueCount="184">
  <si>
    <t>№пп</t>
  </si>
  <si>
    <t>Таб. номер</t>
  </si>
  <si>
    <t>Фамилия</t>
  </si>
  <si>
    <t xml:space="preserve"> Имя</t>
  </si>
  <si>
    <t>Отчество</t>
  </si>
  <si>
    <t>Отдел</t>
  </si>
  <si>
    <t>Должность</t>
  </si>
  <si>
    <t>Дата приема на работу</t>
  </si>
  <si>
    <t>Пол</t>
  </si>
  <si>
    <t>Кол-во иждивенцев</t>
  </si>
  <si>
    <t>Оклад</t>
  </si>
  <si>
    <t>00001</t>
  </si>
  <si>
    <t>Иванов</t>
  </si>
  <si>
    <t>Иван</t>
  </si>
  <si>
    <t>Иванович</t>
  </si>
  <si>
    <t>м</t>
  </si>
  <si>
    <t>00454</t>
  </si>
  <si>
    <t>Иваненко</t>
  </si>
  <si>
    <t>Петрович</t>
  </si>
  <si>
    <t>01234</t>
  </si>
  <si>
    <t>Петров</t>
  </si>
  <si>
    <t>Петр</t>
  </si>
  <si>
    <t>12312</t>
  </si>
  <si>
    <t>Петренко</t>
  </si>
  <si>
    <t>12345</t>
  </si>
  <si>
    <t>Сидоров</t>
  </si>
  <si>
    <t xml:space="preserve">Сидор </t>
  </si>
  <si>
    <t>Сидорович</t>
  </si>
  <si>
    <t>23456</t>
  </si>
  <si>
    <t>Седов</t>
  </si>
  <si>
    <t>Кузьма</t>
  </si>
  <si>
    <t>Фомич</t>
  </si>
  <si>
    <t>34567</t>
  </si>
  <si>
    <t>Фомин</t>
  </si>
  <si>
    <t>Фома</t>
  </si>
  <si>
    <t>45454</t>
  </si>
  <si>
    <t>Фоменко</t>
  </si>
  <si>
    <t>Кузьмич</t>
  </si>
  <si>
    <t>45564</t>
  </si>
  <si>
    <t>Кукина</t>
  </si>
  <si>
    <t>Юлия</t>
  </si>
  <si>
    <t>Петровна</t>
  </si>
  <si>
    <t>ж</t>
  </si>
  <si>
    <t>45678</t>
  </si>
  <si>
    <t>Макова</t>
  </si>
  <si>
    <t>Алина</t>
  </si>
  <si>
    <t>Игоревна</t>
  </si>
  <si>
    <t>56565</t>
  </si>
  <si>
    <t>Сушкина</t>
  </si>
  <si>
    <t>Алла</t>
  </si>
  <si>
    <t>Вадимовна</t>
  </si>
  <si>
    <t>56786</t>
  </si>
  <si>
    <t>Кротова</t>
  </si>
  <si>
    <t>Инна</t>
  </si>
  <si>
    <t>Павловна</t>
  </si>
  <si>
    <t>56789</t>
  </si>
  <si>
    <t>Бойцов</t>
  </si>
  <si>
    <t>Семен</t>
  </si>
  <si>
    <t>Семенович</t>
  </si>
  <si>
    <t>67890</t>
  </si>
  <si>
    <t>Гайдай</t>
  </si>
  <si>
    <t>Михайлович</t>
  </si>
  <si>
    <t>78787</t>
  </si>
  <si>
    <t>Краснов</t>
  </si>
  <si>
    <t>Павел</t>
  </si>
  <si>
    <t>Павлович</t>
  </si>
  <si>
    <t>78901</t>
  </si>
  <si>
    <t>Рябов</t>
  </si>
  <si>
    <t>Олег</t>
  </si>
  <si>
    <t>Евгеньевич</t>
  </si>
  <si>
    <t>89012</t>
  </si>
  <si>
    <t>Белова</t>
  </si>
  <si>
    <t xml:space="preserve">Софья </t>
  </si>
  <si>
    <t>90123</t>
  </si>
  <si>
    <t>Чернова</t>
  </si>
  <si>
    <t>Зоя</t>
  </si>
  <si>
    <t>Богдановна</t>
  </si>
  <si>
    <t>98989</t>
  </si>
  <si>
    <t>Родионов</t>
  </si>
  <si>
    <t>Андрей</t>
  </si>
  <si>
    <t>Вадимович</t>
  </si>
  <si>
    <t>99999</t>
  </si>
  <si>
    <t>Хрустов</t>
  </si>
  <si>
    <t>Юрий</t>
  </si>
  <si>
    <t>Юрьевич</t>
  </si>
  <si>
    <t>Плановый</t>
  </si>
  <si>
    <t>Снабжения</t>
  </si>
  <si>
    <t>Бухгалтерия</t>
  </si>
  <si>
    <t>Маркетинга</t>
  </si>
  <si>
    <t>Подразделения</t>
  </si>
  <si>
    <t>менеджер</t>
  </si>
  <si>
    <t>экономист</t>
  </si>
  <si>
    <t>бухгалтер</t>
  </si>
  <si>
    <t>начальник</t>
  </si>
  <si>
    <t>секретарь</t>
  </si>
  <si>
    <t>Должностные оклады</t>
  </si>
  <si>
    <t>Баллы</t>
  </si>
  <si>
    <t>Премиальный процент</t>
  </si>
  <si>
    <t>Диапазон баллов</t>
  </si>
  <si>
    <t>Процент</t>
  </si>
  <si>
    <t>Стаж</t>
  </si>
  <si>
    <t>Премия по итогам рабочего периода</t>
  </si>
  <si>
    <t>Доплата за стаж</t>
  </si>
  <si>
    <t>СуммаИтого</t>
  </si>
  <si>
    <t>Таб№</t>
  </si>
  <si>
    <t>Описание кейса:</t>
  </si>
  <si>
    <t>В компании бизнес-процесс Управление персоналом поддерживается в среде MS Excel.</t>
  </si>
  <si>
    <r>
      <t xml:space="preserve">Учет персонала ведется в таблице </t>
    </r>
    <r>
      <rPr>
        <i/>
        <sz val="10"/>
        <rFont val="Arial Cyr"/>
        <charset val="204"/>
      </rPr>
      <t>Учет персонала</t>
    </r>
    <r>
      <rPr>
        <sz val="10"/>
        <rFont val="Arial Cyr"/>
        <charset val="204"/>
      </rPr>
      <t>, где по каждому работающему отражены следующие данные: табельный номер, фамилия, имя, отчество, подразделение, должность, дата рождения, дата приема на работу, дата увольнения, пол, количество иждивенцев, оклад, стаж работы в компании.</t>
    </r>
  </si>
  <si>
    <r>
      <t xml:space="preserve">По итогам работы за установленный рабочий период сотрудникам могут начисляться баллы за эффективность. Баллы заносятся в таблицу </t>
    </r>
    <r>
      <rPr>
        <i/>
        <sz val="10"/>
        <rFont val="Arial Cyr"/>
        <charset val="204"/>
      </rPr>
      <t>Баллы</t>
    </r>
    <r>
      <rPr>
        <sz val="10"/>
        <rFont val="Arial Cyr"/>
        <charset val="204"/>
      </rPr>
      <t xml:space="preserve"> по итогам рабочего периода и обновляются каждый новый период. В соответствии с баллами установлен процент надбавки к окладу. Сумма надбавки является премией по итогам рабочего периода и рассчитывается автоматически.</t>
    </r>
  </si>
  <si>
    <r>
      <t xml:space="preserve">Вознаграждение работников включает: оклад, премию по итогам рабочего периода, доплату за стаж. Рассчитывается автоматически в таблице </t>
    </r>
    <r>
      <rPr>
        <i/>
        <sz val="10"/>
        <rFont val="Arial Cyr"/>
        <charset val="204"/>
      </rPr>
      <t>Вознаграждение</t>
    </r>
    <r>
      <rPr>
        <sz val="10"/>
        <rFont val="Arial Cyr"/>
        <charset val="204"/>
      </rPr>
      <t>.</t>
    </r>
  </si>
  <si>
    <r>
      <t xml:space="preserve">Постоянная, редко обновляемая информация занесена в справочные таблицы. Используются следующие справочники (Лист </t>
    </r>
    <r>
      <rPr>
        <i/>
        <sz val="10"/>
        <rFont val="Arial Cyr"/>
        <charset val="204"/>
      </rPr>
      <t>Справочные данные</t>
    </r>
    <r>
      <rPr>
        <sz val="10"/>
        <rFont val="Arial Cyr"/>
        <charset val="204"/>
      </rPr>
      <t>):</t>
    </r>
  </si>
  <si>
    <t>Подразделения – список подразделений компании;</t>
  </si>
  <si>
    <t>Должностные оклады – установленные для каждой должности оклады. В соответствии с регламентом компании должностные оклады различа-ются для подразделений.</t>
  </si>
  <si>
    <t>Правила начисления премии – установленные проценты надбавки к окладу в зависимости от количества начисленных баллов.</t>
  </si>
  <si>
    <t>Для эффективной поддержки бизнес-процесса необходимо:</t>
  </si>
  <si>
    <r>
      <t xml:space="preserve">1. Обеспечить заполнение полей </t>
    </r>
    <r>
      <rPr>
        <i/>
        <sz val="10"/>
        <rFont val="Arial Cyr"/>
        <charset val="204"/>
      </rPr>
      <t>№пп., Отдел, Должность</t>
    </r>
    <r>
      <rPr>
        <sz val="10"/>
        <rFont val="Arial Cyr"/>
        <charset val="204"/>
      </rPr>
      <t>, используя оптимальные технологии ввода;</t>
    </r>
  </si>
  <si>
    <r>
      <t xml:space="preserve">2. Обеспечить заполнение полей </t>
    </r>
    <r>
      <rPr>
        <i/>
        <sz val="10"/>
        <rFont val="Arial Cyr"/>
        <charset val="204"/>
      </rPr>
      <t>Отдел, Должность</t>
    </r>
    <r>
      <rPr>
        <sz val="10"/>
        <rFont val="Arial Cyr"/>
        <charset val="204"/>
      </rPr>
      <t>, используя данные из справочника отделов и должностей. (Принадлежность сотрудника отделу и должность - произвольные)</t>
    </r>
  </si>
  <si>
    <r>
      <t xml:space="preserve">3. Обеспечить заполнение поля </t>
    </r>
    <r>
      <rPr>
        <i/>
        <sz val="10"/>
        <rFont val="Arial Cyr"/>
        <charset val="204"/>
      </rPr>
      <t>Оклад</t>
    </r>
    <r>
      <rPr>
        <sz val="10"/>
        <rFont val="Arial Cyr"/>
        <charset val="204"/>
      </rPr>
      <t xml:space="preserve"> на основе данных соответствующего справочника;</t>
    </r>
  </si>
  <si>
    <r>
      <t xml:space="preserve">4. Обеспечить автоматическое заполнение таблицы </t>
    </r>
    <r>
      <rPr>
        <i/>
        <sz val="10"/>
        <rFont val="Arial Cyr"/>
        <charset val="204"/>
      </rPr>
      <t>Вознаграждение</t>
    </r>
    <r>
      <rPr>
        <sz val="10"/>
        <rFont val="Arial Cyr"/>
        <charset val="204"/>
      </rPr>
      <t xml:space="preserve"> на основе сведений о начисленных баллах и справочных данных о правилах начисления премии. Для расчета надбавки за стаж работы в компании использовать правило: 1000 руб за каждый год работы и дополнительно 3000 для работающих в компании более 5 лет.</t>
    </r>
  </si>
  <si>
    <t>Для анализа персонала компании необходимо:</t>
  </si>
  <si>
    <t>1. Сформировать отчет с информацией о количестве сотрудников в каждом отделе.</t>
  </si>
  <si>
    <t>2. Сформировать отчет с информацией о величине среднего оклада сотрудников каждого отдела.</t>
  </si>
  <si>
    <t>3. Сформировать отчет с информацией о всех уволенных сотрудников, занимавших должность секретаря</t>
  </si>
  <si>
    <t>4. Сформировать отчет со списком всех сотрудников 1971 года рождения.</t>
  </si>
  <si>
    <t>5. Составить список сотрудников, имеющих оклад меньше среднего.</t>
  </si>
  <si>
    <t>6. Определить количество иждивенцев в каждом отделе;</t>
  </si>
  <si>
    <t>7. Сформировать отчет с данными о количестве мужчин и женщин в каждом отделе;</t>
  </si>
  <si>
    <t>8. Рассчитать средний оклад мужчин и женщин в компании;</t>
  </si>
  <si>
    <t>9. Найти количество именинников в каждом месяце;</t>
  </si>
  <si>
    <r>
      <t xml:space="preserve">10. В таблице </t>
    </r>
    <r>
      <rPr>
        <i/>
        <sz val="10"/>
        <rFont val="Arial Cyr"/>
        <charset val="204"/>
      </rPr>
      <t>Вознаграждение</t>
    </r>
    <r>
      <rPr>
        <sz val="10"/>
        <rFont val="Arial Cyr"/>
        <charset val="204"/>
      </rPr>
      <t xml:space="preserve"> обеспечить автоматическое выделений цветом записей о работниках, которые получили наибольшую и наименьшую сумму.</t>
    </r>
  </si>
  <si>
    <t xml:space="preserve">Условие стажа </t>
  </si>
  <si>
    <t>Размер доплаты за выслугу за год</t>
  </si>
  <si>
    <t>Размер дополаты за длительный стаж</t>
  </si>
  <si>
    <t>Названия строк</t>
  </si>
  <si>
    <t>Общий итог</t>
  </si>
  <si>
    <t>Среднее по полю Оклад</t>
  </si>
  <si>
    <t>Пол сотрудников</t>
  </si>
  <si>
    <t>Дата увольнения</t>
  </si>
  <si>
    <t>Средний Оклад</t>
  </si>
  <si>
    <t>Максимальный доход</t>
  </si>
  <si>
    <t>Минимальный доход</t>
  </si>
  <si>
    <t>1000 руб за каждый год работы</t>
  </si>
  <si>
    <t>допольнительно + 3000 за свыше 5 лет работы</t>
  </si>
  <si>
    <t>Условие</t>
  </si>
  <si>
    <t>Дата рождения</t>
  </si>
  <si>
    <t>Сотрудники с годом рождения 1971</t>
  </si>
  <si>
    <t>Условие2</t>
  </si>
  <si>
    <t>Сотрудники с окладом меньше среднего</t>
  </si>
  <si>
    <t>Условие3</t>
  </si>
  <si>
    <t>Условие4</t>
  </si>
  <si>
    <t>янв</t>
  </si>
  <si>
    <t>фев</t>
  </si>
  <si>
    <t>мар</t>
  </si>
  <si>
    <t>апр</t>
  </si>
  <si>
    <t>июл</t>
  </si>
  <si>
    <t>авг</t>
  </si>
  <si>
    <t>сен</t>
  </si>
  <si>
    <t>окт</t>
  </si>
  <si>
    <t>ноя</t>
  </si>
  <si>
    <t>дек</t>
  </si>
  <si>
    <t>Количество именинников в каждом месяце</t>
  </si>
  <si>
    <t>Жен</t>
  </si>
  <si>
    <t>Муж</t>
  </si>
  <si>
    <t>Количество сотрудников по отделам (сводная таблица)</t>
  </si>
  <si>
    <t>Средний оклад по отделам (сводная)</t>
  </si>
  <si>
    <t xml:space="preserve">Секретари, которые уволены(-лись) </t>
  </si>
  <si>
    <t>Автофильтр из исходной</t>
  </si>
  <si>
    <t>Автофильтр</t>
  </si>
  <si>
    <t>Расширенный фильтр по условиям</t>
  </si>
  <si>
    <t>Количество иждивенцев по отделам (сводная)</t>
  </si>
  <si>
    <t>Разделение по полу сотрудников (сводная)</t>
  </si>
  <si>
    <t>Средний оклад по компании для мужчин и женщин (сводная)</t>
  </si>
  <si>
    <t>муж</t>
  </si>
  <si>
    <t>жен</t>
  </si>
  <si>
    <t>Подразделение</t>
  </si>
  <si>
    <t>Количество сотрудников</t>
  </si>
  <si>
    <t>Итоговое Кол-во иждивенцев</t>
  </si>
  <si>
    <t xml:space="preserve">Количество сотрудников по отделам </t>
  </si>
  <si>
    <t>Средний оклад по отделам</t>
  </si>
  <si>
    <t xml:space="preserve">Средний оклад по компании для мужчин и женщин </t>
  </si>
  <si>
    <t xml:space="preserve">Разделение по полу сотрудников </t>
  </si>
  <si>
    <t>Количество иждивенцев по отделам</t>
  </si>
  <si>
    <t>Количество именинников</t>
  </si>
  <si>
    <t>Месяц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</si>
</sst>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8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sz val="10"/>
      <color theme="1"/>
      <name val="Arial Cyr"/>
      <charset val="204"/>
    </font>
    <font>
      <b/>
      <sz val="10"/>
      <color theme="0"/>
      <name val="Arial Cyr"/>
      <charset val="204"/>
    </font>
    <font>
      <sz val="10"/>
      <color theme="4" tint="-0.249977111117893"/>
      <name val="Arial Cyr"/>
      <charset val="204"/>
    </font>
    <font>
      <b/>
      <sz val="10"/>
      <color theme="4" tint="-0.249977111117893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49" fontId="0" fillId="0" borderId="2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8" xfId="0" applyNumberFormat="1" applyBorder="1"/>
    <xf numFmtId="0" fontId="0" fillId="0" borderId="8" xfId="0" applyBorder="1"/>
    <xf numFmtId="14" fontId="0" fillId="0" borderId="8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49" fontId="4" fillId="0" borderId="3" xfId="0" applyNumberFormat="1" applyFont="1" applyBorder="1"/>
    <xf numFmtId="0" fontId="5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49" fontId="4" fillId="0" borderId="10" xfId="0" applyNumberFormat="1" applyFont="1" applyBorder="1"/>
    <xf numFmtId="0" fontId="0" fillId="3" borderId="0" xfId="0" applyFill="1"/>
    <xf numFmtId="0" fontId="0" fillId="4" borderId="0" xfId="0" applyFill="1"/>
    <xf numFmtId="0" fontId="2" fillId="0" borderId="11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3" fillId="0" borderId="0" xfId="0" applyFont="1"/>
    <xf numFmtId="164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Fill="1" applyBorder="1"/>
    <xf numFmtId="0" fontId="0" fillId="0" borderId="11" xfId="0" applyBorder="1" applyAlignment="1">
      <alignment horizontal="center" vertical="center" wrapText="1"/>
    </xf>
    <xf numFmtId="0" fontId="0" fillId="0" borderId="11" xfId="0" applyNumberFormat="1" applyBorder="1"/>
    <xf numFmtId="0" fontId="0" fillId="0" borderId="11" xfId="0" applyBorder="1"/>
    <xf numFmtId="14" fontId="0" fillId="0" borderId="11" xfId="0" applyNumberFormat="1" applyBorder="1"/>
    <xf numFmtId="14" fontId="0" fillId="0" borderId="0" xfId="0" applyNumberForma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NumberFormat="1" applyBorder="1"/>
    <xf numFmtId="49" fontId="0" fillId="0" borderId="0" xfId="0" applyNumberFormat="1" applyBorder="1"/>
    <xf numFmtId="14" fontId="0" fillId="0" borderId="0" xfId="0" applyNumberFormat="1" applyBorder="1"/>
    <xf numFmtId="0" fontId="0" fillId="0" borderId="3" xfId="0" applyNumberForma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2" fillId="5" borderId="0" xfId="0" applyFont="1" applyFill="1" applyAlignment="1">
      <alignment wrapText="1"/>
    </xf>
    <xf numFmtId="49" fontId="0" fillId="0" borderId="3" xfId="0" applyNumberFormat="1" applyBorder="1"/>
    <xf numFmtId="49" fontId="0" fillId="0" borderId="10" xfId="0" applyNumberFormat="1" applyBorder="1"/>
    <xf numFmtId="0" fontId="0" fillId="0" borderId="3" xfId="0" applyBorder="1" applyAlignment="1">
      <alignment horizontal="center"/>
    </xf>
    <xf numFmtId="164" fontId="0" fillId="0" borderId="4" xfId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8" xfId="1" applyFont="1" applyBorder="1" applyAlignment="1">
      <alignment horizontal="center" vertical="center"/>
    </xf>
    <xf numFmtId="164" fontId="0" fillId="0" borderId="9" xfId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6" borderId="13" xfId="0" applyFont="1" applyFill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5" borderId="12" xfId="0" applyFont="1" applyFill="1" applyBorder="1"/>
    <xf numFmtId="0" fontId="0" fillId="0" borderId="11" xfId="0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3" fontId="0" fillId="0" borderId="0" xfId="0" applyNumberFormat="1"/>
    <xf numFmtId="0" fontId="0" fillId="0" borderId="0" xfId="0" applyNumberFormat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0" fillId="0" borderId="4" xfId="0" applyNumberFormat="1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114"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numFmt numFmtId="2" formatCode="0.0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Cyr"/>
        <scheme val="none"/>
      </font>
      <fill>
        <patternFill patternType="solid">
          <fgColor theme="5"/>
          <bgColor theme="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 Cyr"/>
        <scheme val="none"/>
      </font>
      <fill>
        <patternFill patternType="solid">
          <fgColor indexed="64"/>
          <bgColor theme="0"/>
        </patternFill>
      </fill>
    </dxf>
    <dxf>
      <numFmt numFmtId="13" formatCode="0%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righ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erina" refreshedDate="44440.563542592594" createdVersion="3" refreshedVersion="3" minRefreshableVersion="3" recordCount="20">
  <cacheSource type="worksheet">
    <worksheetSource name="Таблица1"/>
  </cacheSource>
  <cacheFields count="15">
    <cacheField name="№пп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Таб. номер" numFmtId="49">
      <sharedItems count="20">
        <s v="00001"/>
        <s v="00454"/>
        <s v="01234"/>
        <s v="12312"/>
        <s v="12345"/>
        <s v="23456"/>
        <s v="34567"/>
        <s v="45454"/>
        <s v="45564"/>
        <s v="45678"/>
        <s v="56565"/>
        <s v="56786"/>
        <s v="56789"/>
        <s v="67890"/>
        <s v="78787"/>
        <s v="78901"/>
        <s v="89012"/>
        <s v="90123"/>
        <s v="98989"/>
        <s v="99999"/>
      </sharedItems>
    </cacheField>
    <cacheField name="Фамилия" numFmtId="0">
      <sharedItems count="20">
        <s v="Иванов"/>
        <s v="Иваненко"/>
        <s v="Петров"/>
        <s v="Петренко"/>
        <s v="Сидоров"/>
        <s v="Седов"/>
        <s v="Фомин"/>
        <s v="Фоменко"/>
        <s v="Кукина"/>
        <s v="Макова"/>
        <s v="Сушкина"/>
        <s v="Кротова"/>
        <s v="Бойцов"/>
        <s v="Гайдай"/>
        <s v="Краснов"/>
        <s v="Рябов"/>
        <s v="Белова"/>
        <s v="Чернова"/>
        <s v="Родионов"/>
        <s v="Хрустов"/>
      </sharedItems>
    </cacheField>
    <cacheField name=" Имя" numFmtId="0">
      <sharedItems count="16">
        <s v="Иван"/>
        <s v="Петр"/>
        <s v="Сидор "/>
        <s v="Кузьма"/>
        <s v="Фома"/>
        <s v="Юлия"/>
        <s v="Алина"/>
        <s v="Алла"/>
        <s v="Инна"/>
        <s v="Семен"/>
        <s v="Павел"/>
        <s v="Олег"/>
        <s v="Софья "/>
        <s v="Зоя"/>
        <s v="Андрей"/>
        <s v="Юрий"/>
      </sharedItems>
    </cacheField>
    <cacheField name="Отчество" numFmtId="0">
      <sharedItems count="16">
        <s v="Иванович"/>
        <s v="Петрович"/>
        <s v="Сидорович"/>
        <s v="Фомич"/>
        <s v="Кузьмич"/>
        <s v="Петровна"/>
        <s v="Игоревна"/>
        <s v="Вадимовна"/>
        <s v="Павловна"/>
        <s v="Семенович"/>
        <s v="Михайлович"/>
        <s v="Павлович"/>
        <s v="Евгеньевич"/>
        <s v="Богдановна"/>
        <s v="Вадимович"/>
        <s v="Юрьевич"/>
      </sharedItems>
    </cacheField>
    <cacheField name="Отдел" numFmtId="0">
      <sharedItems count="8">
        <s v="Плановый"/>
        <s v="Снабжения"/>
        <s v="Бухгалтерия"/>
        <s v="Маркетинга"/>
        <s v="ОТК" u="1"/>
        <s v="ОМПП" u="1"/>
        <s v="ПДО" u="1"/>
        <s v="Производство" u="1"/>
      </sharedItems>
    </cacheField>
    <cacheField name="Дата_x000a_ рождения" numFmtId="14">
      <sharedItems containsSemiMixedTypes="0" containsNonDate="0" containsDate="1" containsString="0" minDate="1935-01-21T00:00:00" maxDate="1990-08-27T00:00:00" count="15">
        <d v="1952-10-28T00:00:00"/>
        <d v="1935-01-21T00:00:00"/>
        <d v="1990-08-26T00:00:00"/>
        <d v="1970-11-14T00:00:00"/>
        <d v="1971-02-02T00:00:00"/>
        <d v="1971-11-01T00:00:00"/>
        <d v="1985-07-12T00:00:00"/>
        <d v="1971-09-30T00:00:00"/>
        <d v="1971-12-19T00:00:00"/>
        <d v="1972-03-08T00:00:00"/>
        <d v="1956-12-17T00:00:00"/>
        <d v="1980-01-21T00:00:00"/>
        <d v="1971-04-23T00:00:00"/>
        <d v="1971-07-12T00:00:00"/>
        <d v="1972-11-01T00:00:00"/>
      </sharedItems>
      <fieldGroup base="6">
        <rangePr groupBy="months" startDate="1935-01-21T00:00:00" endDate="1990-08-27T00:00:00"/>
        <groupItems count="14">
          <s v="&lt;21.01.193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7.08.1990"/>
        </groupItems>
      </fieldGroup>
    </cacheField>
    <cacheField name="Должность" numFmtId="0">
      <sharedItems count="5">
        <s v="начальник"/>
        <s v="секретарь"/>
        <s v="экономист"/>
        <s v="менеджер"/>
        <s v="бухгалтер"/>
      </sharedItems>
    </cacheField>
    <cacheField name="Дата приема на работу" numFmtId="14">
      <sharedItems containsSemiMixedTypes="0" containsNonDate="0" containsDate="1" containsString="0" minDate="1997-10-21T00:00:00" maxDate="2015-10-11T00:00:00" count="20">
        <d v="2008-01-10T00:00:00"/>
        <d v="2010-04-10T00:00:00"/>
        <d v="2011-07-21T00:00:00"/>
        <d v="2008-10-10T00:00:00"/>
        <d v="2009-01-10T00:00:00"/>
        <d v="2009-04-12T00:00:00"/>
        <d v="2005-07-26T00:00:00"/>
        <d v="2009-11-10T00:00:00"/>
        <d v="2000-01-10T00:00:00"/>
        <d v="2000-04-10T00:00:00"/>
        <d v="2000-07-10T00:00:00"/>
        <d v="1997-10-21T00:00:00"/>
        <d v="2011-01-10T00:00:00"/>
        <d v="2001-04-30T00:00:00"/>
        <d v="2001-07-10T00:00:00"/>
        <d v="2001-10-13T00:00:00"/>
        <d v="2002-01-10T00:00:00"/>
        <d v="2012-04-10T00:00:00"/>
        <d v="2002-07-10T00:00:00"/>
        <d v="2015-10-10T00:00:00"/>
      </sharedItems>
    </cacheField>
    <cacheField name="Дата увольнения" numFmtId="0">
      <sharedItems containsNonDate="0" containsDate="1" containsString="0" containsBlank="1" minDate="2001-12-21T00:00:00" maxDate="2013-01-31T00:00:00" count="5">
        <m/>
        <d v="2011-10-10T00:00:00"/>
        <d v="2001-12-21T00:00:00"/>
        <d v="2003-12-12T00:00:00"/>
        <d v="2013-01-30T00:00:00"/>
      </sharedItems>
    </cacheField>
    <cacheField name="Пол" numFmtId="0">
      <sharedItems count="2">
        <s v="м"/>
        <s v="ж"/>
      </sharedItems>
    </cacheField>
    <cacheField name="Кол-во иждивенцев" numFmtId="0">
      <sharedItems containsSemiMixedTypes="0" containsString="0" containsNumber="1" containsInteger="1" minValue="0" maxValue="5"/>
    </cacheField>
    <cacheField name="Оклад" numFmtId="0">
      <sharedItems containsSemiMixedTypes="0" containsString="0" containsNumber="1" containsInteger="1" minValue="1000" maxValue="3300"/>
    </cacheField>
    <cacheField name="Стаж" numFmtId="0">
      <sharedItems containsSemiMixedTypes="0" containsString="0" containsNumber="1" containsInteger="1" minValue="5" maxValue="23"/>
    </cacheField>
    <cacheField name="Поле1" numFmtId="0" formula=" 0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Serina" refreshedDate="44442.425435879632" createdVersion="3" refreshedVersion="3" minRefreshableVersion="3" recordCount="20">
  <cacheSource type="worksheet">
    <worksheetSource name="УчетПерсонала"/>
  </cacheSource>
  <cacheFields count="14">
    <cacheField name="№пп" numFmtId="0">
      <sharedItems containsSemiMixedTypes="0" containsString="0" containsNumber="1" containsInteger="1" minValue="1" maxValue="20"/>
    </cacheField>
    <cacheField name="Таб. номер" numFmtId="49">
      <sharedItems count="20">
        <s v="00001"/>
        <s v="00454"/>
        <s v="01234"/>
        <s v="12312"/>
        <s v="12345"/>
        <s v="23456"/>
        <s v="34567"/>
        <s v="45454"/>
        <s v="45564"/>
        <s v="45678"/>
        <s v="56565"/>
        <s v="56786"/>
        <s v="56789"/>
        <s v="67890"/>
        <s v="78787"/>
        <s v="78901"/>
        <s v="89012"/>
        <s v="90123"/>
        <s v="98989"/>
        <s v="99999"/>
      </sharedItems>
    </cacheField>
    <cacheField name="Фамилия" numFmtId="0">
      <sharedItems/>
    </cacheField>
    <cacheField name=" Имя" numFmtId="0">
      <sharedItems/>
    </cacheField>
    <cacheField name="Отчество" numFmtId="0">
      <sharedItems/>
    </cacheField>
    <cacheField name="Отдел" numFmtId="0">
      <sharedItems count="4">
        <s v="Плановый"/>
        <s v="Снабжения"/>
        <s v="Бухгалтерия"/>
        <s v="Маркетинга"/>
      </sharedItems>
    </cacheField>
    <cacheField name="Дата рождения" numFmtId="14">
      <sharedItems containsSemiMixedTypes="0" containsNonDate="0" containsDate="1" containsString="0" minDate="1935-01-21T00:00:00" maxDate="1990-08-27T00:00:00"/>
    </cacheField>
    <cacheField name="Должность" numFmtId="0">
      <sharedItems/>
    </cacheField>
    <cacheField name="Дата приема на работу" numFmtId="14">
      <sharedItems containsSemiMixedTypes="0" containsNonDate="0" containsDate="1" containsString="0" minDate="1997-10-21T00:00:00" maxDate="2015-10-11T00:00:00"/>
    </cacheField>
    <cacheField name="Дата увольнения" numFmtId="0">
      <sharedItems containsNonDate="0" containsDate="1" containsString="0" containsBlank="1" minDate="2001-12-21T00:00:00" maxDate="2013-01-31T00:00:00"/>
    </cacheField>
    <cacheField name="Пол" numFmtId="0">
      <sharedItems count="2">
        <s v="м"/>
        <s v="ж"/>
      </sharedItems>
    </cacheField>
    <cacheField name="Кол-во иждивенцев" numFmtId="0">
      <sharedItems containsSemiMixedTypes="0" containsString="0" containsNumber="1" containsInteger="1" minValue="0" maxValue="5"/>
    </cacheField>
    <cacheField name="Оклад" numFmtId="0">
      <sharedItems containsSemiMixedTypes="0" containsString="0" containsNumber="1" containsInteger="1" minValue="1000" maxValue="3300"/>
    </cacheField>
    <cacheField name="Стаж" numFmtId="0">
      <sharedItems containsSemiMixedTypes="0" containsString="0" containsNumber="1" containsInteger="1" minValue="5" maxValue="2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n v="2"/>
    <n v="3000"/>
    <n v="13"/>
  </r>
  <r>
    <x v="1"/>
    <x v="1"/>
    <x v="1"/>
    <x v="0"/>
    <x v="1"/>
    <x v="1"/>
    <x v="1"/>
    <x v="1"/>
    <x v="1"/>
    <x v="0"/>
    <x v="0"/>
    <n v="1"/>
    <n v="1100"/>
    <n v="11"/>
  </r>
  <r>
    <x v="2"/>
    <x v="2"/>
    <x v="2"/>
    <x v="1"/>
    <x v="1"/>
    <x v="2"/>
    <x v="2"/>
    <x v="2"/>
    <x v="2"/>
    <x v="0"/>
    <x v="0"/>
    <n v="2"/>
    <n v="2200"/>
    <n v="10"/>
  </r>
  <r>
    <x v="3"/>
    <x v="3"/>
    <x v="3"/>
    <x v="1"/>
    <x v="0"/>
    <x v="0"/>
    <x v="3"/>
    <x v="1"/>
    <x v="3"/>
    <x v="0"/>
    <x v="0"/>
    <n v="1"/>
    <n v="1000"/>
    <n v="12"/>
  </r>
  <r>
    <x v="4"/>
    <x v="4"/>
    <x v="4"/>
    <x v="2"/>
    <x v="2"/>
    <x v="2"/>
    <x v="4"/>
    <x v="0"/>
    <x v="4"/>
    <x v="1"/>
    <x v="0"/>
    <n v="0"/>
    <n v="3200"/>
    <n v="12"/>
  </r>
  <r>
    <x v="5"/>
    <x v="5"/>
    <x v="5"/>
    <x v="3"/>
    <x v="3"/>
    <x v="3"/>
    <x v="5"/>
    <x v="3"/>
    <x v="5"/>
    <x v="0"/>
    <x v="0"/>
    <n v="5"/>
    <n v="1800"/>
    <n v="12"/>
  </r>
  <r>
    <x v="6"/>
    <x v="6"/>
    <x v="6"/>
    <x v="4"/>
    <x v="3"/>
    <x v="3"/>
    <x v="6"/>
    <x v="0"/>
    <x v="6"/>
    <x v="0"/>
    <x v="0"/>
    <n v="1"/>
    <n v="3300"/>
    <n v="16"/>
  </r>
  <r>
    <x v="7"/>
    <x v="7"/>
    <x v="7"/>
    <x v="2"/>
    <x v="4"/>
    <x v="0"/>
    <x v="7"/>
    <x v="3"/>
    <x v="7"/>
    <x v="0"/>
    <x v="0"/>
    <n v="1"/>
    <n v="1500"/>
    <n v="11"/>
  </r>
  <r>
    <x v="8"/>
    <x v="8"/>
    <x v="8"/>
    <x v="5"/>
    <x v="5"/>
    <x v="0"/>
    <x v="8"/>
    <x v="1"/>
    <x v="8"/>
    <x v="2"/>
    <x v="1"/>
    <n v="1"/>
    <n v="1000"/>
    <n v="21"/>
  </r>
  <r>
    <x v="9"/>
    <x v="9"/>
    <x v="9"/>
    <x v="6"/>
    <x v="6"/>
    <x v="1"/>
    <x v="9"/>
    <x v="3"/>
    <x v="9"/>
    <x v="0"/>
    <x v="1"/>
    <n v="1"/>
    <n v="1600"/>
    <n v="21"/>
  </r>
  <r>
    <x v="10"/>
    <x v="10"/>
    <x v="10"/>
    <x v="7"/>
    <x v="7"/>
    <x v="3"/>
    <x v="10"/>
    <x v="1"/>
    <x v="10"/>
    <x v="3"/>
    <x v="1"/>
    <n v="1"/>
    <n v="1300"/>
    <n v="21"/>
  </r>
  <r>
    <x v="11"/>
    <x v="11"/>
    <x v="11"/>
    <x v="8"/>
    <x v="8"/>
    <x v="2"/>
    <x v="11"/>
    <x v="1"/>
    <x v="11"/>
    <x v="0"/>
    <x v="1"/>
    <n v="1"/>
    <n v="1200"/>
    <n v="23"/>
  </r>
  <r>
    <x v="12"/>
    <x v="12"/>
    <x v="12"/>
    <x v="9"/>
    <x v="9"/>
    <x v="1"/>
    <x v="2"/>
    <x v="0"/>
    <x v="12"/>
    <x v="0"/>
    <x v="0"/>
    <n v="1"/>
    <n v="3100"/>
    <n v="10"/>
  </r>
  <r>
    <x v="13"/>
    <x v="13"/>
    <x v="13"/>
    <x v="0"/>
    <x v="10"/>
    <x v="2"/>
    <x v="3"/>
    <x v="2"/>
    <x v="13"/>
    <x v="0"/>
    <x v="0"/>
    <n v="1"/>
    <n v="2200"/>
    <n v="20"/>
  </r>
  <r>
    <x v="14"/>
    <x v="14"/>
    <x v="14"/>
    <x v="10"/>
    <x v="11"/>
    <x v="3"/>
    <x v="4"/>
    <x v="4"/>
    <x v="14"/>
    <x v="0"/>
    <x v="0"/>
    <n v="5"/>
    <n v="2800"/>
    <n v="20"/>
  </r>
  <r>
    <x v="15"/>
    <x v="15"/>
    <x v="15"/>
    <x v="11"/>
    <x v="12"/>
    <x v="0"/>
    <x v="12"/>
    <x v="2"/>
    <x v="15"/>
    <x v="0"/>
    <x v="0"/>
    <n v="1"/>
    <n v="2000"/>
    <n v="19"/>
  </r>
  <r>
    <x v="16"/>
    <x v="16"/>
    <x v="16"/>
    <x v="12"/>
    <x v="5"/>
    <x v="3"/>
    <x v="13"/>
    <x v="3"/>
    <x v="16"/>
    <x v="0"/>
    <x v="1"/>
    <n v="2"/>
    <n v="1800"/>
    <n v="19"/>
  </r>
  <r>
    <x v="17"/>
    <x v="17"/>
    <x v="17"/>
    <x v="13"/>
    <x v="13"/>
    <x v="2"/>
    <x v="7"/>
    <x v="0"/>
    <x v="17"/>
    <x v="0"/>
    <x v="1"/>
    <n v="2"/>
    <n v="3200"/>
    <n v="9"/>
  </r>
  <r>
    <x v="18"/>
    <x v="18"/>
    <x v="18"/>
    <x v="14"/>
    <x v="14"/>
    <x v="0"/>
    <x v="8"/>
    <x v="2"/>
    <x v="18"/>
    <x v="4"/>
    <x v="0"/>
    <n v="0"/>
    <n v="2000"/>
    <n v="19"/>
  </r>
  <r>
    <x v="19"/>
    <x v="19"/>
    <x v="19"/>
    <x v="15"/>
    <x v="15"/>
    <x v="0"/>
    <x v="14"/>
    <x v="2"/>
    <x v="19"/>
    <x v="0"/>
    <x v="0"/>
    <n v="0"/>
    <n v="200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1"/>
    <x v="0"/>
    <s v="Иванов"/>
    <s v="Иван"/>
    <s v="Иванович"/>
    <x v="0"/>
    <d v="1952-10-28T00:00:00"/>
    <s v="начальник"/>
    <d v="2008-01-10T00:00:00"/>
    <m/>
    <x v="0"/>
    <n v="2"/>
    <n v="3000"/>
    <n v="13"/>
  </r>
  <r>
    <n v="2"/>
    <x v="1"/>
    <s v="Иваненко"/>
    <s v="Иван"/>
    <s v="Петрович"/>
    <x v="1"/>
    <d v="1935-01-21T00:00:00"/>
    <s v="секретарь"/>
    <d v="2010-04-10T00:00:00"/>
    <m/>
    <x v="0"/>
    <n v="1"/>
    <n v="1100"/>
    <n v="11"/>
  </r>
  <r>
    <n v="3"/>
    <x v="2"/>
    <s v="Петров"/>
    <s v="Петр"/>
    <s v="Петрович"/>
    <x v="2"/>
    <d v="1990-08-26T00:00:00"/>
    <s v="экономист"/>
    <d v="2011-07-21T00:00:00"/>
    <m/>
    <x v="0"/>
    <n v="2"/>
    <n v="2200"/>
    <n v="10"/>
  </r>
  <r>
    <n v="4"/>
    <x v="3"/>
    <s v="Петренко"/>
    <s v="Петр"/>
    <s v="Иванович"/>
    <x v="0"/>
    <d v="1970-11-14T00:00:00"/>
    <s v="секретарь"/>
    <d v="2008-10-10T00:00:00"/>
    <m/>
    <x v="0"/>
    <n v="1"/>
    <n v="1000"/>
    <n v="12"/>
  </r>
  <r>
    <n v="5"/>
    <x v="4"/>
    <s v="Сидоров"/>
    <s v="Сидор "/>
    <s v="Сидорович"/>
    <x v="2"/>
    <d v="1971-02-02T00:00:00"/>
    <s v="начальник"/>
    <d v="2009-01-10T00:00:00"/>
    <d v="2011-10-10T00:00:00"/>
    <x v="0"/>
    <n v="0"/>
    <n v="3200"/>
    <n v="12"/>
  </r>
  <r>
    <n v="6"/>
    <x v="5"/>
    <s v="Седов"/>
    <s v="Кузьма"/>
    <s v="Фомич"/>
    <x v="3"/>
    <d v="1971-11-01T00:00:00"/>
    <s v="менеджер"/>
    <d v="2009-04-12T00:00:00"/>
    <m/>
    <x v="0"/>
    <n v="5"/>
    <n v="1800"/>
    <n v="12"/>
  </r>
  <r>
    <n v="7"/>
    <x v="6"/>
    <s v="Фомин"/>
    <s v="Фома"/>
    <s v="Фомич"/>
    <x v="3"/>
    <d v="1985-07-12T00:00:00"/>
    <s v="начальник"/>
    <d v="2005-07-26T00:00:00"/>
    <m/>
    <x v="0"/>
    <n v="1"/>
    <n v="3300"/>
    <n v="16"/>
  </r>
  <r>
    <n v="8"/>
    <x v="7"/>
    <s v="Фоменко"/>
    <s v="Сидор "/>
    <s v="Кузьмич"/>
    <x v="0"/>
    <d v="1971-09-30T00:00:00"/>
    <s v="менеджер"/>
    <d v="2009-11-10T00:00:00"/>
    <m/>
    <x v="0"/>
    <n v="1"/>
    <n v="1500"/>
    <n v="11"/>
  </r>
  <r>
    <n v="9"/>
    <x v="8"/>
    <s v="Кукина"/>
    <s v="Юлия"/>
    <s v="Петровна"/>
    <x v="0"/>
    <d v="1971-12-19T00:00:00"/>
    <s v="секретарь"/>
    <d v="2000-01-10T00:00:00"/>
    <d v="2001-12-21T00:00:00"/>
    <x v="1"/>
    <n v="1"/>
    <n v="1000"/>
    <n v="21"/>
  </r>
  <r>
    <n v="10"/>
    <x v="9"/>
    <s v="Макова"/>
    <s v="Алина"/>
    <s v="Игоревна"/>
    <x v="1"/>
    <d v="1972-03-08T00:00:00"/>
    <s v="менеджер"/>
    <d v="2000-04-10T00:00:00"/>
    <m/>
    <x v="1"/>
    <n v="1"/>
    <n v="1600"/>
    <n v="21"/>
  </r>
  <r>
    <n v="11"/>
    <x v="10"/>
    <s v="Сушкина"/>
    <s v="Алла"/>
    <s v="Вадимовна"/>
    <x v="3"/>
    <d v="1956-12-17T00:00:00"/>
    <s v="секретарь"/>
    <d v="2000-07-10T00:00:00"/>
    <d v="2003-12-12T00:00:00"/>
    <x v="1"/>
    <n v="1"/>
    <n v="1300"/>
    <n v="21"/>
  </r>
  <r>
    <n v="12"/>
    <x v="11"/>
    <s v="Кротова"/>
    <s v="Инна"/>
    <s v="Павловна"/>
    <x v="2"/>
    <d v="1980-01-21T00:00:00"/>
    <s v="секретарь"/>
    <d v="1997-10-21T00:00:00"/>
    <m/>
    <x v="1"/>
    <n v="1"/>
    <n v="1200"/>
    <n v="23"/>
  </r>
  <r>
    <n v="13"/>
    <x v="12"/>
    <s v="Бойцов"/>
    <s v="Семен"/>
    <s v="Семенович"/>
    <x v="1"/>
    <d v="1990-08-26T00:00:00"/>
    <s v="начальник"/>
    <d v="2011-01-10T00:00:00"/>
    <m/>
    <x v="0"/>
    <n v="1"/>
    <n v="3100"/>
    <n v="10"/>
  </r>
  <r>
    <n v="14"/>
    <x v="13"/>
    <s v="Гайдай"/>
    <s v="Иван"/>
    <s v="Михайлович"/>
    <x v="2"/>
    <d v="1970-11-14T00:00:00"/>
    <s v="экономист"/>
    <d v="2001-04-30T00:00:00"/>
    <m/>
    <x v="0"/>
    <n v="1"/>
    <n v="2200"/>
    <n v="20"/>
  </r>
  <r>
    <n v="15"/>
    <x v="14"/>
    <s v="Краснов"/>
    <s v="Павел"/>
    <s v="Павлович"/>
    <x v="3"/>
    <d v="1971-02-02T00:00:00"/>
    <s v="бухгалтер"/>
    <d v="2001-07-10T00:00:00"/>
    <m/>
    <x v="0"/>
    <n v="5"/>
    <n v="2800"/>
    <n v="20"/>
  </r>
  <r>
    <n v="16"/>
    <x v="15"/>
    <s v="Рябов"/>
    <s v="Олег"/>
    <s v="Евгеньевич"/>
    <x v="0"/>
    <d v="1971-04-23T00:00:00"/>
    <s v="экономист"/>
    <d v="2001-10-13T00:00:00"/>
    <m/>
    <x v="0"/>
    <n v="1"/>
    <n v="2000"/>
    <n v="19"/>
  </r>
  <r>
    <n v="17"/>
    <x v="16"/>
    <s v="Белова"/>
    <s v="Софья "/>
    <s v="Петровна"/>
    <x v="3"/>
    <d v="1971-07-12T00:00:00"/>
    <s v="менеджер"/>
    <d v="2002-01-10T00:00:00"/>
    <m/>
    <x v="1"/>
    <n v="2"/>
    <n v="1800"/>
    <n v="19"/>
  </r>
  <r>
    <n v="18"/>
    <x v="17"/>
    <s v="Чернова"/>
    <s v="Зоя"/>
    <s v="Богдановна"/>
    <x v="2"/>
    <d v="1971-09-30T00:00:00"/>
    <s v="начальник"/>
    <d v="2012-04-10T00:00:00"/>
    <m/>
    <x v="1"/>
    <n v="2"/>
    <n v="3200"/>
    <n v="9"/>
  </r>
  <r>
    <n v="19"/>
    <x v="18"/>
    <s v="Родионов"/>
    <s v="Андрей"/>
    <s v="Вадимович"/>
    <x v="0"/>
    <d v="1971-12-19T00:00:00"/>
    <s v="экономист"/>
    <d v="2002-07-10T00:00:00"/>
    <d v="2013-01-30T00:00:00"/>
    <x v="0"/>
    <n v="0"/>
    <n v="2000"/>
    <n v="19"/>
  </r>
  <r>
    <n v="20"/>
    <x v="19"/>
    <s v="Хрустов"/>
    <s v="Юрий"/>
    <s v="Юрьевич"/>
    <x v="0"/>
    <d v="1972-11-01T00:00:00"/>
    <s v="экономист"/>
    <d v="2015-10-10T00:00:00"/>
    <m/>
    <x v="0"/>
    <n v="0"/>
    <n v="20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Подразделение" colHeaderCaption="Пол сотрудников">
  <location ref="A3:D9" firstHeaderRow="1" firstDataRow="2" firstDataCol="1"/>
  <pivotFields count="14">
    <pivotField showAll="0"/>
    <pivotField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сотрудников" fld="1" subtotal="count" baseField="0" baseItem="0"/>
  </dataFields>
  <formats count="2">
    <format dxfId="58">
      <pivotArea dataOnly="0" labelOnly="1" fieldPosition="0">
        <references count="1">
          <reference field="10" count="0"/>
        </references>
      </pivotArea>
    </format>
    <format dxfId="57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ТСреднийОклад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Подразделения">
  <location ref="A3:B8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редний Оклад" fld="12" subtotal="average" baseField="0" baseItem="0" numFmtId="3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ТСрОкладПоПолу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Среднее по полю Оклад" fld="12" subtotal="average" baseField="0" baseItem="0" numFmtId="3"/>
  </dataFields>
  <formats count="2">
    <format dxfId="55">
      <pivotArea outline="0" collapsedLevelsAreSubtotals="1" fieldPosition="0"/>
    </format>
    <format dxfId="54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КолвоСотрудников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Подразделение">
  <location ref="A3:B8" firstHeaderRow="1" firstDataRow="1" firstDataCol="1"/>
  <pivotFields count="14">
    <pivotField showAll="0"/>
    <pivotField dataField="1"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сотрудников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ТКолИждивенцев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Подразделение">
  <location ref="A3:B8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Итоговое Кол-во иждивенцев" fld="11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Месяц">
  <location ref="A3:B14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ичество именинников" fld="1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УчетПерсонала" displayName="УчетПерсонала" ref="A1:N21" totalsRowShown="0" headerRowDxfId="113" headerRowBorderDxfId="112" tableBorderDxfId="111" totalsRowBorderDxfId="110">
  <autoFilter ref="A1:N21"/>
  <tableColumns count="14">
    <tableColumn id="1" name="№пп" dataDxfId="109"/>
    <tableColumn id="2" name="Таб. номер" dataDxfId="108"/>
    <tableColumn id="3" name="Фамилия" dataDxfId="107"/>
    <tableColumn id="4" name=" Имя" dataDxfId="106"/>
    <tableColumn id="5" name="Отчество" dataDxfId="105"/>
    <tableColumn id="6" name="Отдел" dataDxfId="104"/>
    <tableColumn id="7" name="Дата рождения" dataDxfId="103"/>
    <tableColumn id="8" name="Должность" dataDxfId="102"/>
    <tableColumn id="9" name="Дата приема на работу" dataDxfId="101"/>
    <tableColumn id="10" name="Дата увольнения" dataDxfId="100"/>
    <tableColumn id="11" name="Пол" dataDxfId="99"/>
    <tableColumn id="12" name="Кол-во иждивенцев" dataDxfId="98"/>
    <tableColumn id="13" name="Оклад" dataDxfId="97">
      <calculatedColumnFormula>HLOOKUP(УчетПерсонала[[#This Row],[Отдел]],ДолжностныеОклады,MATCH(УчетПерсонала[[#This Row],[Должность]],'Справочные данные'!C$2:C$7,0),0)</calculatedColumnFormula>
    </tableColumn>
    <tableColumn id="14" name="Стаж" dataDxfId="96">
      <calculatedColumnFormula>ROUNDDOWN(YEARFRAC(УчетПерсонала[[#This Row],[Дата приема на работу]],TODAY()),0)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БаллыРабПериод" displayName="БаллыРабПериод" ref="A1:B7" totalsRowShown="0" headerRowDxfId="95" headerRowBorderDxfId="94" tableBorderDxfId="93" totalsRowBorderDxfId="92">
  <autoFilter ref="A1:B7"/>
  <tableColumns count="2">
    <tableColumn id="1" name="Таб. номер" dataDxfId="91"/>
    <tableColumn id="2" name="Баллы" dataDxfId="9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Таблица8" displayName="Таблица8" ref="C2:G7" totalsRowShown="0" headerRowDxfId="89" dataDxfId="87" headerRowBorderDxfId="88" tableBorderDxfId="86" totalsRowBorderDxfId="85" dataCellStyle="Денежный">
  <autoFilter ref="C2:G7"/>
  <tableColumns count="5">
    <tableColumn id="1" name="Должность" dataDxfId="84"/>
    <tableColumn id="2" name="Плановый" dataDxfId="83" dataCellStyle="Денежный"/>
    <tableColumn id="3" name="Снабжения" dataDxfId="82" dataCellStyle="Денежный"/>
    <tableColumn id="4" name="Бухгалтерия" dataDxfId="81" dataCellStyle="Денежный"/>
    <tableColumn id="5" name="Маркетинга" dataDxfId="80" dataCellStyle="Денежный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10" name="ПремПроцент" displayName="ПремПроцент" ref="I2:J6" totalsRowShown="0" headerRowDxfId="79" headerRowBorderDxfId="78" tableBorderDxfId="77" totalsRowBorderDxfId="76">
  <autoFilter ref="I2:J6"/>
  <tableColumns count="2">
    <tableColumn id="1" name="Диапазон баллов" dataDxfId="75"/>
    <tableColumn id="2" name="Процент" dataDxfId="7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1" name="Таблица11" displayName="Таблица11" ref="A2:A6" totalsRowShown="0" headerRowDxfId="73" headerRowBorderDxfId="72" tableBorderDxfId="71" totalsRowBorderDxfId="70">
  <autoFilter ref="A2:A6"/>
  <tableColumns count="1">
    <tableColumn id="1" name="Подразделения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2" name="Вознаграждение" displayName="Вознаграждение" ref="A1:E17" totalsRowShown="0" headerRowDxfId="67" headerRowBorderDxfId="66" tableBorderDxfId="65" totalsRowBorderDxfId="64">
  <autoFilter ref="A1:E17"/>
  <tableColumns count="5">
    <tableColumn id="1" name="Таб№" dataDxfId="63"/>
    <tableColumn id="2" name="Оклад" dataDxfId="62">
      <calculatedColumnFormula>VLOOKUP(A2,УчетПерсонала[[Таб. номер]:[Стаж]],12,1)</calculatedColumnFormula>
    </tableColumn>
    <tableColumn id="3" name="Премия по итогам рабочего периода" dataDxfId="61">
      <calculatedColumnFormula>Вознаграждение!$B2*VLOOKUP(IFERROR(VLOOKUP(Вознаграждение!$A2,БаллыРабПериод[],2,0),0),ПремиальныйПроцент,2,1)</calculatedColumnFormula>
    </tableColumn>
    <tableColumn id="4" name="Доплата за стаж" dataDxfId="60">
      <calculatedColumnFormula>IF(VLOOKUP(A2,УчетПерсонала[[Таб. номер]:[Стаж]],13,0)&gt;$H$2,$J$2+VLOOKUP(A2,УчетПерсонала[[Таб. номер]:[Стаж]],13,0)*Вознаграждение!$I$2,VLOOKUP(A2,УчетПерсонала[[Таб. номер]:[Стаж]],13,0)*Вознаграждение!$I$2)</calculatedColumnFormula>
    </tableColumn>
    <tableColumn id="5" name="СуммаИтого" dataDxfId="59">
      <calculatedColumnFormula>SUM(B2:D2)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Таблица14" displayName="Таблица14" ref="A17:N37" totalsRowShown="0" headerRowDxfId="53" headerRowBorderDxfId="52" tableBorderDxfId="51" totalsRowBorderDxfId="50">
  <autoFilter ref="A17:N37">
    <filterColumn colId="7">
      <filters>
        <filter val="секретарь"/>
      </filters>
    </filterColumn>
    <filterColumn colId="9">
      <customFilters>
        <customFilter operator="notEqual" val=" "/>
      </customFilters>
    </filterColumn>
  </autoFilter>
  <tableColumns count="14">
    <tableColumn id="1" name="№пп" dataDxfId="49"/>
    <tableColumn id="2" name="Таб. номер" dataDxfId="48"/>
    <tableColumn id="3" name="Фамилия" dataDxfId="47"/>
    <tableColumn id="4" name=" Имя" dataDxfId="46"/>
    <tableColumn id="5" name="Отчество" dataDxfId="45"/>
    <tableColumn id="6" name="Отдел" dataDxfId="44"/>
    <tableColumn id="7" name="Дата рождения" dataDxfId="43"/>
    <tableColumn id="8" name="Должность" dataDxfId="42"/>
    <tableColumn id="9" name="Дата приема на работу" dataDxfId="41"/>
    <tableColumn id="10" name="Дата увольнения" dataDxfId="40"/>
    <tableColumn id="11" name="Пол" dataDxfId="39"/>
    <tableColumn id="12" name="Кол-во иждивенцев" dataDxfId="38"/>
    <tableColumn id="13" name="Оклад" dataDxfId="37">
      <calculatedColumnFormula>HLOOKUP(Таблица14[[#This Row],[Отдел]],ДолжностныеОклады,MATCH(Таблица14[[#This Row],[Должность]],'Справочные данные'!C$2:C$7,0),0)</calculatedColumnFormula>
    </tableColumn>
    <tableColumn id="14" name="Стаж" dataDxfId="36">
      <calculatedColumnFormula>ROUNDDOWN(YEARFRAC(Таблица14[[#This Row],[Дата приема на работу]],TODAY()),0)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4" name="Таблица15" displayName="Таблица15" ref="A22:N42" totalsRowShown="0" headerRowDxfId="35" headerRowBorderDxfId="34" tableBorderDxfId="33" totalsRowBorderDxfId="32">
  <autoFilter ref="A22:N42">
    <filterColumn colId="6">
      <filters>
        <dateGroupItem year="1971" dateTimeGrouping="year"/>
      </filters>
    </filterColumn>
  </autoFilter>
  <tableColumns count="14">
    <tableColumn id="1" name="№пп" dataDxfId="31"/>
    <tableColumn id="2" name="Таб. номер" dataDxfId="30"/>
    <tableColumn id="3" name="Фамилия" dataDxfId="29"/>
    <tableColumn id="4" name=" Имя" dataDxfId="28"/>
    <tableColumn id="5" name="Отчество" dataDxfId="27"/>
    <tableColumn id="6" name="Отдел" dataDxfId="26"/>
    <tableColumn id="7" name="Дата рождения" dataDxfId="25"/>
    <tableColumn id="8" name="Должность" dataDxfId="24"/>
    <tableColumn id="9" name="Дата приема на работу" dataDxfId="23"/>
    <tableColumn id="10" name="Дата увольнения" dataDxfId="22"/>
    <tableColumn id="11" name="Пол" dataDxfId="21"/>
    <tableColumn id="12" name="Кол-во иждивенцев" dataDxfId="20"/>
    <tableColumn id="13" name="Оклад" dataDxfId="19">
      <calculatedColumnFormula>HLOOKUP(Таблица15[[#This Row],[Отдел]],ДолжностныеОклады,MATCH(Таблица15[[#This Row],[Должность]],'Справочные данные'!C$2:C$7,0),0)</calculatedColumnFormula>
    </tableColumn>
    <tableColumn id="14" name="Стаж" dataDxfId="18">
      <calculatedColumnFormula>ROUNDDOWN(YEARFRAC(Таблица15[[#This Row],[Дата приема на работу]],TODAY()),0)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Таблица16" displayName="Таблица16" ref="A24:N44" totalsRowShown="0" headerRowDxfId="17" headerRowBorderDxfId="16" tableBorderDxfId="15" totalsRowBorderDxfId="14">
  <autoFilter ref="A24:N44">
    <filterColumn colId="12">
      <dynamicFilter type="belowAverage"/>
    </filterColumn>
  </autoFilter>
  <tableColumns count="14">
    <tableColumn id="1" name="№пп" dataDxfId="13"/>
    <tableColumn id="2" name="Таб. номер" dataDxfId="12"/>
    <tableColumn id="3" name="Фамилия" dataDxfId="11"/>
    <tableColumn id="4" name=" Имя" dataDxfId="10"/>
    <tableColumn id="5" name="Отчество" dataDxfId="9"/>
    <tableColumn id="6" name="Отдел" dataDxfId="8"/>
    <tableColumn id="7" name="Дата рождения" dataDxfId="7"/>
    <tableColumn id="8" name="Должность" dataDxfId="6"/>
    <tableColumn id="9" name="Дата приема на работу" dataDxfId="5"/>
    <tableColumn id="10" name="Дата увольнения" dataDxfId="4"/>
    <tableColumn id="11" name="Пол" dataDxfId="3"/>
    <tableColumn id="12" name="Кол-во иждивенцев" dataDxfId="2"/>
    <tableColumn id="13" name="Оклад" dataDxfId="1">
      <calculatedColumnFormula>HLOOKUP(Таблица16[[#This Row],[Отдел]],ДолжностныеОклады,MATCH(Таблица16[[#This Row],[Должность]],'Справочные данные'!C$2:C$7,0),0)</calculatedColumnFormula>
    </tableColumn>
    <tableColumn id="14" name="Стаж" dataDxfId="0">
      <calculatedColumnFormula>ROUNDDOWN(YEARFRAC(Таблица16[[#This Row],[Дата приема на работу]],TODAY()),0)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39"/>
  <sheetViews>
    <sheetView tabSelected="1" workbookViewId="0">
      <selection activeCell="C16" sqref="C16"/>
    </sheetView>
  </sheetViews>
  <sheetFormatPr defaultRowHeight="12.75"/>
  <cols>
    <col min="1" max="1" width="127" style="7" customWidth="1"/>
  </cols>
  <sheetData>
    <row r="1" spans="1:1">
      <c r="A1" s="8" t="s">
        <v>105</v>
      </c>
    </row>
    <row r="3" spans="1:1">
      <c r="A3" s="7" t="s">
        <v>106</v>
      </c>
    </row>
    <row r="4" spans="1:1" ht="38.25">
      <c r="A4" s="7" t="s">
        <v>107</v>
      </c>
    </row>
    <row r="6" spans="1:1" ht="38.25">
      <c r="A6" s="7" t="s">
        <v>108</v>
      </c>
    </row>
    <row r="8" spans="1:1" ht="25.5">
      <c r="A8" s="7" t="s">
        <v>109</v>
      </c>
    </row>
    <row r="10" spans="1:1" ht="25.5">
      <c r="A10" s="7" t="s">
        <v>110</v>
      </c>
    </row>
    <row r="12" spans="1:1">
      <c r="A12" s="7" t="s">
        <v>111</v>
      </c>
    </row>
    <row r="14" spans="1:1" ht="25.5">
      <c r="A14" s="7" t="s">
        <v>112</v>
      </c>
    </row>
    <row r="16" spans="1:1">
      <c r="A16" s="7" t="s">
        <v>113</v>
      </c>
    </row>
    <row r="18" spans="1:1">
      <c r="A18" s="8" t="s">
        <v>114</v>
      </c>
    </row>
    <row r="20" spans="1:1" s="52" customFormat="1">
      <c r="A20" s="51" t="s">
        <v>115</v>
      </c>
    </row>
    <row r="21" spans="1:1" s="52" customFormat="1" ht="25.5">
      <c r="A21" s="51" t="s">
        <v>116</v>
      </c>
    </row>
    <row r="22" spans="1:1" s="52" customFormat="1">
      <c r="A22" s="51" t="s">
        <v>117</v>
      </c>
    </row>
    <row r="23" spans="1:1" s="52" customFormat="1" ht="38.25">
      <c r="A23" s="51" t="s">
        <v>118</v>
      </c>
    </row>
    <row r="24" spans="1:1" s="52" customFormat="1">
      <c r="A24" s="51"/>
    </row>
    <row r="25" spans="1:1" s="52" customFormat="1">
      <c r="A25" s="51"/>
    </row>
    <row r="26" spans="1:1" s="52" customFormat="1">
      <c r="A26" s="53" t="s">
        <v>119</v>
      </c>
    </row>
    <row r="27" spans="1:1" s="52" customFormat="1">
      <c r="A27" s="51"/>
    </row>
    <row r="28" spans="1:1" s="52" customFormat="1">
      <c r="A28" s="51" t="s">
        <v>120</v>
      </c>
    </row>
    <row r="29" spans="1:1" s="52" customFormat="1">
      <c r="A29" s="51" t="s">
        <v>121</v>
      </c>
    </row>
    <row r="30" spans="1:1" s="52" customFormat="1">
      <c r="A30" s="51" t="s">
        <v>122</v>
      </c>
    </row>
    <row r="31" spans="1:1" s="52" customFormat="1">
      <c r="A31" s="51" t="s">
        <v>123</v>
      </c>
    </row>
    <row r="32" spans="1:1" s="52" customFormat="1">
      <c r="A32" s="51" t="s">
        <v>124</v>
      </c>
    </row>
    <row r="33" spans="1:1" s="52" customFormat="1">
      <c r="A33" s="51" t="s">
        <v>125</v>
      </c>
    </row>
    <row r="34" spans="1:1" s="52" customFormat="1">
      <c r="A34" s="51" t="s">
        <v>126</v>
      </c>
    </row>
    <row r="35" spans="1:1" s="52" customFormat="1">
      <c r="A35" s="51" t="s">
        <v>127</v>
      </c>
    </row>
    <row r="36" spans="1:1" s="52" customFormat="1">
      <c r="A36" s="51" t="s">
        <v>128</v>
      </c>
    </row>
    <row r="37" spans="1:1" s="52" customFormat="1" ht="25.5">
      <c r="A37" s="51" t="s">
        <v>129</v>
      </c>
    </row>
    <row r="39" spans="1:1">
      <c r="A39" s="8"/>
    </row>
  </sheetData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4" sqref="B4"/>
    </sheetView>
  </sheetViews>
  <sheetFormatPr defaultRowHeight="12.75"/>
  <cols>
    <col min="1" max="1" width="20.7109375" customWidth="1"/>
    <col min="2" max="2" width="32.140625" bestFit="1" customWidth="1"/>
  </cols>
  <sheetData>
    <row r="1" spans="1:2">
      <c r="A1" s="38" t="s">
        <v>163</v>
      </c>
    </row>
    <row r="3" spans="1:2">
      <c r="A3" s="22" t="s">
        <v>174</v>
      </c>
      <c r="B3" t="s">
        <v>175</v>
      </c>
    </row>
    <row r="4" spans="1:2">
      <c r="A4" s="23" t="s">
        <v>87</v>
      </c>
      <c r="B4" s="24">
        <v>5</v>
      </c>
    </row>
    <row r="5" spans="1:2">
      <c r="A5" s="23" t="s">
        <v>88</v>
      </c>
      <c r="B5" s="24">
        <v>5</v>
      </c>
    </row>
    <row r="6" spans="1:2">
      <c r="A6" s="23" t="s">
        <v>85</v>
      </c>
      <c r="B6" s="24">
        <v>7</v>
      </c>
    </row>
    <row r="7" spans="1:2">
      <c r="A7" s="23" t="s">
        <v>86</v>
      </c>
      <c r="B7" s="24">
        <v>3</v>
      </c>
    </row>
    <row r="8" spans="1:2">
      <c r="A8" s="23" t="s">
        <v>134</v>
      </c>
      <c r="B8" s="2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4" sqref="B4"/>
    </sheetView>
  </sheetViews>
  <sheetFormatPr defaultRowHeight="12.75"/>
  <cols>
    <col min="1" max="1" width="18.28515625" bestFit="1" customWidth="1"/>
    <col min="2" max="2" width="29.28515625" customWidth="1"/>
  </cols>
  <sheetData>
    <row r="1" spans="1:2">
      <c r="A1" s="38" t="s">
        <v>169</v>
      </c>
    </row>
    <row r="3" spans="1:2">
      <c r="A3" s="22" t="s">
        <v>174</v>
      </c>
      <c r="B3" t="s">
        <v>176</v>
      </c>
    </row>
    <row r="4" spans="1:2">
      <c r="A4" s="23" t="s">
        <v>87</v>
      </c>
      <c r="B4" s="24">
        <v>6</v>
      </c>
    </row>
    <row r="5" spans="1:2">
      <c r="A5" s="23" t="s">
        <v>88</v>
      </c>
      <c r="B5" s="24">
        <v>14</v>
      </c>
    </row>
    <row r="6" spans="1:2">
      <c r="A6" s="23" t="s">
        <v>85</v>
      </c>
      <c r="B6" s="24">
        <v>6</v>
      </c>
    </row>
    <row r="7" spans="1:2">
      <c r="A7" s="23" t="s">
        <v>86</v>
      </c>
      <c r="B7" s="24">
        <v>3</v>
      </c>
    </row>
    <row r="8" spans="1:2">
      <c r="A8" s="23" t="s">
        <v>134</v>
      </c>
      <c r="B8" s="24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A5" sqref="A5"/>
    </sheetView>
  </sheetViews>
  <sheetFormatPr defaultRowHeight="12.75"/>
  <cols>
    <col min="1" max="1" width="14" customWidth="1"/>
    <col min="4" max="4" width="13" customWidth="1"/>
    <col min="5" max="5" width="14.7109375" customWidth="1"/>
    <col min="6" max="6" width="14.140625" customWidth="1"/>
    <col min="7" max="7" width="13" customWidth="1"/>
    <col min="8" max="8" width="12.42578125" customWidth="1"/>
    <col min="9" max="9" width="12.140625" customWidth="1"/>
    <col min="10" max="10" width="12.5703125" customWidth="1"/>
  </cols>
  <sheetData>
    <row r="1" spans="1:14">
      <c r="A1" s="38" t="s">
        <v>165</v>
      </c>
    </row>
    <row r="3" spans="1:14">
      <c r="A3" t="s">
        <v>168</v>
      </c>
    </row>
    <row r="4" spans="1:14">
      <c r="A4" s="38" t="s">
        <v>148</v>
      </c>
      <c r="B4" s="39" t="s">
        <v>149</v>
      </c>
    </row>
    <row r="5" spans="1:14">
      <c r="A5" t="b">
        <f>EXACT('Учет персонала'!H2,"секретарь")</f>
        <v>0</v>
      </c>
      <c r="B5" t="b">
        <f>NOT(ISBLANK('Учет персонала'!J2))</f>
        <v>0</v>
      </c>
    </row>
    <row r="7" spans="1:14" ht="38.25">
      <c r="A7" s="40" t="s">
        <v>0</v>
      </c>
      <c r="B7" s="40" t="s">
        <v>1</v>
      </c>
      <c r="C7" s="40" t="s">
        <v>2</v>
      </c>
      <c r="D7" s="40" t="s">
        <v>3</v>
      </c>
      <c r="E7" s="40" t="s">
        <v>4</v>
      </c>
      <c r="F7" s="40" t="s">
        <v>5</v>
      </c>
      <c r="G7" s="40" t="s">
        <v>144</v>
      </c>
      <c r="H7" s="40" t="s">
        <v>6</v>
      </c>
      <c r="I7" s="40" t="s">
        <v>7</v>
      </c>
      <c r="J7" s="40" t="s">
        <v>137</v>
      </c>
      <c r="K7" s="40" t="s">
        <v>8</v>
      </c>
      <c r="L7" s="40" t="s">
        <v>9</v>
      </c>
      <c r="M7" s="40" t="s">
        <v>10</v>
      </c>
      <c r="N7" s="40" t="s">
        <v>100</v>
      </c>
    </row>
    <row r="8" spans="1:14">
      <c r="A8" s="41">
        <v>9</v>
      </c>
      <c r="B8" s="41">
        <v>45564</v>
      </c>
      <c r="C8" s="42" t="s">
        <v>39</v>
      </c>
      <c r="D8" s="42" t="s">
        <v>40</v>
      </c>
      <c r="E8" s="42" t="s">
        <v>41</v>
      </c>
      <c r="F8" s="42" t="s">
        <v>85</v>
      </c>
      <c r="G8" s="43">
        <v>26286</v>
      </c>
      <c r="H8" s="42" t="s">
        <v>94</v>
      </c>
      <c r="I8" s="43">
        <v>36535</v>
      </c>
      <c r="J8" s="43">
        <v>37246</v>
      </c>
      <c r="K8" s="42" t="s">
        <v>42</v>
      </c>
      <c r="L8" s="42">
        <v>1</v>
      </c>
      <c r="M8" s="41">
        <v>1000</v>
      </c>
      <c r="N8" s="41">
        <v>21</v>
      </c>
    </row>
    <row r="9" spans="1:14">
      <c r="A9" s="41">
        <v>11</v>
      </c>
      <c r="B9" s="41">
        <v>56565</v>
      </c>
      <c r="C9" s="42" t="s">
        <v>48</v>
      </c>
      <c r="D9" s="42" t="s">
        <v>49</v>
      </c>
      <c r="E9" s="42" t="s">
        <v>50</v>
      </c>
      <c r="F9" s="42" t="s">
        <v>88</v>
      </c>
      <c r="G9" s="43">
        <v>20806</v>
      </c>
      <c r="H9" s="42" t="s">
        <v>94</v>
      </c>
      <c r="I9" s="43">
        <v>36717</v>
      </c>
      <c r="J9" s="43">
        <v>37967</v>
      </c>
      <c r="K9" s="42" t="s">
        <v>42</v>
      </c>
      <c r="L9" s="42">
        <v>1</v>
      </c>
      <c r="M9" s="41">
        <v>1300</v>
      </c>
      <c r="N9" s="41">
        <v>21</v>
      </c>
    </row>
    <row r="14" spans="1:14">
      <c r="A14" s="38" t="s">
        <v>165</v>
      </c>
    </row>
    <row r="15" spans="1:14">
      <c r="A15" t="s">
        <v>166</v>
      </c>
    </row>
    <row r="17" spans="1:14" ht="38.25">
      <c r="A17" s="9" t="s">
        <v>0</v>
      </c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  <c r="G17" s="10" t="s">
        <v>144</v>
      </c>
      <c r="H17" s="10" t="s">
        <v>6</v>
      </c>
      <c r="I17" s="10" t="s">
        <v>7</v>
      </c>
      <c r="J17" s="10" t="s">
        <v>137</v>
      </c>
      <c r="K17" s="10" t="s">
        <v>8</v>
      </c>
      <c r="L17" s="10" t="s">
        <v>9</v>
      </c>
      <c r="M17" s="10" t="s">
        <v>10</v>
      </c>
      <c r="N17" s="11" t="s">
        <v>100</v>
      </c>
    </row>
    <row r="18" spans="1:14" hidden="1">
      <c r="A18" s="15">
        <v>1</v>
      </c>
      <c r="B18" s="2" t="s">
        <v>11</v>
      </c>
      <c r="C18" s="1" t="s">
        <v>12</v>
      </c>
      <c r="D18" s="1" t="s">
        <v>13</v>
      </c>
      <c r="E18" s="1" t="s">
        <v>14</v>
      </c>
      <c r="F18" s="1" t="s">
        <v>85</v>
      </c>
      <c r="G18" s="3">
        <v>19295</v>
      </c>
      <c r="H18" s="1" t="s">
        <v>93</v>
      </c>
      <c r="I18" s="3">
        <v>39457</v>
      </c>
      <c r="J18" s="1"/>
      <c r="K18" s="1" t="s">
        <v>15</v>
      </c>
      <c r="L18" s="1">
        <v>2</v>
      </c>
      <c r="M18" s="16">
        <f>HLOOKUP(Таблица14[[#This Row],[Отдел]],ДолжностныеОклады,MATCH(Таблица14[[#This Row],[Должность]],'Справочные данные'!C$2:C$7,0),0)</f>
        <v>3000</v>
      </c>
      <c r="N18" s="18">
        <f ca="1">ROUNDDOWN(YEARFRAC(Таблица14[[#This Row],[Дата приема на работу]],TODAY()),0)</f>
        <v>13</v>
      </c>
    </row>
    <row r="19" spans="1:14" hidden="1">
      <c r="A19" s="15">
        <v>2</v>
      </c>
      <c r="B19" s="2" t="s">
        <v>16</v>
      </c>
      <c r="C19" s="1" t="s">
        <v>17</v>
      </c>
      <c r="D19" s="1" t="s">
        <v>13</v>
      </c>
      <c r="E19" s="1" t="s">
        <v>18</v>
      </c>
      <c r="F19" s="1" t="s">
        <v>86</v>
      </c>
      <c r="G19" s="3">
        <v>12805</v>
      </c>
      <c r="H19" s="1" t="s">
        <v>94</v>
      </c>
      <c r="I19" s="3">
        <v>40278</v>
      </c>
      <c r="J19" s="1"/>
      <c r="K19" s="1" t="s">
        <v>15</v>
      </c>
      <c r="L19" s="1">
        <v>1</v>
      </c>
      <c r="M19" s="16">
        <f>HLOOKUP(Таблица14[[#This Row],[Отдел]],ДолжностныеОклады,MATCH(Таблица14[[#This Row],[Должность]],'Справочные данные'!C$2:C$7,0),0)</f>
        <v>1100</v>
      </c>
      <c r="N19" s="18">
        <f ca="1">ROUNDDOWN(YEARFRAC(Таблица14[[#This Row],[Дата приема на работу]],TODAY()),0)</f>
        <v>11</v>
      </c>
    </row>
    <row r="20" spans="1:14" hidden="1">
      <c r="A20" s="15">
        <v>3</v>
      </c>
      <c r="B20" s="2" t="s">
        <v>19</v>
      </c>
      <c r="C20" s="1" t="s">
        <v>20</v>
      </c>
      <c r="D20" s="1" t="s">
        <v>21</v>
      </c>
      <c r="E20" s="1" t="s">
        <v>18</v>
      </c>
      <c r="F20" s="1" t="s">
        <v>87</v>
      </c>
      <c r="G20" s="3">
        <v>33111</v>
      </c>
      <c r="H20" s="1" t="s">
        <v>91</v>
      </c>
      <c r="I20" s="3">
        <v>40745</v>
      </c>
      <c r="J20" s="1"/>
      <c r="K20" s="1" t="s">
        <v>15</v>
      </c>
      <c r="L20" s="1">
        <v>2</v>
      </c>
      <c r="M20" s="16">
        <f>HLOOKUP(Таблица14[[#This Row],[Отдел]],ДолжностныеОклады,MATCH(Таблица14[[#This Row],[Должность]],'Справочные данные'!C$2:C$7,0),0)</f>
        <v>2200</v>
      </c>
      <c r="N20" s="18">
        <f ca="1">ROUNDDOWN(YEARFRAC(Таблица14[[#This Row],[Дата приема на работу]],TODAY()),0)</f>
        <v>10</v>
      </c>
    </row>
    <row r="21" spans="1:14" hidden="1">
      <c r="A21" s="15">
        <v>4</v>
      </c>
      <c r="B21" s="2" t="s">
        <v>22</v>
      </c>
      <c r="C21" s="1" t="s">
        <v>23</v>
      </c>
      <c r="D21" s="1" t="s">
        <v>21</v>
      </c>
      <c r="E21" s="1" t="s">
        <v>14</v>
      </c>
      <c r="F21" s="1" t="s">
        <v>85</v>
      </c>
      <c r="G21" s="3">
        <v>25886</v>
      </c>
      <c r="H21" s="1" t="s">
        <v>94</v>
      </c>
      <c r="I21" s="3">
        <v>39731</v>
      </c>
      <c r="J21" s="1"/>
      <c r="K21" s="1" t="s">
        <v>15</v>
      </c>
      <c r="L21" s="1">
        <v>1</v>
      </c>
      <c r="M21" s="16">
        <f>HLOOKUP(Таблица14[[#This Row],[Отдел]],ДолжностныеОклады,MATCH(Таблица14[[#This Row],[Должность]],'Справочные данные'!C$2:C$7,0),0)</f>
        <v>1000</v>
      </c>
      <c r="N21" s="18">
        <f ca="1">ROUNDDOWN(YEARFRAC(Таблица14[[#This Row],[Дата приема на работу]],TODAY()),0)</f>
        <v>12</v>
      </c>
    </row>
    <row r="22" spans="1:14" hidden="1">
      <c r="A22" s="15">
        <v>5</v>
      </c>
      <c r="B22" s="2" t="s">
        <v>24</v>
      </c>
      <c r="C22" s="1" t="s">
        <v>25</v>
      </c>
      <c r="D22" s="1" t="s">
        <v>26</v>
      </c>
      <c r="E22" s="1" t="s">
        <v>27</v>
      </c>
      <c r="F22" s="1" t="s">
        <v>87</v>
      </c>
      <c r="G22" s="3">
        <v>25966</v>
      </c>
      <c r="H22" s="1" t="s">
        <v>93</v>
      </c>
      <c r="I22" s="3">
        <v>39823</v>
      </c>
      <c r="J22" s="3">
        <v>40826</v>
      </c>
      <c r="K22" s="1" t="s">
        <v>15</v>
      </c>
      <c r="L22" s="1">
        <v>0</v>
      </c>
      <c r="M22" s="16">
        <f>HLOOKUP(Таблица14[[#This Row],[Отдел]],ДолжностныеОклады,MATCH(Таблица14[[#This Row],[Должность]],'Справочные данные'!C$2:C$7,0),0)</f>
        <v>3200</v>
      </c>
      <c r="N22" s="18">
        <f ca="1">ROUNDDOWN(YEARFRAC(Таблица14[[#This Row],[Дата приема на работу]],TODAY()),0)</f>
        <v>12</v>
      </c>
    </row>
    <row r="23" spans="1:14" hidden="1">
      <c r="A23" s="15">
        <v>6</v>
      </c>
      <c r="B23" s="2" t="s">
        <v>28</v>
      </c>
      <c r="C23" s="1" t="s">
        <v>29</v>
      </c>
      <c r="D23" s="1" t="s">
        <v>30</v>
      </c>
      <c r="E23" s="1" t="s">
        <v>31</v>
      </c>
      <c r="F23" s="1" t="s">
        <v>88</v>
      </c>
      <c r="G23" s="3">
        <v>26238</v>
      </c>
      <c r="H23" s="1" t="s">
        <v>90</v>
      </c>
      <c r="I23" s="3">
        <v>39915</v>
      </c>
      <c r="J23" s="1"/>
      <c r="K23" s="1" t="s">
        <v>15</v>
      </c>
      <c r="L23" s="1">
        <v>5</v>
      </c>
      <c r="M23" s="16">
        <f>HLOOKUP(Таблица14[[#This Row],[Отдел]],ДолжностныеОклады,MATCH(Таблица14[[#This Row],[Должность]],'Справочные данные'!C$2:C$7,0),0)</f>
        <v>1800</v>
      </c>
      <c r="N23" s="18">
        <f ca="1">ROUNDDOWN(YEARFRAC(Таблица14[[#This Row],[Дата приема на работу]],TODAY()),0)</f>
        <v>12</v>
      </c>
    </row>
    <row r="24" spans="1:14" hidden="1">
      <c r="A24" s="15">
        <v>7</v>
      </c>
      <c r="B24" s="2" t="s">
        <v>32</v>
      </c>
      <c r="C24" s="1" t="s">
        <v>33</v>
      </c>
      <c r="D24" s="1" t="s">
        <v>34</v>
      </c>
      <c r="E24" s="1" t="s">
        <v>31</v>
      </c>
      <c r="F24" s="1" t="s">
        <v>88</v>
      </c>
      <c r="G24" s="3">
        <v>31240</v>
      </c>
      <c r="H24" s="1" t="s">
        <v>93</v>
      </c>
      <c r="I24" s="3">
        <v>38559</v>
      </c>
      <c r="J24" s="1"/>
      <c r="K24" s="1" t="s">
        <v>15</v>
      </c>
      <c r="L24" s="1">
        <v>1</v>
      </c>
      <c r="M24" s="16">
        <f>HLOOKUP(Таблица14[[#This Row],[Отдел]],ДолжностныеОклады,MATCH(Таблица14[[#This Row],[Должность]],'Справочные данные'!C$2:C$7,0),0)</f>
        <v>3300</v>
      </c>
      <c r="N24" s="18">
        <f ca="1">ROUNDDOWN(YEARFRAC(Таблица14[[#This Row],[Дата приема на работу]],TODAY()),0)</f>
        <v>16</v>
      </c>
    </row>
    <row r="25" spans="1:14" hidden="1">
      <c r="A25" s="15">
        <v>8</v>
      </c>
      <c r="B25" s="2" t="s">
        <v>35</v>
      </c>
      <c r="C25" s="1" t="s">
        <v>36</v>
      </c>
      <c r="D25" s="1" t="s">
        <v>26</v>
      </c>
      <c r="E25" s="1" t="s">
        <v>37</v>
      </c>
      <c r="F25" s="1" t="s">
        <v>85</v>
      </c>
      <c r="G25" s="3">
        <v>26206</v>
      </c>
      <c r="H25" s="1" t="s">
        <v>90</v>
      </c>
      <c r="I25" s="3">
        <v>40127</v>
      </c>
      <c r="J25" s="1"/>
      <c r="K25" s="1" t="s">
        <v>15</v>
      </c>
      <c r="L25" s="1">
        <v>1</v>
      </c>
      <c r="M25" s="16">
        <f>HLOOKUP(Таблица14[[#This Row],[Отдел]],ДолжностныеОклады,MATCH(Таблица14[[#This Row],[Должность]],'Справочные данные'!C$2:C$7,0),0)</f>
        <v>1500</v>
      </c>
      <c r="N25" s="18">
        <f ca="1">ROUNDDOWN(YEARFRAC(Таблица14[[#This Row],[Дата приема на работу]],TODAY()),0)</f>
        <v>11</v>
      </c>
    </row>
    <row r="26" spans="1:14">
      <c r="A26" s="15">
        <v>9</v>
      </c>
      <c r="B26" s="16">
        <v>45564</v>
      </c>
      <c r="C26" s="1" t="s">
        <v>39</v>
      </c>
      <c r="D26" s="1" t="s">
        <v>40</v>
      </c>
      <c r="E26" s="1" t="s">
        <v>41</v>
      </c>
      <c r="F26" s="1" t="s">
        <v>85</v>
      </c>
      <c r="G26" s="3">
        <v>26286</v>
      </c>
      <c r="H26" s="1" t="s">
        <v>94</v>
      </c>
      <c r="I26" s="3">
        <v>36535</v>
      </c>
      <c r="J26" s="3">
        <v>37246</v>
      </c>
      <c r="K26" s="1" t="s">
        <v>42</v>
      </c>
      <c r="L26" s="1">
        <v>1</v>
      </c>
      <c r="M26" s="16">
        <f>HLOOKUP(Таблица14[[#This Row],[Отдел]],ДолжностныеОклады,MATCH(Таблица14[[#This Row],[Должность]],'Справочные данные'!C$2:C$7,0),0)</f>
        <v>1000</v>
      </c>
      <c r="N26" s="18">
        <f ca="1">ROUNDDOWN(YEARFRAC(Таблица14[[#This Row],[Дата приема на работу]],TODAY()),0)</f>
        <v>21</v>
      </c>
    </row>
    <row r="27" spans="1:14" hidden="1">
      <c r="A27" s="15">
        <v>10</v>
      </c>
      <c r="B27" s="2" t="s">
        <v>43</v>
      </c>
      <c r="C27" s="1" t="s">
        <v>44</v>
      </c>
      <c r="D27" s="1" t="s">
        <v>45</v>
      </c>
      <c r="E27" s="1" t="s">
        <v>46</v>
      </c>
      <c r="F27" s="1" t="s">
        <v>86</v>
      </c>
      <c r="G27" s="3">
        <v>26366</v>
      </c>
      <c r="H27" s="1" t="s">
        <v>90</v>
      </c>
      <c r="I27" s="3">
        <v>36626</v>
      </c>
      <c r="J27" s="1"/>
      <c r="K27" s="1" t="s">
        <v>42</v>
      </c>
      <c r="L27" s="1">
        <v>1</v>
      </c>
      <c r="M27" s="16">
        <f>HLOOKUP(Таблица14[[#This Row],[Отдел]],ДолжностныеОклады,MATCH(Таблица14[[#This Row],[Должность]],'Справочные данные'!C$2:C$7,0),0)</f>
        <v>1600</v>
      </c>
      <c r="N27" s="18">
        <f ca="1">ROUNDDOWN(YEARFRAC(Таблица14[[#This Row],[Дата приема на работу]],TODAY()),0)</f>
        <v>21</v>
      </c>
    </row>
    <row r="28" spans="1:14">
      <c r="A28" s="15">
        <v>11</v>
      </c>
      <c r="B28" s="16">
        <v>56565</v>
      </c>
      <c r="C28" s="1" t="s">
        <v>48</v>
      </c>
      <c r="D28" s="1" t="s">
        <v>49</v>
      </c>
      <c r="E28" s="1" t="s">
        <v>50</v>
      </c>
      <c r="F28" s="1" t="s">
        <v>88</v>
      </c>
      <c r="G28" s="3">
        <v>20806</v>
      </c>
      <c r="H28" s="1" t="s">
        <v>94</v>
      </c>
      <c r="I28" s="3">
        <v>36717</v>
      </c>
      <c r="J28" s="3">
        <v>37967</v>
      </c>
      <c r="K28" s="1" t="s">
        <v>42</v>
      </c>
      <c r="L28" s="1">
        <v>1</v>
      </c>
      <c r="M28" s="16">
        <f>HLOOKUP(Таблица14[[#This Row],[Отдел]],ДолжностныеОклады,MATCH(Таблица14[[#This Row],[Должность]],'Справочные данные'!C$2:C$7,0),0)</f>
        <v>1300</v>
      </c>
      <c r="N28" s="18">
        <f ca="1">ROUNDDOWN(YEARFRAC(Таблица14[[#This Row],[Дата приема на работу]],TODAY()),0)</f>
        <v>21</v>
      </c>
    </row>
    <row r="29" spans="1:14" hidden="1">
      <c r="A29" s="15">
        <v>12</v>
      </c>
      <c r="B29" s="2" t="s">
        <v>51</v>
      </c>
      <c r="C29" s="1" t="s">
        <v>52</v>
      </c>
      <c r="D29" s="1" t="s">
        <v>53</v>
      </c>
      <c r="E29" s="1" t="s">
        <v>54</v>
      </c>
      <c r="F29" s="1" t="s">
        <v>87</v>
      </c>
      <c r="G29" s="3">
        <v>29241</v>
      </c>
      <c r="H29" s="1" t="s">
        <v>94</v>
      </c>
      <c r="I29" s="3">
        <v>35724</v>
      </c>
      <c r="J29" s="1"/>
      <c r="K29" s="1" t="s">
        <v>42</v>
      </c>
      <c r="L29" s="1">
        <v>1</v>
      </c>
      <c r="M29" s="16">
        <f>HLOOKUP(Таблица14[[#This Row],[Отдел]],ДолжностныеОклады,MATCH(Таблица14[[#This Row],[Должность]],'Справочные данные'!C$2:C$7,0),0)</f>
        <v>1200</v>
      </c>
      <c r="N29" s="18">
        <f ca="1">ROUNDDOWN(YEARFRAC(Таблица14[[#This Row],[Дата приема на работу]],TODAY()),0)</f>
        <v>23</v>
      </c>
    </row>
    <row r="30" spans="1:14" hidden="1">
      <c r="A30" s="15">
        <v>13</v>
      </c>
      <c r="B30" s="2" t="s">
        <v>55</v>
      </c>
      <c r="C30" s="1" t="s">
        <v>56</v>
      </c>
      <c r="D30" s="1" t="s">
        <v>57</v>
      </c>
      <c r="E30" s="1" t="s">
        <v>58</v>
      </c>
      <c r="F30" s="1" t="s">
        <v>86</v>
      </c>
      <c r="G30" s="3">
        <v>33111</v>
      </c>
      <c r="H30" s="1" t="s">
        <v>93</v>
      </c>
      <c r="I30" s="3">
        <v>40553</v>
      </c>
      <c r="J30" s="1"/>
      <c r="K30" s="1" t="s">
        <v>15</v>
      </c>
      <c r="L30" s="1">
        <v>1</v>
      </c>
      <c r="M30" s="16">
        <f>HLOOKUP(Таблица14[[#This Row],[Отдел]],ДолжностныеОклады,MATCH(Таблица14[[#This Row],[Должность]],'Справочные данные'!C$2:C$7,0),0)</f>
        <v>3100</v>
      </c>
      <c r="N30" s="18">
        <f ca="1">ROUNDDOWN(YEARFRAC(Таблица14[[#This Row],[Дата приема на работу]],TODAY()),0)</f>
        <v>10</v>
      </c>
    </row>
    <row r="31" spans="1:14" hidden="1">
      <c r="A31" s="15">
        <v>14</v>
      </c>
      <c r="B31" s="2" t="s">
        <v>59</v>
      </c>
      <c r="C31" s="1" t="s">
        <v>60</v>
      </c>
      <c r="D31" s="1" t="s">
        <v>13</v>
      </c>
      <c r="E31" s="1" t="s">
        <v>61</v>
      </c>
      <c r="F31" s="1" t="s">
        <v>87</v>
      </c>
      <c r="G31" s="3">
        <v>25886</v>
      </c>
      <c r="H31" s="1" t="s">
        <v>91</v>
      </c>
      <c r="I31" s="3">
        <v>37011</v>
      </c>
      <c r="J31" s="1"/>
      <c r="K31" s="1" t="s">
        <v>15</v>
      </c>
      <c r="L31" s="1">
        <v>1</v>
      </c>
      <c r="M31" s="16">
        <f>HLOOKUP(Таблица14[[#This Row],[Отдел]],ДолжностныеОклады,MATCH(Таблица14[[#This Row],[Должность]],'Справочные данные'!C$2:C$7,0),0)</f>
        <v>2200</v>
      </c>
      <c r="N31" s="18">
        <f ca="1">ROUNDDOWN(YEARFRAC(Таблица14[[#This Row],[Дата приема на работу]],TODAY()),0)</f>
        <v>20</v>
      </c>
    </row>
    <row r="32" spans="1:14" hidden="1">
      <c r="A32" s="15">
        <v>15</v>
      </c>
      <c r="B32" s="2" t="s">
        <v>62</v>
      </c>
      <c r="C32" s="1" t="s">
        <v>63</v>
      </c>
      <c r="D32" s="1" t="s">
        <v>64</v>
      </c>
      <c r="E32" s="1" t="s">
        <v>65</v>
      </c>
      <c r="F32" s="1" t="s">
        <v>88</v>
      </c>
      <c r="G32" s="3">
        <v>25966</v>
      </c>
      <c r="H32" s="1" t="s">
        <v>92</v>
      </c>
      <c r="I32" s="3">
        <v>37082</v>
      </c>
      <c r="J32" s="1"/>
      <c r="K32" s="1" t="s">
        <v>15</v>
      </c>
      <c r="L32" s="1">
        <v>5</v>
      </c>
      <c r="M32" s="16">
        <f>HLOOKUP(Таблица14[[#This Row],[Отдел]],ДолжностныеОклады,MATCH(Таблица14[[#This Row],[Должность]],'Справочные данные'!C$2:C$7,0),0)</f>
        <v>2800</v>
      </c>
      <c r="N32" s="18">
        <f ca="1">ROUNDDOWN(YEARFRAC(Таблица14[[#This Row],[Дата приема на работу]],TODAY()),0)</f>
        <v>20</v>
      </c>
    </row>
    <row r="33" spans="1:14" hidden="1">
      <c r="A33" s="15">
        <v>16</v>
      </c>
      <c r="B33" s="2" t="s">
        <v>66</v>
      </c>
      <c r="C33" s="1" t="s">
        <v>67</v>
      </c>
      <c r="D33" s="1" t="s">
        <v>68</v>
      </c>
      <c r="E33" s="1" t="s">
        <v>69</v>
      </c>
      <c r="F33" s="1" t="s">
        <v>85</v>
      </c>
      <c r="G33" s="3">
        <v>26046</v>
      </c>
      <c r="H33" s="1" t="s">
        <v>91</v>
      </c>
      <c r="I33" s="3">
        <v>37177</v>
      </c>
      <c r="J33" s="1"/>
      <c r="K33" s="1" t="s">
        <v>15</v>
      </c>
      <c r="L33" s="1">
        <v>1</v>
      </c>
      <c r="M33" s="16">
        <f>HLOOKUP(Таблица14[[#This Row],[Отдел]],ДолжностныеОклады,MATCH(Таблица14[[#This Row],[Должность]],'Справочные данные'!C$2:C$7,0),0)</f>
        <v>2000</v>
      </c>
      <c r="N33" s="18">
        <f ca="1">ROUNDDOWN(YEARFRAC(Таблица14[[#This Row],[Дата приема на работу]],TODAY()),0)</f>
        <v>19</v>
      </c>
    </row>
    <row r="34" spans="1:14" hidden="1">
      <c r="A34" s="15">
        <v>17</v>
      </c>
      <c r="B34" s="2" t="s">
        <v>70</v>
      </c>
      <c r="C34" s="1" t="s">
        <v>71</v>
      </c>
      <c r="D34" s="1" t="s">
        <v>72</v>
      </c>
      <c r="E34" s="1" t="s">
        <v>41</v>
      </c>
      <c r="F34" s="1" t="s">
        <v>88</v>
      </c>
      <c r="G34" s="3">
        <v>26126</v>
      </c>
      <c r="H34" s="1" t="s">
        <v>90</v>
      </c>
      <c r="I34" s="3">
        <v>37266</v>
      </c>
      <c r="J34" s="1"/>
      <c r="K34" s="1" t="s">
        <v>42</v>
      </c>
      <c r="L34" s="1">
        <v>2</v>
      </c>
      <c r="M34" s="16">
        <f>HLOOKUP(Таблица14[[#This Row],[Отдел]],ДолжностныеОклады,MATCH(Таблица14[[#This Row],[Должность]],'Справочные данные'!C$2:C$7,0),0)</f>
        <v>1800</v>
      </c>
      <c r="N34" s="18">
        <f ca="1">ROUNDDOWN(YEARFRAC(Таблица14[[#This Row],[Дата приема на работу]],TODAY()),0)</f>
        <v>19</v>
      </c>
    </row>
    <row r="35" spans="1:14" hidden="1">
      <c r="A35" s="15">
        <v>18</v>
      </c>
      <c r="B35" s="2" t="s">
        <v>73</v>
      </c>
      <c r="C35" s="1" t="s">
        <v>74</v>
      </c>
      <c r="D35" s="1" t="s">
        <v>75</v>
      </c>
      <c r="E35" s="1" t="s">
        <v>76</v>
      </c>
      <c r="F35" s="1" t="s">
        <v>87</v>
      </c>
      <c r="G35" s="3">
        <v>26206</v>
      </c>
      <c r="H35" s="1" t="s">
        <v>93</v>
      </c>
      <c r="I35" s="3">
        <v>41009</v>
      </c>
      <c r="J35" s="1"/>
      <c r="K35" s="1" t="s">
        <v>42</v>
      </c>
      <c r="L35" s="1">
        <v>2</v>
      </c>
      <c r="M35" s="16">
        <f>HLOOKUP(Таблица14[[#This Row],[Отдел]],ДолжностныеОклады,MATCH(Таблица14[[#This Row],[Должность]],'Справочные данные'!C$2:C$7,0),0)</f>
        <v>3200</v>
      </c>
      <c r="N35" s="18">
        <f ca="1">ROUNDDOWN(YEARFRAC(Таблица14[[#This Row],[Дата приема на работу]],TODAY()),0)</f>
        <v>9</v>
      </c>
    </row>
    <row r="36" spans="1:14" hidden="1">
      <c r="A36" s="15">
        <v>19</v>
      </c>
      <c r="B36" s="2" t="s">
        <v>77</v>
      </c>
      <c r="C36" s="1" t="s">
        <v>78</v>
      </c>
      <c r="D36" s="1" t="s">
        <v>79</v>
      </c>
      <c r="E36" s="1" t="s">
        <v>80</v>
      </c>
      <c r="F36" s="1" t="s">
        <v>85</v>
      </c>
      <c r="G36" s="3">
        <v>26286</v>
      </c>
      <c r="H36" s="1" t="s">
        <v>91</v>
      </c>
      <c r="I36" s="3">
        <v>37447</v>
      </c>
      <c r="J36" s="3">
        <v>41304</v>
      </c>
      <c r="K36" s="1" t="s">
        <v>15</v>
      </c>
      <c r="L36" s="1">
        <v>0</v>
      </c>
      <c r="M36" s="16">
        <f>HLOOKUP(Таблица14[[#This Row],[Отдел]],ДолжностныеОклады,MATCH(Таблица14[[#This Row],[Должность]],'Справочные данные'!C$2:C$7,0),0)</f>
        <v>2000</v>
      </c>
      <c r="N36" s="18">
        <f ca="1">ROUNDDOWN(YEARFRAC(Таблица14[[#This Row],[Дата приема на работу]],TODAY()),0)</f>
        <v>19</v>
      </c>
    </row>
    <row r="37" spans="1:14" hidden="1">
      <c r="A37" s="15">
        <v>20</v>
      </c>
      <c r="B37" s="12" t="s">
        <v>81</v>
      </c>
      <c r="C37" s="13" t="s">
        <v>82</v>
      </c>
      <c r="D37" s="13" t="s">
        <v>83</v>
      </c>
      <c r="E37" s="13" t="s">
        <v>84</v>
      </c>
      <c r="F37" s="1" t="s">
        <v>85</v>
      </c>
      <c r="G37" s="3">
        <v>26604</v>
      </c>
      <c r="H37" s="1" t="s">
        <v>91</v>
      </c>
      <c r="I37" s="14">
        <v>42287</v>
      </c>
      <c r="J37" s="13"/>
      <c r="K37" s="13" t="s">
        <v>15</v>
      </c>
      <c r="L37" s="13">
        <v>0</v>
      </c>
      <c r="M37" s="17">
        <f>HLOOKUP(Таблица14[[#This Row],[Отдел]],ДолжностныеОклады,MATCH(Таблица14[[#This Row],[Должность]],'Справочные данные'!C$2:C$7,0),0)</f>
        <v>2000</v>
      </c>
      <c r="N37" s="19">
        <f ca="1">ROUNDDOWN(YEARFRAC(Таблица14[[#This Row],[Дата приема на работу]],TODAY()),0)</f>
        <v>5</v>
      </c>
    </row>
  </sheetData>
  <dataValidations count="2">
    <dataValidation type="list" allowBlank="1" showInputMessage="1" showErrorMessage="1" sqref="H18:H37">
      <formula1>Должности</formula1>
    </dataValidation>
    <dataValidation type="list" allowBlank="1" showInputMessage="1" showErrorMessage="1" sqref="F18:F37">
      <formula1>Подразделения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G12" sqref="G12"/>
    </sheetView>
  </sheetViews>
  <sheetFormatPr defaultRowHeight="12.75"/>
  <cols>
    <col min="1" max="1" width="10.85546875" customWidth="1"/>
    <col min="2" max="2" width="12.28515625" customWidth="1"/>
    <col min="3" max="3" width="13.85546875" customWidth="1"/>
    <col min="4" max="4" width="11.5703125" customWidth="1"/>
    <col min="5" max="5" width="12.42578125" customWidth="1"/>
    <col min="6" max="6" width="12.85546875" customWidth="1"/>
    <col min="7" max="7" width="19" customWidth="1"/>
    <col min="8" max="8" width="12.5703125" customWidth="1"/>
    <col min="9" max="9" width="14.28515625" customWidth="1"/>
    <col min="10" max="10" width="14.85546875" customWidth="1"/>
  </cols>
  <sheetData>
    <row r="1" spans="1:16">
      <c r="A1" s="38" t="s">
        <v>145</v>
      </c>
    </row>
    <row r="2" spans="1:16">
      <c r="A2" t="s">
        <v>168</v>
      </c>
    </row>
    <row r="4" spans="1:16">
      <c r="A4" s="37" t="s">
        <v>143</v>
      </c>
      <c r="C4" s="38"/>
      <c r="D4" s="38"/>
      <c r="E4" s="38"/>
    </row>
    <row r="5" spans="1:16">
      <c r="A5" t="b">
        <f>YEAR('Учет персонала'!G2)=1971</f>
        <v>0</v>
      </c>
    </row>
    <row r="6" spans="1:1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ht="38.25">
      <c r="A7" s="40" t="s">
        <v>0</v>
      </c>
      <c r="B7" s="40" t="s">
        <v>1</v>
      </c>
      <c r="C7" s="40" t="s">
        <v>2</v>
      </c>
      <c r="D7" s="40" t="s">
        <v>3</v>
      </c>
      <c r="E7" s="40" t="s">
        <v>4</v>
      </c>
      <c r="F7" s="40" t="s">
        <v>5</v>
      </c>
      <c r="G7" s="40" t="s">
        <v>144</v>
      </c>
      <c r="H7" s="40" t="s">
        <v>6</v>
      </c>
      <c r="I7" s="40" t="s">
        <v>7</v>
      </c>
      <c r="J7" s="40" t="s">
        <v>137</v>
      </c>
      <c r="K7" s="40" t="s">
        <v>8</v>
      </c>
      <c r="L7" s="40" t="s">
        <v>9</v>
      </c>
      <c r="M7" s="40" t="s">
        <v>10</v>
      </c>
      <c r="N7" s="40" t="s">
        <v>100</v>
      </c>
    </row>
    <row r="8" spans="1:16">
      <c r="A8" s="41">
        <v>5</v>
      </c>
      <c r="B8" s="41">
        <v>12345</v>
      </c>
      <c r="C8" s="42" t="s">
        <v>25</v>
      </c>
      <c r="D8" s="42" t="s">
        <v>26</v>
      </c>
      <c r="E8" s="42" t="s">
        <v>27</v>
      </c>
      <c r="F8" s="42" t="s">
        <v>87</v>
      </c>
      <c r="G8" s="43">
        <v>25966</v>
      </c>
      <c r="H8" s="42" t="s">
        <v>93</v>
      </c>
      <c r="I8" s="43">
        <v>39823</v>
      </c>
      <c r="J8" s="43">
        <v>40826</v>
      </c>
      <c r="K8" s="42" t="s">
        <v>15</v>
      </c>
      <c r="L8" s="42">
        <v>0</v>
      </c>
      <c r="M8" s="41">
        <v>3200</v>
      </c>
      <c r="N8" s="41">
        <v>12</v>
      </c>
      <c r="O8" s="5"/>
      <c r="P8" s="5"/>
    </row>
    <row r="9" spans="1:16">
      <c r="A9" s="41">
        <v>6</v>
      </c>
      <c r="B9" s="41">
        <v>23456</v>
      </c>
      <c r="C9" s="42" t="s">
        <v>29</v>
      </c>
      <c r="D9" s="42" t="s">
        <v>30</v>
      </c>
      <c r="E9" s="42" t="s">
        <v>31</v>
      </c>
      <c r="F9" s="42" t="s">
        <v>88</v>
      </c>
      <c r="G9" s="43">
        <v>26238</v>
      </c>
      <c r="H9" s="42" t="s">
        <v>90</v>
      </c>
      <c r="I9" s="43">
        <v>39915</v>
      </c>
      <c r="J9" s="42"/>
      <c r="K9" s="42" t="s">
        <v>15</v>
      </c>
      <c r="L9" s="42">
        <v>5</v>
      </c>
      <c r="M9" s="41">
        <v>1800</v>
      </c>
      <c r="N9" s="41">
        <v>12</v>
      </c>
      <c r="O9" s="6"/>
      <c r="P9" s="6"/>
    </row>
    <row r="10" spans="1:16">
      <c r="A10" s="41">
        <v>8</v>
      </c>
      <c r="B10" s="41">
        <v>45454</v>
      </c>
      <c r="C10" s="42" t="s">
        <v>36</v>
      </c>
      <c r="D10" s="42" t="s">
        <v>26</v>
      </c>
      <c r="E10" s="42" t="s">
        <v>37</v>
      </c>
      <c r="F10" s="42" t="s">
        <v>85</v>
      </c>
      <c r="G10" s="43">
        <v>26206</v>
      </c>
      <c r="H10" s="42" t="s">
        <v>90</v>
      </c>
      <c r="I10" s="43">
        <v>40127</v>
      </c>
      <c r="J10" s="42"/>
      <c r="K10" s="42" t="s">
        <v>15</v>
      </c>
      <c r="L10" s="42">
        <v>1</v>
      </c>
      <c r="M10" s="41">
        <v>1500</v>
      </c>
      <c r="N10" s="41">
        <v>11</v>
      </c>
      <c r="O10" s="6"/>
      <c r="P10" s="6"/>
    </row>
    <row r="11" spans="1:16">
      <c r="A11" s="41">
        <v>9</v>
      </c>
      <c r="B11" s="41">
        <v>45564</v>
      </c>
      <c r="C11" s="42" t="s">
        <v>39</v>
      </c>
      <c r="D11" s="42" t="s">
        <v>40</v>
      </c>
      <c r="E11" s="42" t="s">
        <v>41</v>
      </c>
      <c r="F11" s="42" t="s">
        <v>85</v>
      </c>
      <c r="G11" s="43">
        <v>26286</v>
      </c>
      <c r="H11" s="42" t="s">
        <v>94</v>
      </c>
      <c r="I11" s="43">
        <v>36535</v>
      </c>
      <c r="J11" s="43">
        <v>37246</v>
      </c>
      <c r="K11" s="42" t="s">
        <v>42</v>
      </c>
      <c r="L11" s="42">
        <v>1</v>
      </c>
      <c r="M11" s="41">
        <v>1000</v>
      </c>
      <c r="N11" s="41">
        <v>21</v>
      </c>
    </row>
    <row r="12" spans="1:16">
      <c r="A12" s="41">
        <v>15</v>
      </c>
      <c r="B12" s="41">
        <v>78787</v>
      </c>
      <c r="C12" s="42" t="s">
        <v>63</v>
      </c>
      <c r="D12" s="42" t="s">
        <v>64</v>
      </c>
      <c r="E12" s="42" t="s">
        <v>65</v>
      </c>
      <c r="F12" s="42" t="s">
        <v>88</v>
      </c>
      <c r="G12" s="43">
        <v>25966</v>
      </c>
      <c r="H12" s="42" t="s">
        <v>92</v>
      </c>
      <c r="I12" s="43">
        <v>37082</v>
      </c>
      <c r="J12" s="42"/>
      <c r="K12" s="42" t="s">
        <v>15</v>
      </c>
      <c r="L12" s="42">
        <v>5</v>
      </c>
      <c r="M12" s="41">
        <v>2800</v>
      </c>
      <c r="N12" s="41">
        <v>20</v>
      </c>
    </row>
    <row r="13" spans="1:16">
      <c r="A13" s="41">
        <v>16</v>
      </c>
      <c r="B13" s="41">
        <v>78901</v>
      </c>
      <c r="C13" s="42" t="s">
        <v>67</v>
      </c>
      <c r="D13" s="42" t="s">
        <v>68</v>
      </c>
      <c r="E13" s="42" t="s">
        <v>69</v>
      </c>
      <c r="F13" s="42" t="s">
        <v>85</v>
      </c>
      <c r="G13" s="43">
        <v>26046</v>
      </c>
      <c r="H13" s="42" t="s">
        <v>91</v>
      </c>
      <c r="I13" s="43">
        <v>37177</v>
      </c>
      <c r="J13" s="42"/>
      <c r="K13" s="42" t="s">
        <v>15</v>
      </c>
      <c r="L13" s="42">
        <v>1</v>
      </c>
      <c r="M13" s="41">
        <v>2000</v>
      </c>
      <c r="N13" s="41">
        <v>19</v>
      </c>
    </row>
    <row r="14" spans="1:16">
      <c r="A14" s="41">
        <v>17</v>
      </c>
      <c r="B14" s="41">
        <v>89012</v>
      </c>
      <c r="C14" s="42" t="s">
        <v>71</v>
      </c>
      <c r="D14" s="42" t="s">
        <v>72</v>
      </c>
      <c r="E14" s="42" t="s">
        <v>41</v>
      </c>
      <c r="F14" s="42" t="s">
        <v>88</v>
      </c>
      <c r="G14" s="43">
        <v>26126</v>
      </c>
      <c r="H14" s="42" t="s">
        <v>90</v>
      </c>
      <c r="I14" s="43">
        <v>37266</v>
      </c>
      <c r="J14" s="42"/>
      <c r="K14" s="42" t="s">
        <v>42</v>
      </c>
      <c r="L14" s="42">
        <v>2</v>
      </c>
      <c r="M14" s="41">
        <v>1800</v>
      </c>
      <c r="N14" s="41">
        <v>19</v>
      </c>
    </row>
    <row r="15" spans="1:16">
      <c r="A15" s="41">
        <v>18</v>
      </c>
      <c r="B15" s="41">
        <v>90123</v>
      </c>
      <c r="C15" s="42" t="s">
        <v>74</v>
      </c>
      <c r="D15" s="42" t="s">
        <v>75</v>
      </c>
      <c r="E15" s="42" t="s">
        <v>76</v>
      </c>
      <c r="F15" s="42" t="s">
        <v>87</v>
      </c>
      <c r="G15" s="43">
        <v>26206</v>
      </c>
      <c r="H15" s="42" t="s">
        <v>93</v>
      </c>
      <c r="I15" s="43">
        <v>41009</v>
      </c>
      <c r="J15" s="42"/>
      <c r="K15" s="42" t="s">
        <v>42</v>
      </c>
      <c r="L15" s="42">
        <v>2</v>
      </c>
      <c r="M15" s="41">
        <v>3200</v>
      </c>
      <c r="N15" s="41">
        <v>9</v>
      </c>
    </row>
    <row r="16" spans="1:16">
      <c r="A16" s="41">
        <v>19</v>
      </c>
      <c r="B16" s="41">
        <v>98989</v>
      </c>
      <c r="C16" s="42" t="s">
        <v>78</v>
      </c>
      <c r="D16" s="42" t="s">
        <v>79</v>
      </c>
      <c r="E16" s="42" t="s">
        <v>80</v>
      </c>
      <c r="F16" s="42" t="s">
        <v>85</v>
      </c>
      <c r="G16" s="43">
        <v>26286</v>
      </c>
      <c r="H16" s="42" t="s">
        <v>91</v>
      </c>
      <c r="I16" s="43">
        <v>37447</v>
      </c>
      <c r="J16" s="43">
        <v>41304</v>
      </c>
      <c r="K16" s="42" t="s">
        <v>15</v>
      </c>
      <c r="L16" s="42">
        <v>0</v>
      </c>
      <c r="M16" s="41">
        <v>2000</v>
      </c>
      <c r="N16" s="41">
        <v>19</v>
      </c>
    </row>
    <row r="19" spans="1:14">
      <c r="A19" s="38" t="s">
        <v>145</v>
      </c>
    </row>
    <row r="20" spans="1:14">
      <c r="A20" t="s">
        <v>167</v>
      </c>
    </row>
    <row r="22" spans="1:14" ht="38.25">
      <c r="A22" s="9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144</v>
      </c>
      <c r="H22" s="10" t="s">
        <v>6</v>
      </c>
      <c r="I22" s="10" t="s">
        <v>7</v>
      </c>
      <c r="J22" s="10" t="s">
        <v>137</v>
      </c>
      <c r="K22" s="10" t="s">
        <v>8</v>
      </c>
      <c r="L22" s="10" t="s">
        <v>9</v>
      </c>
      <c r="M22" s="10" t="s">
        <v>10</v>
      </c>
      <c r="N22" s="11" t="s">
        <v>100</v>
      </c>
    </row>
    <row r="23" spans="1:14" hidden="1">
      <c r="A23" s="15">
        <v>1</v>
      </c>
      <c r="B23" s="2" t="s">
        <v>11</v>
      </c>
      <c r="C23" s="1" t="s">
        <v>12</v>
      </c>
      <c r="D23" s="1" t="s">
        <v>13</v>
      </c>
      <c r="E23" s="1" t="s">
        <v>14</v>
      </c>
      <c r="F23" s="1" t="s">
        <v>85</v>
      </c>
      <c r="G23" s="3">
        <v>19295</v>
      </c>
      <c r="H23" s="1" t="s">
        <v>93</v>
      </c>
      <c r="I23" s="3">
        <v>39457</v>
      </c>
      <c r="J23" s="1"/>
      <c r="K23" s="1" t="s">
        <v>15</v>
      </c>
      <c r="L23" s="1">
        <v>2</v>
      </c>
      <c r="M23" s="16">
        <f>HLOOKUP(Таблица15[[#This Row],[Отдел]],ДолжностныеОклады,MATCH(Таблица15[[#This Row],[Должность]],'Справочные данные'!C$2:C$7,0),0)</f>
        <v>3000</v>
      </c>
      <c r="N23" s="18">
        <f ca="1">ROUNDDOWN(YEARFRAC(Таблица15[[#This Row],[Дата приема на работу]],TODAY()),0)</f>
        <v>13</v>
      </c>
    </row>
    <row r="24" spans="1:14" hidden="1">
      <c r="A24" s="15">
        <v>2</v>
      </c>
      <c r="B24" s="2" t="s">
        <v>16</v>
      </c>
      <c r="C24" s="1" t="s">
        <v>17</v>
      </c>
      <c r="D24" s="1" t="s">
        <v>13</v>
      </c>
      <c r="E24" s="1" t="s">
        <v>18</v>
      </c>
      <c r="F24" s="1" t="s">
        <v>86</v>
      </c>
      <c r="G24" s="3">
        <v>12805</v>
      </c>
      <c r="H24" s="1" t="s">
        <v>94</v>
      </c>
      <c r="I24" s="3">
        <v>40278</v>
      </c>
      <c r="J24" s="1"/>
      <c r="K24" s="1" t="s">
        <v>15</v>
      </c>
      <c r="L24" s="1">
        <v>1</v>
      </c>
      <c r="M24" s="16">
        <f>HLOOKUP(Таблица15[[#This Row],[Отдел]],ДолжностныеОклады,MATCH(Таблица15[[#This Row],[Должность]],'Справочные данные'!C$2:C$7,0),0)</f>
        <v>1100</v>
      </c>
      <c r="N24" s="18">
        <f ca="1">ROUNDDOWN(YEARFRAC(Таблица15[[#This Row],[Дата приема на работу]],TODAY()),0)</f>
        <v>11</v>
      </c>
    </row>
    <row r="25" spans="1:14" hidden="1">
      <c r="A25" s="15">
        <v>3</v>
      </c>
      <c r="B25" s="2" t="s">
        <v>19</v>
      </c>
      <c r="C25" s="1" t="s">
        <v>20</v>
      </c>
      <c r="D25" s="1" t="s">
        <v>21</v>
      </c>
      <c r="E25" s="1" t="s">
        <v>18</v>
      </c>
      <c r="F25" s="1" t="s">
        <v>87</v>
      </c>
      <c r="G25" s="3">
        <v>33111</v>
      </c>
      <c r="H25" s="1" t="s">
        <v>91</v>
      </c>
      <c r="I25" s="3">
        <v>40745</v>
      </c>
      <c r="J25" s="1"/>
      <c r="K25" s="1" t="s">
        <v>15</v>
      </c>
      <c r="L25" s="1">
        <v>2</v>
      </c>
      <c r="M25" s="16">
        <f>HLOOKUP(Таблица15[[#This Row],[Отдел]],ДолжностныеОклады,MATCH(Таблица15[[#This Row],[Должность]],'Справочные данные'!C$2:C$7,0),0)</f>
        <v>2200</v>
      </c>
      <c r="N25" s="18">
        <f ca="1">ROUNDDOWN(YEARFRAC(Таблица15[[#This Row],[Дата приема на работу]],TODAY()),0)</f>
        <v>10</v>
      </c>
    </row>
    <row r="26" spans="1:14" hidden="1">
      <c r="A26" s="15">
        <v>4</v>
      </c>
      <c r="B26" s="2" t="s">
        <v>22</v>
      </c>
      <c r="C26" s="1" t="s">
        <v>23</v>
      </c>
      <c r="D26" s="1" t="s">
        <v>21</v>
      </c>
      <c r="E26" s="1" t="s">
        <v>14</v>
      </c>
      <c r="F26" s="1" t="s">
        <v>85</v>
      </c>
      <c r="G26" s="3">
        <v>25886</v>
      </c>
      <c r="H26" s="1" t="s">
        <v>94</v>
      </c>
      <c r="I26" s="3">
        <v>39731</v>
      </c>
      <c r="J26" s="1"/>
      <c r="K26" s="1" t="s">
        <v>15</v>
      </c>
      <c r="L26" s="1">
        <v>1</v>
      </c>
      <c r="M26" s="16">
        <f>HLOOKUP(Таблица15[[#This Row],[Отдел]],ДолжностныеОклады,MATCH(Таблица15[[#This Row],[Должность]],'Справочные данные'!C$2:C$7,0),0)</f>
        <v>1000</v>
      </c>
      <c r="N26" s="18">
        <f ca="1">ROUNDDOWN(YEARFRAC(Таблица15[[#This Row],[Дата приема на работу]],TODAY()),0)</f>
        <v>12</v>
      </c>
    </row>
    <row r="27" spans="1:14">
      <c r="A27" s="15">
        <v>5</v>
      </c>
      <c r="B27" s="16">
        <v>12345</v>
      </c>
      <c r="C27" s="1" t="s">
        <v>25</v>
      </c>
      <c r="D27" s="1" t="s">
        <v>26</v>
      </c>
      <c r="E27" s="1" t="s">
        <v>27</v>
      </c>
      <c r="F27" s="1" t="s">
        <v>87</v>
      </c>
      <c r="G27" s="3">
        <v>25966</v>
      </c>
      <c r="H27" s="1" t="s">
        <v>93</v>
      </c>
      <c r="I27" s="3">
        <v>39823</v>
      </c>
      <c r="J27" s="3">
        <v>40826</v>
      </c>
      <c r="K27" s="1" t="s">
        <v>15</v>
      </c>
      <c r="L27" s="1">
        <v>0</v>
      </c>
      <c r="M27" s="16">
        <f>HLOOKUP(Таблица15[[#This Row],[Отдел]],ДолжностныеОклады,MATCH(Таблица15[[#This Row],[Должность]],'Справочные данные'!C$2:C$7,0),0)</f>
        <v>3200</v>
      </c>
      <c r="N27" s="18">
        <f ca="1">ROUNDDOWN(YEARFRAC(Таблица15[[#This Row],[Дата приема на работу]],TODAY()),0)</f>
        <v>12</v>
      </c>
    </row>
    <row r="28" spans="1:14">
      <c r="A28" s="15">
        <v>6</v>
      </c>
      <c r="B28" s="16">
        <v>23456</v>
      </c>
      <c r="C28" s="1" t="s">
        <v>29</v>
      </c>
      <c r="D28" s="1" t="s">
        <v>30</v>
      </c>
      <c r="E28" s="1" t="s">
        <v>31</v>
      </c>
      <c r="F28" s="1" t="s">
        <v>88</v>
      </c>
      <c r="G28" s="3">
        <v>26238</v>
      </c>
      <c r="H28" s="1" t="s">
        <v>90</v>
      </c>
      <c r="I28" s="3">
        <v>39915</v>
      </c>
      <c r="J28" s="1"/>
      <c r="K28" s="1" t="s">
        <v>15</v>
      </c>
      <c r="L28" s="1">
        <v>5</v>
      </c>
      <c r="M28" s="16">
        <f>HLOOKUP(Таблица15[[#This Row],[Отдел]],ДолжностныеОклады,MATCH(Таблица15[[#This Row],[Должность]],'Справочные данные'!C$2:C$7,0),0)</f>
        <v>1800</v>
      </c>
      <c r="N28" s="18">
        <f ca="1">ROUNDDOWN(YEARFRAC(Таблица15[[#This Row],[Дата приема на работу]],TODAY()),0)</f>
        <v>12</v>
      </c>
    </row>
    <row r="29" spans="1:14" hidden="1">
      <c r="A29" s="15">
        <v>7</v>
      </c>
      <c r="B29" s="16">
        <v>34567</v>
      </c>
      <c r="C29" s="1" t="s">
        <v>33</v>
      </c>
      <c r="D29" s="1" t="s">
        <v>34</v>
      </c>
      <c r="E29" s="1" t="s">
        <v>31</v>
      </c>
      <c r="F29" s="1" t="s">
        <v>88</v>
      </c>
      <c r="G29" s="3">
        <v>31240</v>
      </c>
      <c r="H29" s="1" t="s">
        <v>93</v>
      </c>
      <c r="I29" s="3">
        <v>38559</v>
      </c>
      <c r="J29" s="1"/>
      <c r="K29" s="1" t="s">
        <v>15</v>
      </c>
      <c r="L29" s="1">
        <v>1</v>
      </c>
      <c r="M29" s="16">
        <f>HLOOKUP(Таблица15[[#This Row],[Отдел]],ДолжностныеОклады,MATCH(Таблица15[[#This Row],[Должность]],'Справочные данные'!C$2:C$7,0),0)</f>
        <v>3300</v>
      </c>
      <c r="N29" s="18">
        <f ca="1">ROUNDDOWN(YEARFRAC(Таблица15[[#This Row],[Дата приема на работу]],TODAY()),0)</f>
        <v>16</v>
      </c>
    </row>
    <row r="30" spans="1:14">
      <c r="A30" s="15">
        <v>8</v>
      </c>
      <c r="B30" s="16">
        <v>45454</v>
      </c>
      <c r="C30" s="1" t="s">
        <v>36</v>
      </c>
      <c r="D30" s="1" t="s">
        <v>26</v>
      </c>
      <c r="E30" s="1" t="s">
        <v>37</v>
      </c>
      <c r="F30" s="1" t="s">
        <v>85</v>
      </c>
      <c r="G30" s="3">
        <v>26206</v>
      </c>
      <c r="H30" s="1" t="s">
        <v>90</v>
      </c>
      <c r="I30" s="3">
        <v>40127</v>
      </c>
      <c r="J30" s="1"/>
      <c r="K30" s="1" t="s">
        <v>15</v>
      </c>
      <c r="L30" s="1">
        <v>1</v>
      </c>
      <c r="M30" s="16">
        <f>HLOOKUP(Таблица15[[#This Row],[Отдел]],ДолжностныеОклады,MATCH(Таблица15[[#This Row],[Должность]],'Справочные данные'!C$2:C$7,0),0)</f>
        <v>1500</v>
      </c>
      <c r="N30" s="18">
        <f ca="1">ROUNDDOWN(YEARFRAC(Таблица15[[#This Row],[Дата приема на работу]],TODAY()),0)</f>
        <v>11</v>
      </c>
    </row>
    <row r="31" spans="1:14">
      <c r="A31" s="15">
        <v>9</v>
      </c>
      <c r="B31" s="16">
        <v>45564</v>
      </c>
      <c r="C31" s="1" t="s">
        <v>39</v>
      </c>
      <c r="D31" s="1" t="s">
        <v>40</v>
      </c>
      <c r="E31" s="1" t="s">
        <v>41</v>
      </c>
      <c r="F31" s="1" t="s">
        <v>85</v>
      </c>
      <c r="G31" s="3">
        <v>26286</v>
      </c>
      <c r="H31" s="1" t="s">
        <v>94</v>
      </c>
      <c r="I31" s="3">
        <v>36535</v>
      </c>
      <c r="J31" s="3">
        <v>37246</v>
      </c>
      <c r="K31" s="1" t="s">
        <v>42</v>
      </c>
      <c r="L31" s="1">
        <v>1</v>
      </c>
      <c r="M31" s="16">
        <f>HLOOKUP(Таблица15[[#This Row],[Отдел]],ДолжностныеОклады,MATCH(Таблица15[[#This Row],[Должность]],'Справочные данные'!C$2:C$7,0),0)</f>
        <v>1000</v>
      </c>
      <c r="N31" s="18">
        <f ca="1">ROUNDDOWN(YEARFRAC(Таблица15[[#This Row],[Дата приема на работу]],TODAY()),0)</f>
        <v>21</v>
      </c>
    </row>
    <row r="32" spans="1:14" hidden="1">
      <c r="A32" s="15">
        <v>10</v>
      </c>
      <c r="B32" s="16">
        <v>45678</v>
      </c>
      <c r="C32" s="1" t="s">
        <v>44</v>
      </c>
      <c r="D32" s="1" t="s">
        <v>45</v>
      </c>
      <c r="E32" s="1" t="s">
        <v>46</v>
      </c>
      <c r="F32" s="1" t="s">
        <v>86</v>
      </c>
      <c r="G32" s="3">
        <v>26366</v>
      </c>
      <c r="H32" s="1" t="s">
        <v>90</v>
      </c>
      <c r="I32" s="3">
        <v>36626</v>
      </c>
      <c r="J32" s="1"/>
      <c r="K32" s="1" t="s">
        <v>42</v>
      </c>
      <c r="L32" s="1">
        <v>1</v>
      </c>
      <c r="M32" s="16">
        <f>HLOOKUP(Таблица15[[#This Row],[Отдел]],ДолжностныеОклады,MATCH(Таблица15[[#This Row],[Должность]],'Справочные данные'!C$2:C$7,0),0)</f>
        <v>1600</v>
      </c>
      <c r="N32" s="18">
        <f ca="1">ROUNDDOWN(YEARFRAC(Таблица15[[#This Row],[Дата приема на работу]],TODAY()),0)</f>
        <v>21</v>
      </c>
    </row>
    <row r="33" spans="1:14" hidden="1">
      <c r="A33" s="15">
        <v>11</v>
      </c>
      <c r="B33" s="16">
        <v>56565</v>
      </c>
      <c r="C33" s="1" t="s">
        <v>48</v>
      </c>
      <c r="D33" s="1" t="s">
        <v>49</v>
      </c>
      <c r="E33" s="1" t="s">
        <v>50</v>
      </c>
      <c r="F33" s="1" t="s">
        <v>88</v>
      </c>
      <c r="G33" s="3">
        <v>20806</v>
      </c>
      <c r="H33" s="1" t="s">
        <v>94</v>
      </c>
      <c r="I33" s="3">
        <v>36717</v>
      </c>
      <c r="J33" s="3">
        <v>37967</v>
      </c>
      <c r="K33" s="1" t="s">
        <v>42</v>
      </c>
      <c r="L33" s="1">
        <v>1</v>
      </c>
      <c r="M33" s="16">
        <f>HLOOKUP(Таблица15[[#This Row],[Отдел]],ДолжностныеОклады,MATCH(Таблица15[[#This Row],[Должность]],'Справочные данные'!C$2:C$7,0),0)</f>
        <v>1300</v>
      </c>
      <c r="N33" s="18">
        <f ca="1">ROUNDDOWN(YEARFRAC(Таблица15[[#This Row],[Дата приема на работу]],TODAY()),0)</f>
        <v>21</v>
      </c>
    </row>
    <row r="34" spans="1:14" hidden="1">
      <c r="A34" s="15">
        <v>12</v>
      </c>
      <c r="B34" s="16">
        <v>56786</v>
      </c>
      <c r="C34" s="1" t="s">
        <v>52</v>
      </c>
      <c r="D34" s="1" t="s">
        <v>53</v>
      </c>
      <c r="E34" s="1" t="s">
        <v>54</v>
      </c>
      <c r="F34" s="1" t="s">
        <v>87</v>
      </c>
      <c r="G34" s="3">
        <v>29241</v>
      </c>
      <c r="H34" s="1" t="s">
        <v>94</v>
      </c>
      <c r="I34" s="3">
        <v>35724</v>
      </c>
      <c r="J34" s="1"/>
      <c r="K34" s="1" t="s">
        <v>42</v>
      </c>
      <c r="L34" s="1">
        <v>1</v>
      </c>
      <c r="M34" s="16">
        <f>HLOOKUP(Таблица15[[#This Row],[Отдел]],ДолжностныеОклады,MATCH(Таблица15[[#This Row],[Должность]],'Справочные данные'!C$2:C$7,0),0)</f>
        <v>1200</v>
      </c>
      <c r="N34" s="18">
        <f ca="1">ROUNDDOWN(YEARFRAC(Таблица15[[#This Row],[Дата приема на работу]],TODAY()),0)</f>
        <v>23</v>
      </c>
    </row>
    <row r="35" spans="1:14" hidden="1">
      <c r="A35" s="15">
        <v>13</v>
      </c>
      <c r="B35" s="16">
        <v>56789</v>
      </c>
      <c r="C35" s="1" t="s">
        <v>56</v>
      </c>
      <c r="D35" s="1" t="s">
        <v>57</v>
      </c>
      <c r="E35" s="1" t="s">
        <v>58</v>
      </c>
      <c r="F35" s="1" t="s">
        <v>86</v>
      </c>
      <c r="G35" s="3">
        <v>33111</v>
      </c>
      <c r="H35" s="1" t="s">
        <v>93</v>
      </c>
      <c r="I35" s="3">
        <v>40553</v>
      </c>
      <c r="J35" s="1"/>
      <c r="K35" s="1" t="s">
        <v>15</v>
      </c>
      <c r="L35" s="1">
        <v>1</v>
      </c>
      <c r="M35" s="16">
        <f>HLOOKUP(Таблица15[[#This Row],[Отдел]],ДолжностныеОклады,MATCH(Таблица15[[#This Row],[Должность]],'Справочные данные'!C$2:C$7,0),0)</f>
        <v>3100</v>
      </c>
      <c r="N35" s="18">
        <f ca="1">ROUNDDOWN(YEARFRAC(Таблица15[[#This Row],[Дата приема на работу]],TODAY()),0)</f>
        <v>10</v>
      </c>
    </row>
    <row r="36" spans="1:14" hidden="1">
      <c r="A36" s="15">
        <v>14</v>
      </c>
      <c r="B36" s="16">
        <v>67890</v>
      </c>
      <c r="C36" s="1" t="s">
        <v>60</v>
      </c>
      <c r="D36" s="1" t="s">
        <v>13</v>
      </c>
      <c r="E36" s="1" t="s">
        <v>61</v>
      </c>
      <c r="F36" s="1" t="s">
        <v>87</v>
      </c>
      <c r="G36" s="3">
        <v>25886</v>
      </c>
      <c r="H36" s="1" t="s">
        <v>91</v>
      </c>
      <c r="I36" s="3">
        <v>37011</v>
      </c>
      <c r="J36" s="1"/>
      <c r="K36" s="1" t="s">
        <v>15</v>
      </c>
      <c r="L36" s="1">
        <v>1</v>
      </c>
      <c r="M36" s="16">
        <f>HLOOKUP(Таблица15[[#This Row],[Отдел]],ДолжностныеОклады,MATCH(Таблица15[[#This Row],[Должность]],'Справочные данные'!C$2:C$7,0),0)</f>
        <v>2200</v>
      </c>
      <c r="N36" s="18">
        <f ca="1">ROUNDDOWN(YEARFRAC(Таблица15[[#This Row],[Дата приема на работу]],TODAY()),0)</f>
        <v>20</v>
      </c>
    </row>
    <row r="37" spans="1:14">
      <c r="A37" s="15">
        <v>15</v>
      </c>
      <c r="B37" s="16">
        <v>78787</v>
      </c>
      <c r="C37" s="1" t="s">
        <v>63</v>
      </c>
      <c r="D37" s="1" t="s">
        <v>64</v>
      </c>
      <c r="E37" s="1" t="s">
        <v>65</v>
      </c>
      <c r="F37" s="1" t="s">
        <v>88</v>
      </c>
      <c r="G37" s="3">
        <v>25966</v>
      </c>
      <c r="H37" s="1" t="s">
        <v>92</v>
      </c>
      <c r="I37" s="3">
        <v>37082</v>
      </c>
      <c r="J37" s="1"/>
      <c r="K37" s="1" t="s">
        <v>15</v>
      </c>
      <c r="L37" s="1">
        <v>5</v>
      </c>
      <c r="M37" s="16">
        <f>HLOOKUP(Таблица15[[#This Row],[Отдел]],ДолжностныеОклады,MATCH(Таблица15[[#This Row],[Должность]],'Справочные данные'!C$2:C$7,0),0)</f>
        <v>2800</v>
      </c>
      <c r="N37" s="18">
        <f ca="1">ROUNDDOWN(YEARFRAC(Таблица15[[#This Row],[Дата приема на работу]],TODAY()),0)</f>
        <v>20</v>
      </c>
    </row>
    <row r="38" spans="1:14">
      <c r="A38" s="15">
        <v>16</v>
      </c>
      <c r="B38" s="16">
        <v>78901</v>
      </c>
      <c r="C38" s="1" t="s">
        <v>67</v>
      </c>
      <c r="D38" s="1" t="s">
        <v>68</v>
      </c>
      <c r="E38" s="1" t="s">
        <v>69</v>
      </c>
      <c r="F38" s="1" t="s">
        <v>85</v>
      </c>
      <c r="G38" s="3">
        <v>26046</v>
      </c>
      <c r="H38" s="1" t="s">
        <v>91</v>
      </c>
      <c r="I38" s="3">
        <v>37177</v>
      </c>
      <c r="J38" s="1"/>
      <c r="K38" s="1" t="s">
        <v>15</v>
      </c>
      <c r="L38" s="1">
        <v>1</v>
      </c>
      <c r="M38" s="16">
        <f>HLOOKUP(Таблица15[[#This Row],[Отдел]],ДолжностныеОклады,MATCH(Таблица15[[#This Row],[Должность]],'Справочные данные'!C$2:C$7,0),0)</f>
        <v>2000</v>
      </c>
      <c r="N38" s="18">
        <f ca="1">ROUNDDOWN(YEARFRAC(Таблица15[[#This Row],[Дата приема на работу]],TODAY()),0)</f>
        <v>19</v>
      </c>
    </row>
    <row r="39" spans="1:14">
      <c r="A39" s="15">
        <v>17</v>
      </c>
      <c r="B39" s="16">
        <v>89012</v>
      </c>
      <c r="C39" s="1" t="s">
        <v>71</v>
      </c>
      <c r="D39" s="1" t="s">
        <v>72</v>
      </c>
      <c r="E39" s="1" t="s">
        <v>41</v>
      </c>
      <c r="F39" s="1" t="s">
        <v>88</v>
      </c>
      <c r="G39" s="3">
        <v>26126</v>
      </c>
      <c r="H39" s="1" t="s">
        <v>90</v>
      </c>
      <c r="I39" s="3">
        <v>37266</v>
      </c>
      <c r="J39" s="1"/>
      <c r="K39" s="1" t="s">
        <v>42</v>
      </c>
      <c r="L39" s="1">
        <v>2</v>
      </c>
      <c r="M39" s="16">
        <f>HLOOKUP(Таблица15[[#This Row],[Отдел]],ДолжностныеОклады,MATCH(Таблица15[[#This Row],[Должность]],'Справочные данные'!C$2:C$7,0),0)</f>
        <v>1800</v>
      </c>
      <c r="N39" s="18">
        <f ca="1">ROUNDDOWN(YEARFRAC(Таблица15[[#This Row],[Дата приема на работу]],TODAY()),0)</f>
        <v>19</v>
      </c>
    </row>
    <row r="40" spans="1:14">
      <c r="A40" s="15">
        <v>18</v>
      </c>
      <c r="B40" s="16">
        <v>90123</v>
      </c>
      <c r="C40" s="1" t="s">
        <v>74</v>
      </c>
      <c r="D40" s="1" t="s">
        <v>75</v>
      </c>
      <c r="E40" s="1" t="s">
        <v>76</v>
      </c>
      <c r="F40" s="1" t="s">
        <v>87</v>
      </c>
      <c r="G40" s="3">
        <v>26206</v>
      </c>
      <c r="H40" s="1" t="s">
        <v>93</v>
      </c>
      <c r="I40" s="3">
        <v>41009</v>
      </c>
      <c r="J40" s="1"/>
      <c r="K40" s="1" t="s">
        <v>42</v>
      </c>
      <c r="L40" s="1">
        <v>2</v>
      </c>
      <c r="M40" s="16">
        <f>HLOOKUP(Таблица15[[#This Row],[Отдел]],ДолжностныеОклады,MATCH(Таблица15[[#This Row],[Должность]],'Справочные данные'!C$2:C$7,0),0)</f>
        <v>3200</v>
      </c>
      <c r="N40" s="18">
        <f ca="1">ROUNDDOWN(YEARFRAC(Таблица15[[#This Row],[Дата приема на работу]],TODAY()),0)</f>
        <v>9</v>
      </c>
    </row>
    <row r="41" spans="1:14">
      <c r="A41" s="15">
        <v>19</v>
      </c>
      <c r="B41" s="16">
        <v>98989</v>
      </c>
      <c r="C41" s="1" t="s">
        <v>78</v>
      </c>
      <c r="D41" s="1" t="s">
        <v>79</v>
      </c>
      <c r="E41" s="1" t="s">
        <v>80</v>
      </c>
      <c r="F41" s="1" t="s">
        <v>85</v>
      </c>
      <c r="G41" s="3">
        <v>26286</v>
      </c>
      <c r="H41" s="1" t="s">
        <v>91</v>
      </c>
      <c r="I41" s="3">
        <v>37447</v>
      </c>
      <c r="J41" s="3">
        <v>41304</v>
      </c>
      <c r="K41" s="1" t="s">
        <v>15</v>
      </c>
      <c r="L41" s="1">
        <v>0</v>
      </c>
      <c r="M41" s="16">
        <f>HLOOKUP(Таблица15[[#This Row],[Отдел]],ДолжностныеОклады,MATCH(Таблица15[[#This Row],[Должность]],'Справочные данные'!C$2:C$7,0),0)</f>
        <v>2000</v>
      </c>
      <c r="N41" s="18">
        <f ca="1">ROUNDDOWN(YEARFRAC(Таблица15[[#This Row],[Дата приема на работу]],TODAY()),0)</f>
        <v>19</v>
      </c>
    </row>
    <row r="42" spans="1:14" hidden="1">
      <c r="A42" s="15">
        <v>20</v>
      </c>
      <c r="B42" s="12" t="s">
        <v>81</v>
      </c>
      <c r="C42" s="13" t="s">
        <v>82</v>
      </c>
      <c r="D42" s="13" t="s">
        <v>83</v>
      </c>
      <c r="E42" s="13" t="s">
        <v>84</v>
      </c>
      <c r="F42" s="1" t="s">
        <v>85</v>
      </c>
      <c r="G42" s="3">
        <v>26604</v>
      </c>
      <c r="H42" s="1" t="s">
        <v>91</v>
      </c>
      <c r="I42" s="14">
        <v>42287</v>
      </c>
      <c r="J42" s="13"/>
      <c r="K42" s="13" t="s">
        <v>15</v>
      </c>
      <c r="L42" s="13">
        <v>0</v>
      </c>
      <c r="M42" s="17">
        <f>HLOOKUP(Таблица15[[#This Row],[Отдел]],ДолжностныеОклады,MATCH(Таблица15[[#This Row],[Должность]],'Справочные данные'!C$2:C$7,0),0)</f>
        <v>2000</v>
      </c>
      <c r="N42" s="19">
        <f ca="1">ROUNDDOWN(YEARFRAC(Таблица15[[#This Row],[Дата приема на работу]],TODAY()),0)</f>
        <v>5</v>
      </c>
    </row>
  </sheetData>
  <dataValidations count="2">
    <dataValidation type="list" allowBlank="1" showInputMessage="1" showErrorMessage="1" sqref="H23:H42">
      <formula1>Должности</formula1>
    </dataValidation>
    <dataValidation type="list" allowBlank="1" showInputMessage="1" showErrorMessage="1" sqref="F23:F42">
      <formula1>Подразделения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activeCell="B26" sqref="B26:B44"/>
    </sheetView>
  </sheetViews>
  <sheetFormatPr defaultRowHeight="12.75"/>
  <cols>
    <col min="1" max="1" width="16" customWidth="1"/>
    <col min="5" max="5" width="19.7109375" customWidth="1"/>
    <col min="6" max="6" width="13.85546875" customWidth="1"/>
    <col min="7" max="7" width="13.7109375" customWidth="1"/>
    <col min="8" max="8" width="12.28515625" customWidth="1"/>
    <col min="9" max="9" width="12.42578125" customWidth="1"/>
    <col min="10" max="10" width="12.85546875" customWidth="1"/>
  </cols>
  <sheetData>
    <row r="1" spans="1:14">
      <c r="A1" s="39" t="s">
        <v>147</v>
      </c>
    </row>
    <row r="2" spans="1:14">
      <c r="A2" t="s">
        <v>168</v>
      </c>
    </row>
    <row r="3" spans="1:14">
      <c r="A3" s="38" t="s">
        <v>146</v>
      </c>
    </row>
    <row r="4" spans="1:14">
      <c r="A4" t="b">
        <f>'Учет персонала'!M2&lt;AVERAGE(УчетПерсонала[Оклад])</f>
        <v>0</v>
      </c>
    </row>
    <row r="6" spans="1:14" ht="38.25">
      <c r="A6" s="40" t="s">
        <v>0</v>
      </c>
      <c r="B6" s="40" t="s">
        <v>1</v>
      </c>
      <c r="C6" s="40" t="s">
        <v>2</v>
      </c>
      <c r="D6" s="40" t="s">
        <v>3</v>
      </c>
      <c r="E6" s="40" t="s">
        <v>4</v>
      </c>
      <c r="F6" s="40" t="s">
        <v>5</v>
      </c>
      <c r="G6" s="40" t="s">
        <v>144</v>
      </c>
      <c r="H6" s="40" t="s">
        <v>6</v>
      </c>
      <c r="I6" s="40" t="s">
        <v>7</v>
      </c>
      <c r="J6" s="40" t="s">
        <v>137</v>
      </c>
      <c r="K6" s="40" t="s">
        <v>8</v>
      </c>
      <c r="L6" s="40" t="s">
        <v>9</v>
      </c>
      <c r="M6" s="40" t="s">
        <v>10</v>
      </c>
      <c r="N6" s="40" t="s">
        <v>100</v>
      </c>
    </row>
    <row r="7" spans="1:14">
      <c r="A7" s="41">
        <v>2</v>
      </c>
      <c r="B7" s="41">
        <v>454</v>
      </c>
      <c r="C7" s="42" t="s">
        <v>17</v>
      </c>
      <c r="D7" s="42" t="s">
        <v>13</v>
      </c>
      <c r="E7" s="42" t="s">
        <v>18</v>
      </c>
      <c r="F7" s="42" t="s">
        <v>86</v>
      </c>
      <c r="G7" s="43">
        <v>12805</v>
      </c>
      <c r="H7" s="42" t="s">
        <v>94</v>
      </c>
      <c r="I7" s="43">
        <v>40278</v>
      </c>
      <c r="J7" s="42"/>
      <c r="K7" s="42" t="s">
        <v>15</v>
      </c>
      <c r="L7" s="42">
        <v>1</v>
      </c>
      <c r="M7" s="41">
        <v>1100</v>
      </c>
      <c r="N7" s="41">
        <v>11</v>
      </c>
    </row>
    <row r="8" spans="1:14">
      <c r="A8" s="41">
        <v>4</v>
      </c>
      <c r="B8" s="41">
        <v>12312</v>
      </c>
      <c r="C8" s="42" t="s">
        <v>23</v>
      </c>
      <c r="D8" s="42" t="s">
        <v>21</v>
      </c>
      <c r="E8" s="42" t="s">
        <v>14</v>
      </c>
      <c r="F8" s="42" t="s">
        <v>85</v>
      </c>
      <c r="G8" s="43">
        <v>25886</v>
      </c>
      <c r="H8" s="42" t="s">
        <v>94</v>
      </c>
      <c r="I8" s="43">
        <v>39731</v>
      </c>
      <c r="J8" s="42"/>
      <c r="K8" s="42" t="s">
        <v>15</v>
      </c>
      <c r="L8" s="42">
        <v>1</v>
      </c>
      <c r="M8" s="41">
        <v>1000</v>
      </c>
      <c r="N8" s="41">
        <v>12</v>
      </c>
    </row>
    <row r="9" spans="1:14">
      <c r="A9" s="41">
        <v>6</v>
      </c>
      <c r="B9" s="41">
        <v>23456</v>
      </c>
      <c r="C9" s="42" t="s">
        <v>29</v>
      </c>
      <c r="D9" s="42" t="s">
        <v>30</v>
      </c>
      <c r="E9" s="42" t="s">
        <v>31</v>
      </c>
      <c r="F9" s="42" t="s">
        <v>88</v>
      </c>
      <c r="G9" s="43">
        <v>26238</v>
      </c>
      <c r="H9" s="42" t="s">
        <v>90</v>
      </c>
      <c r="I9" s="43">
        <v>39915</v>
      </c>
      <c r="J9" s="42"/>
      <c r="K9" s="42" t="s">
        <v>15</v>
      </c>
      <c r="L9" s="42">
        <v>5</v>
      </c>
      <c r="M9" s="41">
        <v>1800</v>
      </c>
      <c r="N9" s="41">
        <v>12</v>
      </c>
    </row>
    <row r="10" spans="1:14">
      <c r="A10" s="41">
        <v>8</v>
      </c>
      <c r="B10" s="41">
        <v>45454</v>
      </c>
      <c r="C10" s="42" t="s">
        <v>36</v>
      </c>
      <c r="D10" s="42" t="s">
        <v>26</v>
      </c>
      <c r="E10" s="42" t="s">
        <v>37</v>
      </c>
      <c r="F10" s="42" t="s">
        <v>85</v>
      </c>
      <c r="G10" s="43">
        <v>26206</v>
      </c>
      <c r="H10" s="42" t="s">
        <v>90</v>
      </c>
      <c r="I10" s="43">
        <v>40127</v>
      </c>
      <c r="J10" s="42"/>
      <c r="K10" s="42" t="s">
        <v>15</v>
      </c>
      <c r="L10" s="42">
        <v>1</v>
      </c>
      <c r="M10" s="41">
        <v>1500</v>
      </c>
      <c r="N10" s="41">
        <v>11</v>
      </c>
    </row>
    <row r="11" spans="1:14">
      <c r="A11" s="41">
        <v>9</v>
      </c>
      <c r="B11" s="41">
        <v>45564</v>
      </c>
      <c r="C11" s="42" t="s">
        <v>39</v>
      </c>
      <c r="D11" s="42" t="s">
        <v>40</v>
      </c>
      <c r="E11" s="42" t="s">
        <v>41</v>
      </c>
      <c r="F11" s="42" t="s">
        <v>85</v>
      </c>
      <c r="G11" s="43">
        <v>26286</v>
      </c>
      <c r="H11" s="42" t="s">
        <v>94</v>
      </c>
      <c r="I11" s="43">
        <v>36535</v>
      </c>
      <c r="J11" s="43">
        <v>37246</v>
      </c>
      <c r="K11" s="42" t="s">
        <v>42</v>
      </c>
      <c r="L11" s="42">
        <v>1</v>
      </c>
      <c r="M11" s="41">
        <v>1000</v>
      </c>
      <c r="N11" s="41">
        <v>21</v>
      </c>
    </row>
    <row r="12" spans="1:14">
      <c r="A12" s="41">
        <v>10</v>
      </c>
      <c r="B12" s="41">
        <v>45678</v>
      </c>
      <c r="C12" s="42" t="s">
        <v>44</v>
      </c>
      <c r="D12" s="42" t="s">
        <v>45</v>
      </c>
      <c r="E12" s="42" t="s">
        <v>46</v>
      </c>
      <c r="F12" s="42" t="s">
        <v>86</v>
      </c>
      <c r="G12" s="43">
        <v>26366</v>
      </c>
      <c r="H12" s="42" t="s">
        <v>90</v>
      </c>
      <c r="I12" s="43">
        <v>36626</v>
      </c>
      <c r="J12" s="42"/>
      <c r="K12" s="42" t="s">
        <v>42</v>
      </c>
      <c r="L12" s="42">
        <v>1</v>
      </c>
      <c r="M12" s="41">
        <v>1600</v>
      </c>
      <c r="N12" s="41">
        <v>21</v>
      </c>
    </row>
    <row r="13" spans="1:14">
      <c r="A13" s="41">
        <v>11</v>
      </c>
      <c r="B13" s="41">
        <v>56565</v>
      </c>
      <c r="C13" s="42" t="s">
        <v>48</v>
      </c>
      <c r="D13" s="42" t="s">
        <v>49</v>
      </c>
      <c r="E13" s="42" t="s">
        <v>50</v>
      </c>
      <c r="F13" s="42" t="s">
        <v>88</v>
      </c>
      <c r="G13" s="43">
        <v>20806</v>
      </c>
      <c r="H13" s="42" t="s">
        <v>94</v>
      </c>
      <c r="I13" s="43">
        <v>36717</v>
      </c>
      <c r="J13" s="43">
        <v>37967</v>
      </c>
      <c r="K13" s="42" t="s">
        <v>42</v>
      </c>
      <c r="L13" s="42">
        <v>1</v>
      </c>
      <c r="M13" s="41">
        <v>1300</v>
      </c>
      <c r="N13" s="41">
        <v>21</v>
      </c>
    </row>
    <row r="14" spans="1:14">
      <c r="A14" s="41">
        <v>12</v>
      </c>
      <c r="B14" s="41">
        <v>56786</v>
      </c>
      <c r="C14" s="42" t="s">
        <v>52</v>
      </c>
      <c r="D14" s="42" t="s">
        <v>53</v>
      </c>
      <c r="E14" s="42" t="s">
        <v>54</v>
      </c>
      <c r="F14" s="42" t="s">
        <v>87</v>
      </c>
      <c r="G14" s="43">
        <v>29241</v>
      </c>
      <c r="H14" s="42" t="s">
        <v>94</v>
      </c>
      <c r="I14" s="43">
        <v>35724</v>
      </c>
      <c r="J14" s="42"/>
      <c r="K14" s="42" t="s">
        <v>42</v>
      </c>
      <c r="L14" s="42">
        <v>1</v>
      </c>
      <c r="M14" s="41">
        <v>1200</v>
      </c>
      <c r="N14" s="41">
        <v>23</v>
      </c>
    </row>
    <row r="15" spans="1:14">
      <c r="A15" s="41">
        <v>16</v>
      </c>
      <c r="B15" s="41">
        <v>78901</v>
      </c>
      <c r="C15" s="42" t="s">
        <v>67</v>
      </c>
      <c r="D15" s="42" t="s">
        <v>68</v>
      </c>
      <c r="E15" s="42" t="s">
        <v>69</v>
      </c>
      <c r="F15" s="42" t="s">
        <v>85</v>
      </c>
      <c r="G15" s="43">
        <v>26046</v>
      </c>
      <c r="H15" s="42" t="s">
        <v>91</v>
      </c>
      <c r="I15" s="43">
        <v>37177</v>
      </c>
      <c r="J15" s="42"/>
      <c r="K15" s="42" t="s">
        <v>15</v>
      </c>
      <c r="L15" s="42">
        <v>1</v>
      </c>
      <c r="M15" s="41">
        <v>2000</v>
      </c>
      <c r="N15" s="41">
        <v>19</v>
      </c>
    </row>
    <row r="16" spans="1:14">
      <c r="A16" s="41">
        <v>17</v>
      </c>
      <c r="B16" s="41">
        <v>89012</v>
      </c>
      <c r="C16" s="42" t="s">
        <v>71</v>
      </c>
      <c r="D16" s="42" t="s">
        <v>72</v>
      </c>
      <c r="E16" s="42" t="s">
        <v>41</v>
      </c>
      <c r="F16" s="42" t="s">
        <v>88</v>
      </c>
      <c r="G16" s="43">
        <v>26126</v>
      </c>
      <c r="H16" s="42" t="s">
        <v>90</v>
      </c>
      <c r="I16" s="43">
        <v>37266</v>
      </c>
      <c r="J16" s="42"/>
      <c r="K16" s="42" t="s">
        <v>42</v>
      </c>
      <c r="L16" s="42">
        <v>2</v>
      </c>
      <c r="M16" s="41">
        <v>1800</v>
      </c>
      <c r="N16" s="41">
        <v>19</v>
      </c>
    </row>
    <row r="17" spans="1:14">
      <c r="A17" s="41">
        <v>19</v>
      </c>
      <c r="B17" s="41">
        <v>98989</v>
      </c>
      <c r="C17" s="42" t="s">
        <v>78</v>
      </c>
      <c r="D17" s="42" t="s">
        <v>79</v>
      </c>
      <c r="E17" s="42" t="s">
        <v>80</v>
      </c>
      <c r="F17" s="42" t="s">
        <v>85</v>
      </c>
      <c r="G17" s="43">
        <v>26286</v>
      </c>
      <c r="H17" s="42" t="s">
        <v>91</v>
      </c>
      <c r="I17" s="43">
        <v>37447</v>
      </c>
      <c r="J17" s="43">
        <v>41304</v>
      </c>
      <c r="K17" s="42" t="s">
        <v>15</v>
      </c>
      <c r="L17" s="42">
        <v>0</v>
      </c>
      <c r="M17" s="41">
        <v>2000</v>
      </c>
      <c r="N17" s="41">
        <v>19</v>
      </c>
    </row>
    <row r="18" spans="1:14">
      <c r="A18" s="41">
        <v>20</v>
      </c>
      <c r="B18" s="41">
        <v>99999</v>
      </c>
      <c r="C18" s="42" t="s">
        <v>82</v>
      </c>
      <c r="D18" s="42" t="s">
        <v>83</v>
      </c>
      <c r="E18" s="42" t="s">
        <v>84</v>
      </c>
      <c r="F18" s="42" t="s">
        <v>85</v>
      </c>
      <c r="G18" s="43">
        <v>26604</v>
      </c>
      <c r="H18" s="42" t="s">
        <v>91</v>
      </c>
      <c r="I18" s="43">
        <v>42287</v>
      </c>
      <c r="J18" s="42"/>
      <c r="K18" s="42" t="s">
        <v>15</v>
      </c>
      <c r="L18" s="42">
        <v>0</v>
      </c>
      <c r="M18" s="41">
        <v>2000</v>
      </c>
      <c r="N18" s="41">
        <v>5</v>
      </c>
    </row>
    <row r="21" spans="1:14">
      <c r="A21" s="39" t="s">
        <v>147</v>
      </c>
    </row>
    <row r="22" spans="1:14">
      <c r="A22" t="s">
        <v>167</v>
      </c>
    </row>
    <row r="24" spans="1:14" ht="38.25">
      <c r="A24" s="9" t="s">
        <v>0</v>
      </c>
      <c r="B24" s="10" t="s">
        <v>1</v>
      </c>
      <c r="C24" s="10" t="s">
        <v>2</v>
      </c>
      <c r="D24" s="10" t="s">
        <v>3</v>
      </c>
      <c r="E24" s="10" t="s">
        <v>4</v>
      </c>
      <c r="F24" s="10" t="s">
        <v>5</v>
      </c>
      <c r="G24" s="10" t="s">
        <v>144</v>
      </c>
      <c r="H24" s="10" t="s">
        <v>6</v>
      </c>
      <c r="I24" s="10" t="s">
        <v>7</v>
      </c>
      <c r="J24" s="10" t="s">
        <v>137</v>
      </c>
      <c r="K24" s="10" t="s">
        <v>8</v>
      </c>
      <c r="L24" s="10" t="s">
        <v>9</v>
      </c>
      <c r="M24" s="10" t="s">
        <v>10</v>
      </c>
      <c r="N24" s="11" t="s">
        <v>100</v>
      </c>
    </row>
    <row r="25" spans="1:14" hidden="1">
      <c r="A25" s="15">
        <v>1</v>
      </c>
      <c r="B25" s="2" t="s">
        <v>11</v>
      </c>
      <c r="C25" s="1" t="s">
        <v>12</v>
      </c>
      <c r="D25" s="1" t="s">
        <v>13</v>
      </c>
      <c r="E25" s="1" t="s">
        <v>14</v>
      </c>
      <c r="F25" s="1" t="s">
        <v>85</v>
      </c>
      <c r="G25" s="3">
        <v>19295</v>
      </c>
      <c r="H25" s="1" t="s">
        <v>93</v>
      </c>
      <c r="I25" s="3">
        <v>39457</v>
      </c>
      <c r="J25" s="1"/>
      <c r="K25" s="1" t="s">
        <v>15</v>
      </c>
      <c r="L25" s="1">
        <v>2</v>
      </c>
      <c r="M25" s="16">
        <f>HLOOKUP(Таблица16[[#This Row],[Отдел]],ДолжностныеОклады,MATCH(Таблица16[[#This Row],[Должность]],'Справочные данные'!C$2:C$7,0),0)</f>
        <v>3000</v>
      </c>
      <c r="N25" s="18">
        <f ca="1">ROUNDDOWN(YEARFRAC(Таблица16[[#This Row],[Дата приема на работу]],TODAY()),0)</f>
        <v>13</v>
      </c>
    </row>
    <row r="26" spans="1:14">
      <c r="A26" s="15">
        <v>2</v>
      </c>
      <c r="B26" s="16">
        <v>454</v>
      </c>
      <c r="C26" s="1" t="s">
        <v>17</v>
      </c>
      <c r="D26" s="1" t="s">
        <v>13</v>
      </c>
      <c r="E26" s="1" t="s">
        <v>18</v>
      </c>
      <c r="F26" s="1" t="s">
        <v>86</v>
      </c>
      <c r="G26" s="3">
        <v>12805</v>
      </c>
      <c r="H26" s="1" t="s">
        <v>94</v>
      </c>
      <c r="I26" s="3">
        <v>40278</v>
      </c>
      <c r="J26" s="1"/>
      <c r="K26" s="1" t="s">
        <v>15</v>
      </c>
      <c r="L26" s="1">
        <v>1</v>
      </c>
      <c r="M26" s="16">
        <f>HLOOKUP(Таблица16[[#This Row],[Отдел]],ДолжностныеОклады,MATCH(Таблица16[[#This Row],[Должность]],'Справочные данные'!C$2:C$7,0),0)</f>
        <v>1100</v>
      </c>
      <c r="N26" s="18">
        <f ca="1">ROUNDDOWN(YEARFRAC(Таблица16[[#This Row],[Дата приема на работу]],TODAY()),0)</f>
        <v>11</v>
      </c>
    </row>
    <row r="27" spans="1:14" hidden="1">
      <c r="A27" s="15">
        <v>3</v>
      </c>
      <c r="B27" s="16">
        <v>1234</v>
      </c>
      <c r="C27" s="1" t="s">
        <v>20</v>
      </c>
      <c r="D27" s="1" t="s">
        <v>21</v>
      </c>
      <c r="E27" s="1" t="s">
        <v>18</v>
      </c>
      <c r="F27" s="1" t="s">
        <v>87</v>
      </c>
      <c r="G27" s="3">
        <v>33111</v>
      </c>
      <c r="H27" s="1" t="s">
        <v>91</v>
      </c>
      <c r="I27" s="3">
        <v>40745</v>
      </c>
      <c r="J27" s="1"/>
      <c r="K27" s="1" t="s">
        <v>15</v>
      </c>
      <c r="L27" s="1">
        <v>2</v>
      </c>
      <c r="M27" s="16">
        <f>HLOOKUP(Таблица16[[#This Row],[Отдел]],ДолжностныеОклады,MATCH(Таблица16[[#This Row],[Должность]],'Справочные данные'!C$2:C$7,0),0)</f>
        <v>2200</v>
      </c>
      <c r="N27" s="18">
        <f ca="1">ROUNDDOWN(YEARFRAC(Таблица16[[#This Row],[Дата приема на работу]],TODAY()),0)</f>
        <v>10</v>
      </c>
    </row>
    <row r="28" spans="1:14">
      <c r="A28" s="15">
        <v>4</v>
      </c>
      <c r="B28" s="16">
        <v>12312</v>
      </c>
      <c r="C28" s="1" t="s">
        <v>23</v>
      </c>
      <c r="D28" s="1" t="s">
        <v>21</v>
      </c>
      <c r="E28" s="1" t="s">
        <v>14</v>
      </c>
      <c r="F28" s="1" t="s">
        <v>85</v>
      </c>
      <c r="G28" s="3">
        <v>25886</v>
      </c>
      <c r="H28" s="1" t="s">
        <v>94</v>
      </c>
      <c r="I28" s="3">
        <v>39731</v>
      </c>
      <c r="J28" s="1"/>
      <c r="K28" s="1" t="s">
        <v>15</v>
      </c>
      <c r="L28" s="1">
        <v>1</v>
      </c>
      <c r="M28" s="16">
        <f>HLOOKUP(Таблица16[[#This Row],[Отдел]],ДолжностныеОклады,MATCH(Таблица16[[#This Row],[Должность]],'Справочные данные'!C$2:C$7,0),0)</f>
        <v>1000</v>
      </c>
      <c r="N28" s="18">
        <f ca="1">ROUNDDOWN(YEARFRAC(Таблица16[[#This Row],[Дата приема на работу]],TODAY()),0)</f>
        <v>12</v>
      </c>
    </row>
    <row r="29" spans="1:14" hidden="1">
      <c r="A29" s="15">
        <v>5</v>
      </c>
      <c r="B29" s="16">
        <v>12345</v>
      </c>
      <c r="C29" s="1" t="s">
        <v>25</v>
      </c>
      <c r="D29" s="1" t="s">
        <v>26</v>
      </c>
      <c r="E29" s="1" t="s">
        <v>27</v>
      </c>
      <c r="F29" s="1" t="s">
        <v>87</v>
      </c>
      <c r="G29" s="3">
        <v>25966</v>
      </c>
      <c r="H29" s="1" t="s">
        <v>93</v>
      </c>
      <c r="I29" s="3">
        <v>39823</v>
      </c>
      <c r="J29" s="3">
        <v>40826</v>
      </c>
      <c r="K29" s="1" t="s">
        <v>15</v>
      </c>
      <c r="L29" s="1">
        <v>0</v>
      </c>
      <c r="M29" s="16">
        <f>HLOOKUP(Таблица16[[#This Row],[Отдел]],ДолжностныеОклады,MATCH(Таблица16[[#This Row],[Должность]],'Справочные данные'!C$2:C$7,0),0)</f>
        <v>3200</v>
      </c>
      <c r="N29" s="18">
        <f ca="1">ROUNDDOWN(YEARFRAC(Таблица16[[#This Row],[Дата приема на работу]],TODAY()),0)</f>
        <v>12</v>
      </c>
    </row>
    <row r="30" spans="1:14">
      <c r="A30" s="15">
        <v>6</v>
      </c>
      <c r="B30" s="16">
        <v>23456</v>
      </c>
      <c r="C30" s="1" t="s">
        <v>29</v>
      </c>
      <c r="D30" s="1" t="s">
        <v>30</v>
      </c>
      <c r="E30" s="1" t="s">
        <v>31</v>
      </c>
      <c r="F30" s="1" t="s">
        <v>88</v>
      </c>
      <c r="G30" s="3">
        <v>26238</v>
      </c>
      <c r="H30" s="1" t="s">
        <v>90</v>
      </c>
      <c r="I30" s="3">
        <v>39915</v>
      </c>
      <c r="J30" s="1"/>
      <c r="K30" s="1" t="s">
        <v>15</v>
      </c>
      <c r="L30" s="1">
        <v>5</v>
      </c>
      <c r="M30" s="16">
        <f>HLOOKUP(Таблица16[[#This Row],[Отдел]],ДолжностныеОклады,MATCH(Таблица16[[#This Row],[Должность]],'Справочные данные'!C$2:C$7,0),0)</f>
        <v>1800</v>
      </c>
      <c r="N30" s="18">
        <f ca="1">ROUNDDOWN(YEARFRAC(Таблица16[[#This Row],[Дата приема на работу]],TODAY()),0)</f>
        <v>12</v>
      </c>
    </row>
    <row r="31" spans="1:14" hidden="1">
      <c r="A31" s="15">
        <v>7</v>
      </c>
      <c r="B31" s="16">
        <v>34567</v>
      </c>
      <c r="C31" s="1" t="s">
        <v>33</v>
      </c>
      <c r="D31" s="1" t="s">
        <v>34</v>
      </c>
      <c r="E31" s="1" t="s">
        <v>31</v>
      </c>
      <c r="F31" s="1" t="s">
        <v>88</v>
      </c>
      <c r="G31" s="3">
        <v>31240</v>
      </c>
      <c r="H31" s="1" t="s">
        <v>93</v>
      </c>
      <c r="I31" s="3">
        <v>38559</v>
      </c>
      <c r="J31" s="1"/>
      <c r="K31" s="1" t="s">
        <v>15</v>
      </c>
      <c r="L31" s="1">
        <v>1</v>
      </c>
      <c r="M31" s="16">
        <f>HLOOKUP(Таблица16[[#This Row],[Отдел]],ДолжностныеОклады,MATCH(Таблица16[[#This Row],[Должность]],'Справочные данные'!C$2:C$7,0),0)</f>
        <v>3300</v>
      </c>
      <c r="N31" s="18">
        <f ca="1">ROUNDDOWN(YEARFRAC(Таблица16[[#This Row],[Дата приема на работу]],TODAY()),0)</f>
        <v>16</v>
      </c>
    </row>
    <row r="32" spans="1:14">
      <c r="A32" s="15">
        <v>8</v>
      </c>
      <c r="B32" s="16">
        <v>45454</v>
      </c>
      <c r="C32" s="1" t="s">
        <v>36</v>
      </c>
      <c r="D32" s="1" t="s">
        <v>26</v>
      </c>
      <c r="E32" s="1" t="s">
        <v>37</v>
      </c>
      <c r="F32" s="1" t="s">
        <v>85</v>
      </c>
      <c r="G32" s="3">
        <v>26206</v>
      </c>
      <c r="H32" s="1" t="s">
        <v>90</v>
      </c>
      <c r="I32" s="3">
        <v>40127</v>
      </c>
      <c r="J32" s="1"/>
      <c r="K32" s="1" t="s">
        <v>15</v>
      </c>
      <c r="L32" s="1">
        <v>1</v>
      </c>
      <c r="M32" s="16">
        <f>HLOOKUP(Таблица16[[#This Row],[Отдел]],ДолжностныеОклады,MATCH(Таблица16[[#This Row],[Должность]],'Справочные данные'!C$2:C$7,0),0)</f>
        <v>1500</v>
      </c>
      <c r="N32" s="18">
        <f ca="1">ROUNDDOWN(YEARFRAC(Таблица16[[#This Row],[Дата приема на работу]],TODAY()),0)</f>
        <v>11</v>
      </c>
    </row>
    <row r="33" spans="1:14">
      <c r="A33" s="15">
        <v>9</v>
      </c>
      <c r="B33" s="16">
        <v>45564</v>
      </c>
      <c r="C33" s="1" t="s">
        <v>39</v>
      </c>
      <c r="D33" s="1" t="s">
        <v>40</v>
      </c>
      <c r="E33" s="1" t="s">
        <v>41</v>
      </c>
      <c r="F33" s="1" t="s">
        <v>85</v>
      </c>
      <c r="G33" s="3">
        <v>26286</v>
      </c>
      <c r="H33" s="1" t="s">
        <v>94</v>
      </c>
      <c r="I33" s="3">
        <v>36535</v>
      </c>
      <c r="J33" s="3">
        <v>37246</v>
      </c>
      <c r="K33" s="1" t="s">
        <v>42</v>
      </c>
      <c r="L33" s="1">
        <v>1</v>
      </c>
      <c r="M33" s="16">
        <f>HLOOKUP(Таблица16[[#This Row],[Отдел]],ДолжностныеОклады,MATCH(Таблица16[[#This Row],[Должность]],'Справочные данные'!C$2:C$7,0),0)</f>
        <v>1000</v>
      </c>
      <c r="N33" s="18">
        <f ca="1">ROUNDDOWN(YEARFRAC(Таблица16[[#This Row],[Дата приема на работу]],TODAY()),0)</f>
        <v>21</v>
      </c>
    </row>
    <row r="34" spans="1:14">
      <c r="A34" s="15">
        <v>10</v>
      </c>
      <c r="B34" s="16">
        <v>45678</v>
      </c>
      <c r="C34" s="1" t="s">
        <v>44</v>
      </c>
      <c r="D34" s="1" t="s">
        <v>45</v>
      </c>
      <c r="E34" s="1" t="s">
        <v>46</v>
      </c>
      <c r="F34" s="1" t="s">
        <v>86</v>
      </c>
      <c r="G34" s="3">
        <v>26366</v>
      </c>
      <c r="H34" s="1" t="s">
        <v>90</v>
      </c>
      <c r="I34" s="3">
        <v>36626</v>
      </c>
      <c r="J34" s="1"/>
      <c r="K34" s="1" t="s">
        <v>42</v>
      </c>
      <c r="L34" s="1">
        <v>1</v>
      </c>
      <c r="M34" s="16">
        <f>HLOOKUP(Таблица16[[#This Row],[Отдел]],ДолжностныеОклады,MATCH(Таблица16[[#This Row],[Должность]],'Справочные данные'!C$2:C$7,0),0)</f>
        <v>1600</v>
      </c>
      <c r="N34" s="18">
        <f ca="1">ROUNDDOWN(YEARFRAC(Таблица16[[#This Row],[Дата приема на работу]],TODAY()),0)</f>
        <v>21</v>
      </c>
    </row>
    <row r="35" spans="1:14">
      <c r="A35" s="15">
        <v>11</v>
      </c>
      <c r="B35" s="16">
        <v>56565</v>
      </c>
      <c r="C35" s="1" t="s">
        <v>48</v>
      </c>
      <c r="D35" s="1" t="s">
        <v>49</v>
      </c>
      <c r="E35" s="1" t="s">
        <v>50</v>
      </c>
      <c r="F35" s="1" t="s">
        <v>88</v>
      </c>
      <c r="G35" s="3">
        <v>20806</v>
      </c>
      <c r="H35" s="1" t="s">
        <v>94</v>
      </c>
      <c r="I35" s="3">
        <v>36717</v>
      </c>
      <c r="J35" s="3">
        <v>37967</v>
      </c>
      <c r="K35" s="1" t="s">
        <v>42</v>
      </c>
      <c r="L35" s="1">
        <v>1</v>
      </c>
      <c r="M35" s="16">
        <f>HLOOKUP(Таблица16[[#This Row],[Отдел]],ДолжностныеОклады,MATCH(Таблица16[[#This Row],[Должность]],'Справочные данные'!C$2:C$7,0),0)</f>
        <v>1300</v>
      </c>
      <c r="N35" s="18">
        <f ca="1">ROUNDDOWN(YEARFRAC(Таблица16[[#This Row],[Дата приема на работу]],TODAY()),0)</f>
        <v>21</v>
      </c>
    </row>
    <row r="36" spans="1:14">
      <c r="A36" s="15">
        <v>12</v>
      </c>
      <c r="B36" s="16">
        <v>56786</v>
      </c>
      <c r="C36" s="1" t="s">
        <v>52</v>
      </c>
      <c r="D36" s="1" t="s">
        <v>53</v>
      </c>
      <c r="E36" s="1" t="s">
        <v>54</v>
      </c>
      <c r="F36" s="1" t="s">
        <v>87</v>
      </c>
      <c r="G36" s="3">
        <v>29241</v>
      </c>
      <c r="H36" s="1" t="s">
        <v>94</v>
      </c>
      <c r="I36" s="3">
        <v>35724</v>
      </c>
      <c r="J36" s="1"/>
      <c r="K36" s="1" t="s">
        <v>42</v>
      </c>
      <c r="L36" s="1">
        <v>1</v>
      </c>
      <c r="M36" s="16">
        <f>HLOOKUP(Таблица16[[#This Row],[Отдел]],ДолжностныеОклады,MATCH(Таблица16[[#This Row],[Должность]],'Справочные данные'!C$2:C$7,0),0)</f>
        <v>1200</v>
      </c>
      <c r="N36" s="18">
        <f ca="1">ROUNDDOWN(YEARFRAC(Таблица16[[#This Row],[Дата приема на работу]],TODAY()),0)</f>
        <v>23</v>
      </c>
    </row>
    <row r="37" spans="1:14" hidden="1">
      <c r="A37" s="15">
        <v>13</v>
      </c>
      <c r="B37" s="16">
        <v>56789</v>
      </c>
      <c r="C37" s="1" t="s">
        <v>56</v>
      </c>
      <c r="D37" s="1" t="s">
        <v>57</v>
      </c>
      <c r="E37" s="1" t="s">
        <v>58</v>
      </c>
      <c r="F37" s="1" t="s">
        <v>86</v>
      </c>
      <c r="G37" s="3">
        <v>33111</v>
      </c>
      <c r="H37" s="1" t="s">
        <v>93</v>
      </c>
      <c r="I37" s="3">
        <v>40553</v>
      </c>
      <c r="J37" s="1"/>
      <c r="K37" s="1" t="s">
        <v>15</v>
      </c>
      <c r="L37" s="1">
        <v>1</v>
      </c>
      <c r="M37" s="16">
        <f>HLOOKUP(Таблица16[[#This Row],[Отдел]],ДолжностныеОклады,MATCH(Таблица16[[#This Row],[Должность]],'Справочные данные'!C$2:C$7,0),0)</f>
        <v>3100</v>
      </c>
      <c r="N37" s="18">
        <f ca="1">ROUNDDOWN(YEARFRAC(Таблица16[[#This Row],[Дата приема на работу]],TODAY()),0)</f>
        <v>10</v>
      </c>
    </row>
    <row r="38" spans="1:14" hidden="1">
      <c r="A38" s="15">
        <v>14</v>
      </c>
      <c r="B38" s="16">
        <v>67890</v>
      </c>
      <c r="C38" s="1" t="s">
        <v>60</v>
      </c>
      <c r="D38" s="1" t="s">
        <v>13</v>
      </c>
      <c r="E38" s="1" t="s">
        <v>61</v>
      </c>
      <c r="F38" s="1" t="s">
        <v>87</v>
      </c>
      <c r="G38" s="3">
        <v>25886</v>
      </c>
      <c r="H38" s="1" t="s">
        <v>91</v>
      </c>
      <c r="I38" s="3">
        <v>37011</v>
      </c>
      <c r="J38" s="1"/>
      <c r="K38" s="1" t="s">
        <v>15</v>
      </c>
      <c r="L38" s="1">
        <v>1</v>
      </c>
      <c r="M38" s="16">
        <f>HLOOKUP(Таблица16[[#This Row],[Отдел]],ДолжностныеОклады,MATCH(Таблица16[[#This Row],[Должность]],'Справочные данные'!C$2:C$7,0),0)</f>
        <v>2200</v>
      </c>
      <c r="N38" s="18">
        <f ca="1">ROUNDDOWN(YEARFRAC(Таблица16[[#This Row],[Дата приема на работу]],TODAY()),0)</f>
        <v>20</v>
      </c>
    </row>
    <row r="39" spans="1:14" hidden="1">
      <c r="A39" s="15">
        <v>15</v>
      </c>
      <c r="B39" s="16">
        <v>78787</v>
      </c>
      <c r="C39" s="1" t="s">
        <v>63</v>
      </c>
      <c r="D39" s="1" t="s">
        <v>64</v>
      </c>
      <c r="E39" s="1" t="s">
        <v>65</v>
      </c>
      <c r="F39" s="1" t="s">
        <v>88</v>
      </c>
      <c r="G39" s="3">
        <v>25966</v>
      </c>
      <c r="H39" s="1" t="s">
        <v>92</v>
      </c>
      <c r="I39" s="3">
        <v>37082</v>
      </c>
      <c r="J39" s="1"/>
      <c r="K39" s="1" t="s">
        <v>15</v>
      </c>
      <c r="L39" s="1">
        <v>5</v>
      </c>
      <c r="M39" s="16">
        <f>HLOOKUP(Таблица16[[#This Row],[Отдел]],ДолжностныеОклады,MATCH(Таблица16[[#This Row],[Должность]],'Справочные данные'!C$2:C$7,0),0)</f>
        <v>2800</v>
      </c>
      <c r="N39" s="18">
        <f ca="1">ROUNDDOWN(YEARFRAC(Таблица16[[#This Row],[Дата приема на работу]],TODAY()),0)</f>
        <v>20</v>
      </c>
    </row>
    <row r="40" spans="1:14">
      <c r="A40" s="15">
        <v>16</v>
      </c>
      <c r="B40" s="16">
        <v>78901</v>
      </c>
      <c r="C40" s="1" t="s">
        <v>67</v>
      </c>
      <c r="D40" s="1" t="s">
        <v>68</v>
      </c>
      <c r="E40" s="1" t="s">
        <v>69</v>
      </c>
      <c r="F40" s="1" t="s">
        <v>85</v>
      </c>
      <c r="G40" s="3">
        <v>26046</v>
      </c>
      <c r="H40" s="1" t="s">
        <v>91</v>
      </c>
      <c r="I40" s="3">
        <v>37177</v>
      </c>
      <c r="J40" s="1"/>
      <c r="K40" s="1" t="s">
        <v>15</v>
      </c>
      <c r="L40" s="1">
        <v>1</v>
      </c>
      <c r="M40" s="16">
        <f>HLOOKUP(Таблица16[[#This Row],[Отдел]],ДолжностныеОклады,MATCH(Таблица16[[#This Row],[Должность]],'Справочные данные'!C$2:C$7,0),0)</f>
        <v>2000</v>
      </c>
      <c r="N40" s="18">
        <f ca="1">ROUNDDOWN(YEARFRAC(Таблица16[[#This Row],[Дата приема на работу]],TODAY()),0)</f>
        <v>19</v>
      </c>
    </row>
    <row r="41" spans="1:14">
      <c r="A41" s="15">
        <v>17</v>
      </c>
      <c r="B41" s="16">
        <v>89012</v>
      </c>
      <c r="C41" s="1" t="s">
        <v>71</v>
      </c>
      <c r="D41" s="1" t="s">
        <v>72</v>
      </c>
      <c r="E41" s="1" t="s">
        <v>41</v>
      </c>
      <c r="F41" s="1" t="s">
        <v>88</v>
      </c>
      <c r="G41" s="3">
        <v>26126</v>
      </c>
      <c r="H41" s="1" t="s">
        <v>90</v>
      </c>
      <c r="I41" s="3">
        <v>37266</v>
      </c>
      <c r="J41" s="1"/>
      <c r="K41" s="1" t="s">
        <v>42</v>
      </c>
      <c r="L41" s="1">
        <v>2</v>
      </c>
      <c r="M41" s="16">
        <f>HLOOKUP(Таблица16[[#This Row],[Отдел]],ДолжностныеОклады,MATCH(Таблица16[[#This Row],[Должность]],'Справочные данные'!C$2:C$7,0),0)</f>
        <v>1800</v>
      </c>
      <c r="N41" s="18">
        <f ca="1">ROUNDDOWN(YEARFRAC(Таблица16[[#This Row],[Дата приема на работу]],TODAY()),0)</f>
        <v>19</v>
      </c>
    </row>
    <row r="42" spans="1:14" hidden="1">
      <c r="A42" s="15">
        <v>18</v>
      </c>
      <c r="B42" s="16">
        <v>90123</v>
      </c>
      <c r="C42" s="1" t="s">
        <v>74</v>
      </c>
      <c r="D42" s="1" t="s">
        <v>75</v>
      </c>
      <c r="E42" s="1" t="s">
        <v>76</v>
      </c>
      <c r="F42" s="1" t="s">
        <v>87</v>
      </c>
      <c r="G42" s="3">
        <v>26206</v>
      </c>
      <c r="H42" s="1" t="s">
        <v>93</v>
      </c>
      <c r="I42" s="3">
        <v>41009</v>
      </c>
      <c r="J42" s="1"/>
      <c r="K42" s="1" t="s">
        <v>42</v>
      </c>
      <c r="L42" s="1">
        <v>2</v>
      </c>
      <c r="M42" s="16">
        <f>HLOOKUP(Таблица16[[#This Row],[Отдел]],ДолжностныеОклады,MATCH(Таблица16[[#This Row],[Должность]],'Справочные данные'!C$2:C$7,0),0)</f>
        <v>3200</v>
      </c>
      <c r="N42" s="18">
        <f ca="1">ROUNDDOWN(YEARFRAC(Таблица16[[#This Row],[Дата приема на работу]],TODAY()),0)</f>
        <v>9</v>
      </c>
    </row>
    <row r="43" spans="1:14">
      <c r="A43" s="15">
        <v>19</v>
      </c>
      <c r="B43" s="16">
        <v>98989</v>
      </c>
      <c r="C43" s="1" t="s">
        <v>78</v>
      </c>
      <c r="D43" s="1" t="s">
        <v>79</v>
      </c>
      <c r="E43" s="1" t="s">
        <v>80</v>
      </c>
      <c r="F43" s="1" t="s">
        <v>85</v>
      </c>
      <c r="G43" s="3">
        <v>26286</v>
      </c>
      <c r="H43" s="1" t="s">
        <v>91</v>
      </c>
      <c r="I43" s="3">
        <v>37447</v>
      </c>
      <c r="J43" s="3">
        <v>41304</v>
      </c>
      <c r="K43" s="1" t="s">
        <v>15</v>
      </c>
      <c r="L43" s="1">
        <v>0</v>
      </c>
      <c r="M43" s="16">
        <f>HLOOKUP(Таблица16[[#This Row],[Отдел]],ДолжностныеОклады,MATCH(Таблица16[[#This Row],[Должность]],'Справочные данные'!C$2:C$7,0),0)</f>
        <v>2000</v>
      </c>
      <c r="N43" s="18">
        <f ca="1">ROUNDDOWN(YEARFRAC(Таблица16[[#This Row],[Дата приема на работу]],TODAY()),0)</f>
        <v>19</v>
      </c>
    </row>
    <row r="44" spans="1:14">
      <c r="A44" s="15">
        <v>20</v>
      </c>
      <c r="B44" s="17">
        <v>99999</v>
      </c>
      <c r="C44" s="13" t="s">
        <v>82</v>
      </c>
      <c r="D44" s="13" t="s">
        <v>83</v>
      </c>
      <c r="E44" s="13" t="s">
        <v>84</v>
      </c>
      <c r="F44" s="1" t="s">
        <v>85</v>
      </c>
      <c r="G44" s="3">
        <v>26604</v>
      </c>
      <c r="H44" s="1" t="s">
        <v>91</v>
      </c>
      <c r="I44" s="14">
        <v>42287</v>
      </c>
      <c r="J44" s="13"/>
      <c r="K44" s="13" t="s">
        <v>15</v>
      </c>
      <c r="L44" s="13">
        <v>0</v>
      </c>
      <c r="M44" s="17">
        <f>HLOOKUP(Таблица16[[#This Row],[Отдел]],ДолжностныеОклады,MATCH(Таблица16[[#This Row],[Должность]],'Справочные данные'!C$2:C$7,0),0)</f>
        <v>2000</v>
      </c>
      <c r="N44" s="19">
        <f ca="1">ROUNDDOWN(YEARFRAC(Таблица16[[#This Row],[Дата приема на работу]],TODAY()),0)</f>
        <v>5</v>
      </c>
    </row>
  </sheetData>
  <dataValidations count="2">
    <dataValidation type="list" allowBlank="1" showInputMessage="1" showErrorMessage="1" sqref="H25:H44">
      <formula1>Должности</formula1>
    </dataValidation>
    <dataValidation type="list" allowBlank="1" showInputMessage="1" showErrorMessage="1" sqref="F25:F44">
      <formula1>Подразделения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4" sqref="A4"/>
    </sheetView>
  </sheetViews>
  <sheetFormatPr defaultRowHeight="12.75"/>
  <cols>
    <col min="1" max="1" width="18.28515625" bestFit="1" customWidth="1"/>
    <col min="2" max="2" width="24.7109375" customWidth="1"/>
  </cols>
  <sheetData>
    <row r="1" spans="1:2">
      <c r="A1" s="38" t="s">
        <v>160</v>
      </c>
    </row>
    <row r="3" spans="1:2">
      <c r="A3" s="22" t="s">
        <v>183</v>
      </c>
      <c r="B3" t="s">
        <v>182</v>
      </c>
    </row>
    <row r="4" spans="1:2">
      <c r="A4" s="44" t="s">
        <v>150</v>
      </c>
      <c r="B4" s="24">
        <v>2</v>
      </c>
    </row>
    <row r="5" spans="1:2">
      <c r="A5" s="44" t="s">
        <v>151</v>
      </c>
      <c r="B5" s="24">
        <v>2</v>
      </c>
    </row>
    <row r="6" spans="1:2">
      <c r="A6" s="44" t="s">
        <v>152</v>
      </c>
      <c r="B6" s="24">
        <v>1</v>
      </c>
    </row>
    <row r="7" spans="1:2">
      <c r="A7" s="44" t="s">
        <v>153</v>
      </c>
      <c r="B7" s="24">
        <v>1</v>
      </c>
    </row>
    <row r="8" spans="1:2">
      <c r="A8" s="44" t="s">
        <v>154</v>
      </c>
      <c r="B8" s="24">
        <v>2</v>
      </c>
    </row>
    <row r="9" spans="1:2">
      <c r="A9" s="44" t="s">
        <v>155</v>
      </c>
      <c r="B9" s="24">
        <v>2</v>
      </c>
    </row>
    <row r="10" spans="1:2">
      <c r="A10" s="44" t="s">
        <v>156</v>
      </c>
      <c r="B10" s="24">
        <v>2</v>
      </c>
    </row>
    <row r="11" spans="1:2">
      <c r="A11" s="44" t="s">
        <v>157</v>
      </c>
      <c r="B11" s="24">
        <v>1</v>
      </c>
    </row>
    <row r="12" spans="1:2">
      <c r="A12" s="44" t="s">
        <v>158</v>
      </c>
      <c r="B12" s="24">
        <v>4</v>
      </c>
    </row>
    <row r="13" spans="1:2">
      <c r="A13" s="44" t="s">
        <v>159</v>
      </c>
      <c r="B13" s="24">
        <v>3</v>
      </c>
    </row>
    <row r="14" spans="1:2">
      <c r="A14" s="44" t="s">
        <v>134</v>
      </c>
      <c r="B14" s="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AG40"/>
  <sheetViews>
    <sheetView workbookViewId="0">
      <selection activeCell="B1" sqref="B1"/>
    </sheetView>
  </sheetViews>
  <sheetFormatPr defaultRowHeight="12.75"/>
  <cols>
    <col min="1" max="1" width="7.140625" style="25" customWidth="1"/>
    <col min="2" max="2" width="12.5703125" style="23" customWidth="1"/>
    <col min="3" max="3" width="15.28515625" customWidth="1"/>
    <col min="4" max="4" width="13.140625" customWidth="1"/>
    <col min="5" max="5" width="13.85546875" customWidth="1"/>
    <col min="6" max="6" width="15.42578125" customWidth="1"/>
    <col min="7" max="7" width="14.85546875" customWidth="1"/>
    <col min="8" max="8" width="14" customWidth="1"/>
    <col min="9" max="9" width="15.140625" customWidth="1"/>
    <col min="10" max="10" width="18.28515625" customWidth="1"/>
    <col min="11" max="11" width="6.42578125" style="25" customWidth="1"/>
    <col min="12" max="12" width="14.140625" style="25" customWidth="1"/>
    <col min="13" max="13" width="10.5703125" customWidth="1"/>
    <col min="14" max="14" width="8.7109375" style="25" customWidth="1"/>
    <col min="15" max="15" width="6.42578125" customWidth="1"/>
    <col min="17" max="17" width="13.5703125" customWidth="1"/>
    <col min="18" max="18" width="10.42578125" customWidth="1"/>
    <col min="19" max="19" width="14" customWidth="1"/>
    <col min="20" max="20" width="11" customWidth="1"/>
    <col min="21" max="21" width="13.85546875" customWidth="1"/>
    <col min="22" max="22" width="15.5703125" customWidth="1"/>
    <col min="23" max="23" width="13.42578125" customWidth="1"/>
    <col min="24" max="24" width="13" customWidth="1"/>
    <col min="25" max="25" width="13.28515625" customWidth="1"/>
    <col min="26" max="26" width="14.85546875" customWidth="1"/>
  </cols>
  <sheetData>
    <row r="1" spans="1:33" ht="38.25" customHeight="1">
      <c r="A1" s="9" t="s">
        <v>0</v>
      </c>
      <c r="B1" s="7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144</v>
      </c>
      <c r="H1" s="10" t="s">
        <v>6</v>
      </c>
      <c r="I1" s="10" t="s">
        <v>7</v>
      </c>
      <c r="J1" s="10" t="s">
        <v>137</v>
      </c>
      <c r="K1" s="10" t="s">
        <v>8</v>
      </c>
      <c r="L1" s="10" t="s">
        <v>9</v>
      </c>
      <c r="M1" s="10" t="s">
        <v>10</v>
      </c>
      <c r="N1" s="11" t="s">
        <v>100</v>
      </c>
      <c r="O1" s="5"/>
      <c r="Q1" s="45"/>
      <c r="R1" s="46"/>
      <c r="S1" s="46"/>
      <c r="T1" s="46"/>
      <c r="U1" s="4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3">
      <c r="A2" s="50">
        <v>1</v>
      </c>
      <c r="B2" s="80" t="s">
        <v>11</v>
      </c>
      <c r="C2" s="1" t="s">
        <v>12</v>
      </c>
      <c r="D2" s="1" t="s">
        <v>13</v>
      </c>
      <c r="E2" s="1" t="s">
        <v>14</v>
      </c>
      <c r="F2" s="1" t="s">
        <v>85</v>
      </c>
      <c r="G2" s="3">
        <v>19295</v>
      </c>
      <c r="H2" s="1" t="s">
        <v>93</v>
      </c>
      <c r="I2" s="3">
        <v>39457</v>
      </c>
      <c r="J2" s="1"/>
      <c r="K2" s="77" t="s">
        <v>15</v>
      </c>
      <c r="L2" s="77">
        <v>2</v>
      </c>
      <c r="M2" s="16">
        <f>HLOOKUP(УчетПерсонала[[#This Row],[Отдел]],ДолжностныеОклады,MATCH(УчетПерсонала[[#This Row],[Должность]],'Справочные данные'!C$2:C$7,0),0)</f>
        <v>3000</v>
      </c>
      <c r="N2" s="82">
        <f ca="1">ROUNDDOWN(YEARFRAC(УчетПерсонала[[#This Row],[Дата приема на работу]],TODAY()),0)</f>
        <v>13</v>
      </c>
      <c r="O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>
      <c r="A3" s="50">
        <v>2</v>
      </c>
      <c r="B3" s="80" t="s">
        <v>16</v>
      </c>
      <c r="C3" s="1" t="s">
        <v>17</v>
      </c>
      <c r="D3" s="1" t="s">
        <v>13</v>
      </c>
      <c r="E3" s="1" t="s">
        <v>18</v>
      </c>
      <c r="F3" s="1" t="s">
        <v>86</v>
      </c>
      <c r="G3" s="3">
        <v>12805</v>
      </c>
      <c r="H3" s="1" t="s">
        <v>94</v>
      </c>
      <c r="I3" s="3">
        <v>40278</v>
      </c>
      <c r="J3" s="1"/>
      <c r="K3" s="77" t="s">
        <v>15</v>
      </c>
      <c r="L3" s="77">
        <v>1</v>
      </c>
      <c r="M3" s="16">
        <f>HLOOKUP(УчетПерсонала[[#This Row],[Отдел]],ДолжностныеОклады,MATCH(УчетПерсонала[[#This Row],[Должность]],'Справочные данные'!C$2:C$7,0),0)</f>
        <v>1100</v>
      </c>
      <c r="N3" s="82">
        <f ca="1">ROUNDDOWN(YEARFRAC(УчетПерсонала[[#This Row],[Дата приема на работу]],TODAY()),0)</f>
        <v>11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3.5" customHeight="1">
      <c r="A4" s="50">
        <v>3</v>
      </c>
      <c r="B4" s="80" t="s">
        <v>19</v>
      </c>
      <c r="C4" s="1" t="s">
        <v>20</v>
      </c>
      <c r="D4" s="1" t="s">
        <v>21</v>
      </c>
      <c r="E4" s="1" t="s">
        <v>18</v>
      </c>
      <c r="F4" s="1" t="s">
        <v>87</v>
      </c>
      <c r="G4" s="3">
        <v>33111</v>
      </c>
      <c r="H4" s="1" t="s">
        <v>91</v>
      </c>
      <c r="I4" s="3">
        <v>40745</v>
      </c>
      <c r="J4" s="1"/>
      <c r="K4" s="77" t="s">
        <v>15</v>
      </c>
      <c r="L4" s="77">
        <v>2</v>
      </c>
      <c r="M4" s="16">
        <f>HLOOKUP(УчетПерсонала[[#This Row],[Отдел]],ДолжностныеОклады,MATCH(УчетПерсонала[[#This Row],[Должность]],'Справочные данные'!C$2:C$7,0),0)</f>
        <v>2200</v>
      </c>
      <c r="N4" s="82">
        <f ca="1">ROUNDDOWN(YEARFRAC(УчетПерсонала[[#This Row],[Дата приема на работу]],TODAY()),0)</f>
        <v>10</v>
      </c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/>
      <c r="AF4" s="6"/>
    </row>
    <row r="5" spans="1:33">
      <c r="A5" s="50">
        <v>4</v>
      </c>
      <c r="B5" s="80" t="s">
        <v>22</v>
      </c>
      <c r="C5" s="1" t="s">
        <v>23</v>
      </c>
      <c r="D5" s="1" t="s">
        <v>21</v>
      </c>
      <c r="E5" s="1" t="s">
        <v>14</v>
      </c>
      <c r="F5" s="1" t="s">
        <v>85</v>
      </c>
      <c r="G5" s="3">
        <v>25886</v>
      </c>
      <c r="H5" s="1" t="s">
        <v>94</v>
      </c>
      <c r="I5" s="3">
        <v>39731</v>
      </c>
      <c r="J5" s="1"/>
      <c r="K5" s="77" t="s">
        <v>15</v>
      </c>
      <c r="L5" s="77">
        <v>1</v>
      </c>
      <c r="M5" s="16">
        <f>HLOOKUP(УчетПерсонала[[#This Row],[Отдел]],ДолжностныеОклады,MATCH(УчетПерсонала[[#This Row],[Должность]],'Справочные данные'!C$2:C$7,0),0)</f>
        <v>1000</v>
      </c>
      <c r="N5" s="82">
        <f ca="1">ROUNDDOWN(YEARFRAC(УчетПерсонала[[#This Row],[Дата приема на работу]],TODAY()),0)</f>
        <v>12</v>
      </c>
      <c r="O5" s="6"/>
      <c r="P5" s="6"/>
      <c r="Q5" s="47"/>
      <c r="R5" s="48"/>
      <c r="S5" s="6"/>
      <c r="T5" s="6"/>
      <c r="U5" s="6"/>
      <c r="V5" s="6"/>
      <c r="W5" s="49"/>
      <c r="X5" s="6"/>
      <c r="Y5" s="49"/>
      <c r="Z5" s="49"/>
      <c r="AA5" s="6"/>
      <c r="AB5" s="6"/>
      <c r="AC5" s="47"/>
      <c r="AD5" s="47"/>
      <c r="AE5" s="5"/>
      <c r="AF5" s="5"/>
      <c r="AG5" s="6"/>
    </row>
    <row r="6" spans="1:33">
      <c r="A6" s="50">
        <v>5</v>
      </c>
      <c r="B6" s="80" t="s">
        <v>24</v>
      </c>
      <c r="C6" s="1" t="s">
        <v>25</v>
      </c>
      <c r="D6" s="1" t="s">
        <v>26</v>
      </c>
      <c r="E6" s="1" t="s">
        <v>27</v>
      </c>
      <c r="F6" s="1" t="s">
        <v>87</v>
      </c>
      <c r="G6" s="3">
        <v>25966</v>
      </c>
      <c r="H6" s="1" t="s">
        <v>93</v>
      </c>
      <c r="I6" s="3">
        <v>39823</v>
      </c>
      <c r="J6" s="3">
        <v>40826</v>
      </c>
      <c r="K6" s="77" t="s">
        <v>15</v>
      </c>
      <c r="L6" s="77">
        <v>0</v>
      </c>
      <c r="M6" s="16">
        <f>HLOOKUP(УчетПерсонала[[#This Row],[Отдел]],ДолжностныеОклады,MATCH(УчетПерсонала[[#This Row],[Должность]],'Справочные данные'!C$2:C$7,0),0)</f>
        <v>3200</v>
      </c>
      <c r="N6" s="82">
        <f ca="1">ROUNDDOWN(YEARFRAC(УчетПерсонала[[#This Row],[Дата приема на работу]],TODAY()),0)</f>
        <v>12</v>
      </c>
      <c r="O6" s="6"/>
      <c r="P6" s="6"/>
      <c r="Q6" s="47"/>
      <c r="R6" s="48"/>
      <c r="S6" s="6"/>
      <c r="T6" s="6"/>
      <c r="U6" s="6"/>
      <c r="V6" s="6"/>
      <c r="W6" s="49"/>
      <c r="X6" s="6"/>
      <c r="Y6" s="49"/>
      <c r="Z6" s="6"/>
      <c r="AA6" s="6"/>
      <c r="AB6" s="6"/>
      <c r="AC6" s="47"/>
      <c r="AD6" s="47"/>
      <c r="AE6" s="6"/>
      <c r="AF6" s="6"/>
      <c r="AG6" s="6"/>
    </row>
    <row r="7" spans="1:33">
      <c r="A7" s="50">
        <v>6</v>
      </c>
      <c r="B7" s="80" t="s">
        <v>28</v>
      </c>
      <c r="C7" s="1" t="s">
        <v>29</v>
      </c>
      <c r="D7" s="1" t="s">
        <v>30</v>
      </c>
      <c r="E7" s="1" t="s">
        <v>31</v>
      </c>
      <c r="F7" s="1" t="s">
        <v>88</v>
      </c>
      <c r="G7" s="3">
        <v>26238</v>
      </c>
      <c r="H7" s="1" t="s">
        <v>90</v>
      </c>
      <c r="I7" s="3">
        <v>39915</v>
      </c>
      <c r="J7" s="1"/>
      <c r="K7" s="77" t="s">
        <v>15</v>
      </c>
      <c r="L7" s="77">
        <v>5</v>
      </c>
      <c r="M7" s="16">
        <f>HLOOKUP(УчетПерсонала[[#This Row],[Отдел]],ДолжностныеОклады,MATCH(УчетПерсонала[[#This Row],[Должность]],'Справочные данные'!C$2:C$7,0),0)</f>
        <v>1800</v>
      </c>
      <c r="N7" s="82">
        <f ca="1">ROUNDDOWN(YEARFRAC(УчетПерсонала[[#This Row],[Дата приема на работу]],TODAY()),0)</f>
        <v>12</v>
      </c>
      <c r="O7" s="6"/>
      <c r="P7" s="6"/>
      <c r="Q7" s="47"/>
      <c r="R7" s="48"/>
      <c r="S7" s="6"/>
      <c r="T7" s="6"/>
      <c r="U7" s="6"/>
      <c r="V7" s="6"/>
      <c r="W7" s="49"/>
      <c r="X7" s="6"/>
      <c r="Y7" s="49"/>
      <c r="Z7" s="6"/>
      <c r="AA7" s="6"/>
      <c r="AB7" s="6"/>
      <c r="AC7" s="47"/>
      <c r="AD7" s="47"/>
      <c r="AE7" s="6"/>
      <c r="AF7" s="6"/>
      <c r="AG7" s="6"/>
    </row>
    <row r="8" spans="1:33">
      <c r="A8" s="50">
        <v>7</v>
      </c>
      <c r="B8" s="80" t="s">
        <v>32</v>
      </c>
      <c r="C8" s="1" t="s">
        <v>33</v>
      </c>
      <c r="D8" s="1" t="s">
        <v>34</v>
      </c>
      <c r="E8" s="1" t="s">
        <v>31</v>
      </c>
      <c r="F8" s="1" t="s">
        <v>88</v>
      </c>
      <c r="G8" s="3">
        <v>31240</v>
      </c>
      <c r="H8" s="1" t="s">
        <v>93</v>
      </c>
      <c r="I8" s="3">
        <v>38559</v>
      </c>
      <c r="J8" s="1"/>
      <c r="K8" s="77" t="s">
        <v>15</v>
      </c>
      <c r="L8" s="77">
        <v>1</v>
      </c>
      <c r="M8" s="16">
        <f>HLOOKUP(УчетПерсонала[[#This Row],[Отдел]],ДолжностныеОклады,MATCH(УчетПерсонала[[#This Row],[Должность]],'Справочные данные'!C$2:C$7,0),0)</f>
        <v>3300</v>
      </c>
      <c r="N8" s="82">
        <f ca="1">ROUNDDOWN(YEARFRAC(УчетПерсонала[[#This Row],[Дата приема на работу]],TODAY()),0)</f>
        <v>16</v>
      </c>
      <c r="O8" s="6"/>
      <c r="Q8" s="47"/>
      <c r="R8" s="48"/>
      <c r="S8" s="6"/>
      <c r="T8" s="6"/>
      <c r="U8" s="6"/>
      <c r="V8" s="6"/>
      <c r="W8" s="49"/>
      <c r="X8" s="6"/>
      <c r="Y8" s="49"/>
      <c r="Z8" s="49"/>
      <c r="AA8" s="6"/>
      <c r="AB8" s="6"/>
      <c r="AC8" s="47"/>
      <c r="AD8" s="47"/>
      <c r="AE8" s="6"/>
      <c r="AF8" s="6"/>
    </row>
    <row r="9" spans="1:33">
      <c r="A9" s="50">
        <v>8</v>
      </c>
      <c r="B9" s="80" t="s">
        <v>35</v>
      </c>
      <c r="C9" s="1" t="s">
        <v>36</v>
      </c>
      <c r="D9" s="1" t="s">
        <v>26</v>
      </c>
      <c r="E9" s="1" t="s">
        <v>37</v>
      </c>
      <c r="F9" s="1" t="s">
        <v>85</v>
      </c>
      <c r="G9" s="3">
        <v>26206</v>
      </c>
      <c r="H9" s="1" t="s">
        <v>90</v>
      </c>
      <c r="I9" s="3">
        <v>40127</v>
      </c>
      <c r="J9" s="1"/>
      <c r="K9" s="77" t="s">
        <v>15</v>
      </c>
      <c r="L9" s="77">
        <v>1</v>
      </c>
      <c r="M9" s="16">
        <f>HLOOKUP(УчетПерсонала[[#This Row],[Отдел]],ДолжностныеОклады,MATCH(УчетПерсонала[[#This Row],[Должность]],'Справочные данные'!C$2:C$7,0),0)</f>
        <v>1500</v>
      </c>
      <c r="N9" s="82">
        <f ca="1">ROUNDDOWN(YEARFRAC(УчетПерсонала[[#This Row],[Дата приема на работу]],TODAY()),0)</f>
        <v>11</v>
      </c>
      <c r="O9" s="6"/>
      <c r="Q9" s="47"/>
      <c r="R9" s="48"/>
      <c r="S9" s="6"/>
      <c r="T9" s="6"/>
      <c r="U9" s="6"/>
      <c r="V9" s="6"/>
      <c r="W9" s="49"/>
      <c r="X9" s="6"/>
      <c r="Y9" s="49"/>
      <c r="Z9" s="6"/>
      <c r="AA9" s="6"/>
      <c r="AB9" s="6"/>
      <c r="AC9" s="47"/>
      <c r="AD9" s="47"/>
      <c r="AE9" s="6"/>
      <c r="AF9" s="6"/>
    </row>
    <row r="10" spans="1:33">
      <c r="A10" s="50">
        <v>9</v>
      </c>
      <c r="B10" s="80" t="s">
        <v>38</v>
      </c>
      <c r="C10" s="1" t="s">
        <v>39</v>
      </c>
      <c r="D10" s="1" t="s">
        <v>40</v>
      </c>
      <c r="E10" s="1" t="s">
        <v>41</v>
      </c>
      <c r="F10" s="1" t="s">
        <v>85</v>
      </c>
      <c r="G10" s="3">
        <v>26286</v>
      </c>
      <c r="H10" s="1" t="s">
        <v>94</v>
      </c>
      <c r="I10" s="3">
        <v>36535</v>
      </c>
      <c r="J10" s="3">
        <v>37246</v>
      </c>
      <c r="K10" s="77" t="s">
        <v>42</v>
      </c>
      <c r="L10" s="77">
        <v>1</v>
      </c>
      <c r="M10" s="16">
        <f>HLOOKUP(УчетПерсонала[[#This Row],[Отдел]],ДолжностныеОклады,MATCH(УчетПерсонала[[#This Row],[Должность]],'Справочные данные'!C$2:C$7,0),0)</f>
        <v>1000</v>
      </c>
      <c r="N10" s="82">
        <f ca="1">ROUNDDOWN(YEARFRAC(УчетПерсонала[[#This Row],[Дата приема на работу]],TODAY()),0)</f>
        <v>21</v>
      </c>
      <c r="O10" s="6"/>
      <c r="Q10" s="47"/>
      <c r="R10" s="48"/>
      <c r="S10" s="6"/>
      <c r="T10" s="6"/>
      <c r="U10" s="6"/>
      <c r="V10" s="6"/>
      <c r="W10" s="49"/>
      <c r="X10" s="6"/>
      <c r="Y10" s="49"/>
      <c r="Z10" s="6"/>
      <c r="AA10" s="6"/>
      <c r="AB10" s="6"/>
      <c r="AC10" s="47"/>
      <c r="AD10" s="47"/>
      <c r="AE10" s="6"/>
      <c r="AF10" s="6"/>
    </row>
    <row r="11" spans="1:33">
      <c r="A11" s="50">
        <v>10</v>
      </c>
      <c r="B11" s="80" t="s">
        <v>43</v>
      </c>
      <c r="C11" s="1" t="s">
        <v>44</v>
      </c>
      <c r="D11" s="1" t="s">
        <v>45</v>
      </c>
      <c r="E11" s="1" t="s">
        <v>46</v>
      </c>
      <c r="F11" s="1" t="s">
        <v>86</v>
      </c>
      <c r="G11" s="3">
        <v>26366</v>
      </c>
      <c r="H11" s="1" t="s">
        <v>90</v>
      </c>
      <c r="I11" s="3">
        <v>36626</v>
      </c>
      <c r="J11" s="1"/>
      <c r="K11" s="77" t="s">
        <v>42</v>
      </c>
      <c r="L11" s="77">
        <v>1</v>
      </c>
      <c r="M11" s="16">
        <f>HLOOKUP(УчетПерсонала[[#This Row],[Отдел]],ДолжностныеОклады,MATCH(УчетПерсонала[[#This Row],[Должность]],'Справочные данные'!C$2:C$7,0),0)</f>
        <v>1600</v>
      </c>
      <c r="N11" s="82">
        <f ca="1">ROUNDDOWN(YEARFRAC(УчетПерсонала[[#This Row],[Дата приема на работу]],TODAY()),0)</f>
        <v>21</v>
      </c>
      <c r="O11" s="6"/>
      <c r="Q11" s="47"/>
      <c r="R11" s="48"/>
      <c r="S11" s="6"/>
      <c r="T11" s="6"/>
      <c r="U11" s="6"/>
      <c r="V11" s="6"/>
      <c r="W11" s="49"/>
      <c r="X11" s="6"/>
      <c r="Y11" s="49"/>
      <c r="Z11" s="6"/>
      <c r="AA11" s="6"/>
      <c r="AB11" s="6"/>
      <c r="AC11" s="47"/>
      <c r="AD11" s="47"/>
      <c r="AE11" s="6"/>
      <c r="AF11" s="6"/>
    </row>
    <row r="12" spans="1:33">
      <c r="A12" s="50">
        <v>11</v>
      </c>
      <c r="B12" s="80" t="s">
        <v>47</v>
      </c>
      <c r="C12" s="1" t="s">
        <v>48</v>
      </c>
      <c r="D12" s="1" t="s">
        <v>49</v>
      </c>
      <c r="E12" s="1" t="s">
        <v>50</v>
      </c>
      <c r="F12" s="1" t="s">
        <v>88</v>
      </c>
      <c r="G12" s="3">
        <v>20806</v>
      </c>
      <c r="H12" s="1" t="s">
        <v>94</v>
      </c>
      <c r="I12" s="3">
        <v>36717</v>
      </c>
      <c r="J12" s="3">
        <v>37967</v>
      </c>
      <c r="K12" s="77" t="s">
        <v>42</v>
      </c>
      <c r="L12" s="77">
        <v>1</v>
      </c>
      <c r="M12" s="16">
        <f>HLOOKUP(УчетПерсонала[[#This Row],[Отдел]],ДолжностныеОклады,MATCH(УчетПерсонала[[#This Row],[Должность]],'Справочные данные'!C$2:C$7,0),0)</f>
        <v>1300</v>
      </c>
      <c r="N12" s="82">
        <f ca="1">ROUNDDOWN(YEARFRAC(УчетПерсонала[[#This Row],[Дата приема на работу]],TODAY()),0)</f>
        <v>21</v>
      </c>
      <c r="O12" s="6"/>
      <c r="Q12" s="47"/>
      <c r="R12" s="48"/>
      <c r="S12" s="6"/>
      <c r="T12" s="6"/>
      <c r="U12" s="6"/>
      <c r="V12" s="6"/>
      <c r="W12" s="49"/>
      <c r="X12" s="6"/>
      <c r="Y12" s="49"/>
      <c r="Z12" s="6"/>
      <c r="AA12" s="6"/>
      <c r="AB12" s="6"/>
      <c r="AC12" s="47"/>
      <c r="AD12" s="47"/>
      <c r="AE12" s="6"/>
      <c r="AF12" s="6"/>
    </row>
    <row r="13" spans="1:33">
      <c r="A13" s="50">
        <v>12</v>
      </c>
      <c r="B13" s="80" t="s">
        <v>51</v>
      </c>
      <c r="C13" s="1" t="s">
        <v>52</v>
      </c>
      <c r="D13" s="1" t="s">
        <v>53</v>
      </c>
      <c r="E13" s="1" t="s">
        <v>54</v>
      </c>
      <c r="F13" s="1" t="s">
        <v>87</v>
      </c>
      <c r="G13" s="3">
        <v>29241</v>
      </c>
      <c r="H13" s="1" t="s">
        <v>94</v>
      </c>
      <c r="I13" s="3">
        <v>35724</v>
      </c>
      <c r="J13" s="1"/>
      <c r="K13" s="77" t="s">
        <v>42</v>
      </c>
      <c r="L13" s="77">
        <v>1</v>
      </c>
      <c r="M13" s="16">
        <f>HLOOKUP(УчетПерсонала[[#This Row],[Отдел]],ДолжностныеОклады,MATCH(УчетПерсонала[[#This Row],[Должность]],'Справочные данные'!C$2:C$7,0),0)</f>
        <v>1200</v>
      </c>
      <c r="N13" s="82">
        <f ca="1">ROUNDDOWN(YEARFRAC(УчетПерсонала[[#This Row],[Дата приема на работу]],TODAY()),0)</f>
        <v>23</v>
      </c>
      <c r="O13" s="6"/>
      <c r="Q13" s="47"/>
      <c r="R13" s="48"/>
      <c r="S13" s="6"/>
      <c r="T13" s="6"/>
      <c r="U13" s="6"/>
      <c r="V13" s="6"/>
      <c r="W13" s="49"/>
      <c r="X13" s="6"/>
      <c r="Y13" s="49"/>
      <c r="Z13" s="49"/>
      <c r="AA13" s="6"/>
      <c r="AB13" s="6"/>
      <c r="AC13" s="47"/>
      <c r="AD13" s="47"/>
      <c r="AE13" s="6"/>
      <c r="AF13" s="6"/>
    </row>
    <row r="14" spans="1:33">
      <c r="A14" s="50">
        <v>13</v>
      </c>
      <c r="B14" s="80" t="s">
        <v>55</v>
      </c>
      <c r="C14" s="1" t="s">
        <v>56</v>
      </c>
      <c r="D14" s="1" t="s">
        <v>57</v>
      </c>
      <c r="E14" s="1" t="s">
        <v>58</v>
      </c>
      <c r="F14" s="1" t="s">
        <v>86</v>
      </c>
      <c r="G14" s="3">
        <v>33111</v>
      </c>
      <c r="H14" s="1" t="s">
        <v>93</v>
      </c>
      <c r="I14" s="3">
        <v>40553</v>
      </c>
      <c r="J14" s="1"/>
      <c r="K14" s="77" t="s">
        <v>15</v>
      </c>
      <c r="L14" s="77">
        <v>1</v>
      </c>
      <c r="M14" s="16">
        <f>HLOOKUP(УчетПерсонала[[#This Row],[Отдел]],ДолжностныеОклады,MATCH(УчетПерсонала[[#This Row],[Должность]],'Справочные данные'!C$2:C$7,0),0)</f>
        <v>3100</v>
      </c>
      <c r="N14" s="82">
        <f ca="1">ROUNDDOWN(YEARFRAC(УчетПерсонала[[#This Row],[Дата приема на работу]],TODAY()),0)</f>
        <v>10</v>
      </c>
      <c r="O14" s="6"/>
    </row>
    <row r="15" spans="1:33">
      <c r="A15" s="50">
        <v>14</v>
      </c>
      <c r="B15" s="80" t="s">
        <v>59</v>
      </c>
      <c r="C15" s="1" t="s">
        <v>60</v>
      </c>
      <c r="D15" s="1" t="s">
        <v>13</v>
      </c>
      <c r="E15" s="1" t="s">
        <v>61</v>
      </c>
      <c r="F15" s="1" t="s">
        <v>87</v>
      </c>
      <c r="G15" s="3">
        <v>25886</v>
      </c>
      <c r="H15" s="1" t="s">
        <v>91</v>
      </c>
      <c r="I15" s="3">
        <v>37011</v>
      </c>
      <c r="J15" s="1"/>
      <c r="K15" s="77" t="s">
        <v>15</v>
      </c>
      <c r="L15" s="77">
        <v>1</v>
      </c>
      <c r="M15" s="16">
        <f>HLOOKUP(УчетПерсонала[[#This Row],[Отдел]],ДолжностныеОклады,MATCH(УчетПерсонала[[#This Row],[Должность]],'Справочные данные'!C$2:C$7,0),0)</f>
        <v>2200</v>
      </c>
      <c r="N15" s="82">
        <f ca="1">ROUNDDOWN(YEARFRAC(УчетПерсонала[[#This Row],[Дата приема на работу]],TODAY()),0)</f>
        <v>20</v>
      </c>
      <c r="O15" s="6"/>
    </row>
    <row r="16" spans="1:33">
      <c r="A16" s="50">
        <v>15</v>
      </c>
      <c r="B16" s="80" t="s">
        <v>62</v>
      </c>
      <c r="C16" s="1" t="s">
        <v>63</v>
      </c>
      <c r="D16" s="1" t="s">
        <v>64</v>
      </c>
      <c r="E16" s="1" t="s">
        <v>65</v>
      </c>
      <c r="F16" s="1" t="s">
        <v>88</v>
      </c>
      <c r="G16" s="3">
        <v>25966</v>
      </c>
      <c r="H16" s="1" t="s">
        <v>92</v>
      </c>
      <c r="I16" s="3">
        <v>37082</v>
      </c>
      <c r="J16" s="1"/>
      <c r="K16" s="77" t="s">
        <v>15</v>
      </c>
      <c r="L16" s="77">
        <v>5</v>
      </c>
      <c r="M16" s="16">
        <f>HLOOKUP(УчетПерсонала[[#This Row],[Отдел]],ДолжностныеОклады,MATCH(УчетПерсонала[[#This Row],[Должность]],'Справочные данные'!C$2:C$7,0),0)</f>
        <v>2800</v>
      </c>
      <c r="N16" s="82">
        <f ca="1">ROUNDDOWN(YEARFRAC(УчетПерсонала[[#This Row],[Дата приема на работу]],TODAY()),0)</f>
        <v>20</v>
      </c>
      <c r="O16" s="6"/>
      <c r="Q16" s="46"/>
      <c r="R16" s="39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3">
      <c r="A17" s="50">
        <v>16</v>
      </c>
      <c r="B17" s="80" t="s">
        <v>66</v>
      </c>
      <c r="C17" s="1" t="s">
        <v>67</v>
      </c>
      <c r="D17" s="1" t="s">
        <v>68</v>
      </c>
      <c r="E17" s="1" t="s">
        <v>69</v>
      </c>
      <c r="F17" s="1" t="s">
        <v>85</v>
      </c>
      <c r="G17" s="3">
        <v>26046</v>
      </c>
      <c r="H17" s="1" t="s">
        <v>91</v>
      </c>
      <c r="I17" s="3">
        <v>37177</v>
      </c>
      <c r="J17" s="1"/>
      <c r="K17" s="77" t="s">
        <v>15</v>
      </c>
      <c r="L17" s="77">
        <v>1</v>
      </c>
      <c r="M17" s="16">
        <f>HLOOKUP(УчетПерсонала[[#This Row],[Отдел]],ДолжностныеОклады,MATCH(УчетПерсонала[[#This Row],[Должность]],'Справочные данные'!C$2:C$7,0),0)</f>
        <v>2000</v>
      </c>
      <c r="N17" s="82">
        <f ca="1">ROUNDDOWN(YEARFRAC(УчетПерсонала[[#This Row],[Дата приема на работу]],TODAY()),0)</f>
        <v>19</v>
      </c>
      <c r="O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3">
      <c r="A18" s="50">
        <v>17</v>
      </c>
      <c r="B18" s="80" t="s">
        <v>70</v>
      </c>
      <c r="C18" s="1" t="s">
        <v>71</v>
      </c>
      <c r="D18" s="1" t="s">
        <v>72</v>
      </c>
      <c r="E18" s="1" t="s">
        <v>41</v>
      </c>
      <c r="F18" s="1" t="s">
        <v>88</v>
      </c>
      <c r="G18" s="3">
        <v>26126</v>
      </c>
      <c r="H18" s="1" t="s">
        <v>90</v>
      </c>
      <c r="I18" s="3">
        <v>37266</v>
      </c>
      <c r="J18" s="1"/>
      <c r="K18" s="77" t="s">
        <v>42</v>
      </c>
      <c r="L18" s="77">
        <v>2</v>
      </c>
      <c r="M18" s="16">
        <f>HLOOKUP(УчетПерсонала[[#This Row],[Отдел]],ДолжностныеОклады,MATCH(УчетПерсонала[[#This Row],[Должность]],'Справочные данные'!C$2:C$7,0),0)</f>
        <v>1800</v>
      </c>
      <c r="N18" s="82">
        <f ca="1">ROUNDDOWN(YEARFRAC(УчетПерсонала[[#This Row],[Дата приема на работу]],TODAY()),0)</f>
        <v>19</v>
      </c>
      <c r="O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3">
      <c r="A19" s="50">
        <v>18</v>
      </c>
      <c r="B19" s="80" t="s">
        <v>73</v>
      </c>
      <c r="C19" s="1" t="s">
        <v>74</v>
      </c>
      <c r="D19" s="1" t="s">
        <v>75</v>
      </c>
      <c r="E19" s="1" t="s">
        <v>76</v>
      </c>
      <c r="F19" s="1" t="s">
        <v>87</v>
      </c>
      <c r="G19" s="3">
        <v>26206</v>
      </c>
      <c r="H19" s="1" t="s">
        <v>93</v>
      </c>
      <c r="I19" s="3">
        <v>41009</v>
      </c>
      <c r="J19" s="1"/>
      <c r="K19" s="77" t="s">
        <v>42</v>
      </c>
      <c r="L19" s="77">
        <v>2</v>
      </c>
      <c r="M19" s="16">
        <f>HLOOKUP(УчетПерсонала[[#This Row],[Отдел]],ДолжностныеОклады,MATCH(УчетПерсонала[[#This Row],[Должность]],'Справочные данные'!C$2:C$7,0),0)</f>
        <v>3200</v>
      </c>
      <c r="N19" s="82">
        <f ca="1">ROUNDDOWN(YEARFRAC(УчетПерсонала[[#This Row],[Дата приема на работу]],TODAY()),0)</f>
        <v>9</v>
      </c>
      <c r="O19" s="6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3">
      <c r="A20" s="50">
        <v>19</v>
      </c>
      <c r="B20" s="80" t="s">
        <v>77</v>
      </c>
      <c r="C20" s="1" t="s">
        <v>78</v>
      </c>
      <c r="D20" s="1" t="s">
        <v>79</v>
      </c>
      <c r="E20" s="1" t="s">
        <v>80</v>
      </c>
      <c r="F20" s="1" t="s">
        <v>85</v>
      </c>
      <c r="G20" s="3">
        <v>26286</v>
      </c>
      <c r="H20" s="1" t="s">
        <v>91</v>
      </c>
      <c r="I20" s="3">
        <v>37447</v>
      </c>
      <c r="J20" s="3">
        <v>41304</v>
      </c>
      <c r="K20" s="77" t="s">
        <v>15</v>
      </c>
      <c r="L20" s="77">
        <v>0</v>
      </c>
      <c r="M20" s="16">
        <f>HLOOKUP(УчетПерсонала[[#This Row],[Отдел]],ДолжностныеОклады,MATCH(УчетПерсонала[[#This Row],[Должность]],'Справочные данные'!C$2:C$7,0),0)</f>
        <v>2000</v>
      </c>
      <c r="N20" s="82">
        <f ca="1">ROUNDDOWN(YEARFRAC(УчетПерсонала[[#This Row],[Дата приема на работу]],TODAY()),0)</f>
        <v>19</v>
      </c>
      <c r="O20" s="6"/>
      <c r="Q20" s="47"/>
      <c r="R20" s="48"/>
      <c r="S20" s="6"/>
      <c r="T20" s="6"/>
      <c r="U20" s="6"/>
      <c r="V20" s="6"/>
      <c r="W20" s="49"/>
      <c r="X20" s="6"/>
      <c r="Y20" s="49"/>
      <c r="Z20" s="6"/>
      <c r="AA20" s="6"/>
      <c r="AB20" s="6"/>
      <c r="AC20" s="47"/>
      <c r="AD20" s="47"/>
    </row>
    <row r="21" spans="1:33">
      <c r="A21" s="50">
        <v>20</v>
      </c>
      <c r="B21" s="81" t="s">
        <v>81</v>
      </c>
      <c r="C21" s="13" t="s">
        <v>82</v>
      </c>
      <c r="D21" s="13" t="s">
        <v>83</v>
      </c>
      <c r="E21" s="13" t="s">
        <v>84</v>
      </c>
      <c r="F21" s="1" t="s">
        <v>85</v>
      </c>
      <c r="G21" s="3">
        <v>26604</v>
      </c>
      <c r="H21" s="1" t="s">
        <v>91</v>
      </c>
      <c r="I21" s="14">
        <v>42287</v>
      </c>
      <c r="J21" s="13"/>
      <c r="K21" s="78" t="s">
        <v>15</v>
      </c>
      <c r="L21" s="78">
        <v>0</v>
      </c>
      <c r="M21" s="17">
        <f>HLOOKUP(УчетПерсонала[[#This Row],[Отдел]],ДолжностныеОклады,MATCH(УчетПерсонала[[#This Row],[Должность]],'Справочные данные'!C$2:C$7,0),0)</f>
        <v>2000</v>
      </c>
      <c r="N21" s="83">
        <f ca="1">ROUNDDOWN(YEARFRAC(УчетПерсонала[[#This Row],[Дата приема на работу]],TODAY()),0)</f>
        <v>5</v>
      </c>
      <c r="O21" s="6"/>
      <c r="Q21" s="47"/>
      <c r="R21" s="48"/>
      <c r="S21" s="6"/>
      <c r="T21" s="6"/>
      <c r="U21" s="6"/>
      <c r="V21" s="6"/>
      <c r="W21" s="49"/>
      <c r="X21" s="6"/>
      <c r="Y21" s="49"/>
      <c r="Z21" s="6"/>
      <c r="AA21" s="6"/>
      <c r="AB21" s="6"/>
      <c r="AC21" s="47"/>
      <c r="AD21" s="47"/>
    </row>
    <row r="22" spans="1:33">
      <c r="P22" s="6"/>
      <c r="Q22" s="47"/>
      <c r="R22" s="48"/>
      <c r="S22" s="6"/>
      <c r="T22" s="6"/>
      <c r="U22" s="6"/>
      <c r="V22" s="6"/>
      <c r="W22" s="49"/>
      <c r="X22" s="6"/>
      <c r="Y22" s="49"/>
      <c r="Z22" s="49"/>
      <c r="AA22" s="6"/>
      <c r="AB22" s="6"/>
      <c r="AC22" s="47"/>
      <c r="AD22" s="47"/>
      <c r="AE22" s="6"/>
      <c r="AF22" s="6"/>
    </row>
    <row r="23" spans="1:33">
      <c r="P23" s="6"/>
      <c r="Q23" s="47"/>
      <c r="R23" s="48"/>
      <c r="S23" s="6"/>
      <c r="T23" s="6"/>
      <c r="U23" s="6"/>
      <c r="V23" s="6"/>
      <c r="W23" s="49"/>
      <c r="X23" s="6"/>
      <c r="Y23" s="49"/>
      <c r="Z23" s="6"/>
      <c r="AA23" s="6"/>
      <c r="AB23" s="6"/>
      <c r="AC23" s="47"/>
      <c r="AD23" s="47"/>
      <c r="AE23" s="6"/>
      <c r="AF23" s="6"/>
    </row>
    <row r="24" spans="1:33">
      <c r="P24" s="6"/>
      <c r="Q24" s="47"/>
      <c r="R24" s="48"/>
      <c r="S24" s="6"/>
      <c r="T24" s="6"/>
      <c r="U24" s="6"/>
      <c r="V24" s="6"/>
      <c r="W24" s="49"/>
      <c r="X24" s="6"/>
      <c r="Y24" s="49"/>
      <c r="Z24" s="49"/>
      <c r="AA24" s="6"/>
      <c r="AB24" s="6"/>
      <c r="AC24" s="47"/>
      <c r="AD24" s="47"/>
      <c r="AE24" s="6"/>
      <c r="AF24" s="6"/>
    </row>
    <row r="25" spans="1:33">
      <c r="P25" s="6"/>
      <c r="Q25" s="47"/>
      <c r="R25" s="48"/>
      <c r="S25" s="6"/>
      <c r="T25" s="6"/>
      <c r="U25" s="6"/>
      <c r="V25" s="6"/>
      <c r="W25" s="49"/>
      <c r="X25" s="6"/>
      <c r="Y25" s="49"/>
      <c r="Z25" s="6"/>
      <c r="AA25" s="6"/>
      <c r="AB25" s="6"/>
      <c r="AC25" s="47"/>
      <c r="AD25" s="47"/>
      <c r="AE25" s="6"/>
      <c r="AF25" s="6"/>
    </row>
    <row r="26" spans="1:33">
      <c r="P26" s="6"/>
      <c r="Q26" s="47"/>
      <c r="R26" s="48"/>
      <c r="S26" s="6"/>
      <c r="T26" s="6"/>
      <c r="U26" s="6"/>
      <c r="V26" s="6"/>
      <c r="W26" s="49"/>
      <c r="X26" s="6"/>
      <c r="Y26" s="49"/>
      <c r="Z26" s="6"/>
      <c r="AA26" s="6"/>
      <c r="AB26" s="6"/>
      <c r="AC26" s="47"/>
      <c r="AD26" s="47"/>
      <c r="AE26" s="6"/>
      <c r="AF26" s="6"/>
    </row>
    <row r="27" spans="1:33">
      <c r="P27" s="6"/>
      <c r="Q27" s="47"/>
      <c r="R27" s="48"/>
      <c r="S27" s="6"/>
      <c r="T27" s="6"/>
      <c r="U27" s="6"/>
      <c r="V27" s="6"/>
      <c r="W27" s="49"/>
      <c r="X27" s="6"/>
      <c r="Y27" s="49"/>
      <c r="Z27" s="6"/>
      <c r="AA27" s="6"/>
      <c r="AB27" s="6"/>
      <c r="AC27" s="47"/>
      <c r="AD27" s="47"/>
      <c r="AE27" s="6"/>
      <c r="AF27" s="6"/>
    </row>
    <row r="28" spans="1:33">
      <c r="Q28" s="47"/>
      <c r="R28" s="48"/>
      <c r="S28" s="6"/>
      <c r="T28" s="6"/>
      <c r="U28" s="6"/>
      <c r="V28" s="6"/>
      <c r="W28" s="49"/>
      <c r="X28" s="6"/>
      <c r="Y28" s="49"/>
      <c r="Z28" s="49"/>
      <c r="AA28" s="6"/>
      <c r="AB28" s="6"/>
      <c r="AC28" s="47"/>
      <c r="AD28" s="47"/>
    </row>
    <row r="29" spans="1:33">
      <c r="Q29" s="47"/>
      <c r="R29" s="48"/>
      <c r="S29" s="6"/>
      <c r="T29" s="6"/>
      <c r="U29" s="6"/>
      <c r="V29" s="6"/>
      <c r="W29" s="49"/>
      <c r="X29" s="6"/>
      <c r="Y29" s="49"/>
      <c r="Z29" s="6"/>
      <c r="AA29" s="6"/>
      <c r="AB29" s="6"/>
      <c r="AC29" s="47"/>
      <c r="AD29" s="47"/>
    </row>
    <row r="30" spans="1:33"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>
      <c r="P32" s="6"/>
      <c r="Q32" s="46"/>
      <c r="R32" s="39"/>
      <c r="S32" s="6"/>
      <c r="T32" s="4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6:33"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6:33"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6:33">
      <c r="P35" s="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6"/>
      <c r="AF35" s="6"/>
      <c r="AG35" s="6"/>
    </row>
    <row r="36" spans="16:33">
      <c r="P36" s="6"/>
      <c r="Q36" s="47"/>
      <c r="R36" s="48"/>
      <c r="S36" s="6"/>
      <c r="T36" s="6"/>
      <c r="U36" s="6"/>
      <c r="V36" s="6"/>
      <c r="W36" s="49"/>
      <c r="X36" s="6"/>
      <c r="Y36" s="49"/>
      <c r="Z36" s="49"/>
      <c r="AA36" s="6"/>
      <c r="AB36" s="6"/>
      <c r="AC36" s="47"/>
      <c r="AD36" s="47"/>
      <c r="AE36" s="6"/>
      <c r="AF36" s="6"/>
      <c r="AG36" s="6"/>
    </row>
    <row r="37" spans="16:33">
      <c r="P37" s="6"/>
      <c r="Q37" s="47"/>
      <c r="R37" s="48"/>
      <c r="S37" s="6"/>
      <c r="T37" s="6"/>
      <c r="U37" s="6"/>
      <c r="V37" s="6"/>
      <c r="W37" s="49"/>
      <c r="X37" s="6"/>
      <c r="Y37" s="49"/>
      <c r="Z37" s="49"/>
      <c r="AA37" s="6"/>
      <c r="AB37" s="6"/>
      <c r="AC37" s="47"/>
      <c r="AD37" s="47"/>
      <c r="AE37" s="6"/>
      <c r="AF37" s="6"/>
      <c r="AG37" s="6"/>
    </row>
    <row r="38" spans="16:33"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6:33"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6:33"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</sheetData>
  <phoneticPr fontId="0" type="noConversion"/>
  <dataValidations count="2">
    <dataValidation type="list" allowBlank="1" showInputMessage="1" showErrorMessage="1" sqref="F2:F21">
      <formula1>Подразделения</formula1>
    </dataValidation>
    <dataValidation type="list" allowBlank="1" showInputMessage="1" showErrorMessage="1" sqref="H2:H21">
      <formula1>Должности</formula1>
    </dataValidation>
  </dataValidations>
  <pageMargins left="0.43" right="0.27" top="1" bottom="1" header="0.5" footer="0.5"/>
  <pageSetup paperSize="9" orientation="portrait" r:id="rId1"/>
  <headerFooter alignWithMargins="0"/>
  <ignoredErrors>
    <ignoredError sqref="B2:B21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80"/>
  <sheetViews>
    <sheetView workbookViewId="0">
      <selection activeCell="F11" sqref="F11"/>
    </sheetView>
  </sheetViews>
  <sheetFormatPr defaultRowHeight="12.75"/>
  <cols>
    <col min="1" max="1" width="14.7109375" customWidth="1"/>
    <col min="2" max="2" width="9.140625" style="25"/>
  </cols>
  <sheetData>
    <row r="1" spans="1:2">
      <c r="A1" s="9" t="s">
        <v>1</v>
      </c>
      <c r="B1" s="84" t="s">
        <v>96</v>
      </c>
    </row>
    <row r="2" spans="1:2">
      <c r="A2" s="54" t="s">
        <v>11</v>
      </c>
      <c r="B2" s="85">
        <v>14</v>
      </c>
    </row>
    <row r="3" spans="1:2">
      <c r="A3" s="54" t="s">
        <v>16</v>
      </c>
      <c r="B3" s="85">
        <v>12</v>
      </c>
    </row>
    <row r="4" spans="1:2">
      <c r="A4" s="54" t="s">
        <v>19</v>
      </c>
      <c r="B4" s="85">
        <v>19</v>
      </c>
    </row>
    <row r="5" spans="1:2">
      <c r="A5" s="54" t="s">
        <v>51</v>
      </c>
      <c r="B5" s="85">
        <v>10</v>
      </c>
    </row>
    <row r="6" spans="1:2">
      <c r="A6" s="54" t="s">
        <v>55</v>
      </c>
      <c r="B6" s="85">
        <v>6</v>
      </c>
    </row>
    <row r="7" spans="1:2">
      <c r="A7" s="55" t="s">
        <v>59</v>
      </c>
      <c r="B7" s="86">
        <v>8</v>
      </c>
    </row>
    <row r="80" spans="1:1" ht="13.5" thickBot="1">
      <c r="A80" s="4"/>
    </row>
  </sheetData>
  <pageMargins left="0.7" right="0.7" top="0.75" bottom="0.75" header="0.3" footer="0.3"/>
  <pageSetup paperSize="9" orientation="portrait" verticalDpi="0" r:id="rId1"/>
  <ignoredErrors>
    <ignoredError sqref="A2:A7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J12" sqref="J12"/>
    </sheetView>
  </sheetViews>
  <sheetFormatPr defaultRowHeight="12.75"/>
  <cols>
    <col min="1" max="1" width="19.7109375" customWidth="1"/>
    <col min="2" max="2" width="11" customWidth="1"/>
    <col min="3" max="4" width="19.5703125" customWidth="1"/>
    <col min="5" max="5" width="13.85546875" customWidth="1"/>
    <col min="6" max="6" width="15" customWidth="1"/>
    <col min="7" max="7" width="14.140625" customWidth="1"/>
    <col min="8" max="8" width="13.7109375" customWidth="1"/>
    <col min="9" max="9" width="21.85546875" customWidth="1"/>
    <col min="10" max="10" width="18.85546875" customWidth="1"/>
  </cols>
  <sheetData>
    <row r="1" spans="1:10">
      <c r="A1" s="38" t="s">
        <v>89</v>
      </c>
      <c r="C1" s="95" t="s">
        <v>95</v>
      </c>
      <c r="D1" s="95"/>
      <c r="E1" s="95"/>
      <c r="F1" s="95"/>
      <c r="G1" s="95"/>
      <c r="I1" s="95" t="s">
        <v>97</v>
      </c>
      <c r="J1" s="95"/>
    </row>
    <row r="2" spans="1:10">
      <c r="A2" s="70" t="s">
        <v>89</v>
      </c>
      <c r="C2" s="58" t="s">
        <v>6</v>
      </c>
      <c r="D2" s="59" t="s">
        <v>85</v>
      </c>
      <c r="E2" s="59" t="s">
        <v>86</v>
      </c>
      <c r="F2" s="59" t="s">
        <v>87</v>
      </c>
      <c r="G2" s="60" t="s">
        <v>88</v>
      </c>
      <c r="I2" s="65" t="s">
        <v>98</v>
      </c>
      <c r="J2" s="66" t="s">
        <v>99</v>
      </c>
    </row>
    <row r="3" spans="1:10">
      <c r="A3" s="67" t="s">
        <v>85</v>
      </c>
      <c r="C3" s="56" t="s">
        <v>90</v>
      </c>
      <c r="D3" s="36">
        <v>1500</v>
      </c>
      <c r="E3" s="36">
        <v>1600</v>
      </c>
      <c r="F3" s="36">
        <v>1700</v>
      </c>
      <c r="G3" s="57">
        <v>1800</v>
      </c>
      <c r="I3" s="56">
        <v>0</v>
      </c>
      <c r="J3" s="64">
        <v>0.02</v>
      </c>
    </row>
    <row r="4" spans="1:10">
      <c r="A4" s="68" t="s">
        <v>86</v>
      </c>
      <c r="C4" s="56" t="s">
        <v>91</v>
      </c>
      <c r="D4" s="36">
        <v>2000</v>
      </c>
      <c r="E4" s="36">
        <v>2100</v>
      </c>
      <c r="F4" s="36">
        <v>2200</v>
      </c>
      <c r="G4" s="57">
        <v>2300</v>
      </c>
      <c r="I4" s="56">
        <v>6</v>
      </c>
      <c r="J4" s="64">
        <v>0.03</v>
      </c>
    </row>
    <row r="5" spans="1:10">
      <c r="A5" s="67" t="s">
        <v>87</v>
      </c>
      <c r="C5" s="56" t="s">
        <v>92</v>
      </c>
      <c r="D5" s="36">
        <v>2500</v>
      </c>
      <c r="E5" s="36">
        <v>2600</v>
      </c>
      <c r="F5" s="36">
        <v>2700</v>
      </c>
      <c r="G5" s="57">
        <v>2800</v>
      </c>
      <c r="I5" s="56">
        <v>10</v>
      </c>
      <c r="J5" s="64">
        <v>0.05</v>
      </c>
    </row>
    <row r="6" spans="1:10">
      <c r="A6" s="69" t="s">
        <v>88</v>
      </c>
      <c r="C6" s="56" t="s">
        <v>93</v>
      </c>
      <c r="D6" s="36">
        <v>3000</v>
      </c>
      <c r="E6" s="36">
        <v>3100</v>
      </c>
      <c r="F6" s="36">
        <v>3200</v>
      </c>
      <c r="G6" s="57">
        <v>3300</v>
      </c>
      <c r="I6" s="56">
        <v>14</v>
      </c>
      <c r="J6" s="64">
        <v>7.0000000000000007E-2</v>
      </c>
    </row>
    <row r="7" spans="1:10">
      <c r="C7" s="61" t="s">
        <v>94</v>
      </c>
      <c r="D7" s="62">
        <v>1000</v>
      </c>
      <c r="E7" s="62">
        <v>1100</v>
      </c>
      <c r="F7" s="62">
        <v>1200</v>
      </c>
      <c r="G7" s="63">
        <v>1300</v>
      </c>
    </row>
  </sheetData>
  <mergeCells count="2">
    <mergeCell ref="C1:G1"/>
    <mergeCell ref="I1:J1"/>
  </mergeCells>
  <dataValidations count="1">
    <dataValidation type="list" allowBlank="1" showInputMessage="1" showErrorMessage="1" sqref="F2:G2 A5:A6">
      <formula1>р</formula1>
    </dataValidation>
  </dataValidations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C22" sqref="C22"/>
    </sheetView>
  </sheetViews>
  <sheetFormatPr defaultRowHeight="12.75"/>
  <cols>
    <col min="1" max="1" width="13.42578125" customWidth="1"/>
    <col min="2" max="2" width="18.5703125" customWidth="1"/>
    <col min="3" max="3" width="37.85546875" customWidth="1"/>
    <col min="4" max="4" width="18.7109375" customWidth="1"/>
    <col min="5" max="7" width="15.85546875" customWidth="1"/>
    <col min="8" max="8" width="16.5703125" customWidth="1"/>
    <col min="9" max="9" width="38.5703125" customWidth="1"/>
    <col min="10" max="10" width="37.85546875" customWidth="1"/>
  </cols>
  <sheetData>
    <row r="1" spans="1:10" ht="41.25" customHeight="1">
      <c r="A1" s="27" t="s">
        <v>104</v>
      </c>
      <c r="B1" s="28" t="s">
        <v>10</v>
      </c>
      <c r="C1" s="28" t="s">
        <v>101</v>
      </c>
      <c r="D1" s="28" t="s">
        <v>102</v>
      </c>
      <c r="E1" s="29" t="s">
        <v>103</v>
      </c>
      <c r="F1" s="20"/>
      <c r="G1" s="20"/>
      <c r="H1" s="33" t="s">
        <v>130</v>
      </c>
      <c r="I1" s="33" t="s">
        <v>131</v>
      </c>
      <c r="J1" s="33" t="s">
        <v>132</v>
      </c>
    </row>
    <row r="2" spans="1:10">
      <c r="A2" s="26" t="s">
        <v>11</v>
      </c>
      <c r="B2" s="87">
        <f>VLOOKUP(A2,УчетПерсонала[[Таб. номер]:[Стаж]],12,1)</f>
        <v>3000</v>
      </c>
      <c r="C2" s="88">
        <f>Вознаграждение!$B2*VLOOKUP(IFERROR(VLOOKUP(Вознаграждение!$A2,БаллыРабПериод[],2,0),0),ПремиальныйПроцент,2,1)</f>
        <v>210.00000000000003</v>
      </c>
      <c r="D2" s="89">
        <f ca="1">IF(VLOOKUP(A2,УчетПерсонала[[Таб. номер]:[Стаж]],13,0)&gt;$H$2,$J$2+VLOOKUP(A2,УчетПерсонала[[Таб. номер]:[Стаж]],13,0)*Вознаграждение!$I$2,VLOOKUP(A2,УчетПерсонала[[Таб. номер]:[Стаж]],13,0)*Вознаграждение!$I$2)</f>
        <v>16000</v>
      </c>
      <c r="E2" s="90">
        <f ca="1">SUM(B2:D2)</f>
        <v>19210</v>
      </c>
      <c r="F2" s="21"/>
      <c r="G2" s="21"/>
      <c r="H2" s="34">
        <v>5</v>
      </c>
      <c r="I2" s="34">
        <v>1000</v>
      </c>
      <c r="J2" s="34">
        <v>3000</v>
      </c>
    </row>
    <row r="3" spans="1:10">
      <c r="A3" s="26" t="s">
        <v>16</v>
      </c>
      <c r="B3" s="87">
        <f>VLOOKUP(A3,УчетПерсонала[[Таб. номер]:[Стаж]],12,1)</f>
        <v>1100</v>
      </c>
      <c r="C3" s="88">
        <f>Вознаграждение!$B3*VLOOKUP(IFERROR(VLOOKUP(Вознаграждение!$A3,БаллыРабПериод[],2,0),0),ПремиальныйПроцент,2,1)</f>
        <v>55</v>
      </c>
      <c r="D3" s="89">
        <f ca="1">IF(VLOOKUP(A3,УчетПерсонала[[Таб. номер]:[Стаж]],13,0)&gt;$H$2,$J$2+VLOOKUP(A3,УчетПерсонала[[Таб. номер]:[Стаж]],13,0)*Вознаграждение!$I$2,VLOOKUP(A3,УчетПерсонала[[Таб. номер]:[Стаж]],13,0)*Вознаграждение!$I$2)</f>
        <v>14000</v>
      </c>
      <c r="E3" s="90">
        <f t="shared" ref="E3:E17" ca="1" si="0">SUM(B3:D3)</f>
        <v>15155</v>
      </c>
      <c r="F3" s="21"/>
      <c r="G3" s="21"/>
    </row>
    <row r="4" spans="1:10">
      <c r="A4" s="26" t="s">
        <v>19</v>
      </c>
      <c r="B4" s="87">
        <f>VLOOKUP(A4,УчетПерсонала[[Таб. номер]:[Стаж]],12,1)</f>
        <v>2200</v>
      </c>
      <c r="C4" s="88">
        <f>Вознаграждение!$B4*VLOOKUP(IFERROR(VLOOKUP(Вознаграждение!$A4,БаллыРабПериод[],2,0),0),ПремиальныйПроцент,2,1)</f>
        <v>154.00000000000003</v>
      </c>
      <c r="D4" s="89">
        <f ca="1">IF(VLOOKUP(A4,УчетПерсонала[[Таб. номер]:[Стаж]],13,0)&gt;$H$2,$J$2+VLOOKUP(A4,УчетПерсонала[[Таб. номер]:[Стаж]],13,0)*Вознаграждение!$I$2,VLOOKUP(A4,УчетПерсонала[[Таб. номер]:[Стаж]],13,0)*Вознаграждение!$I$2)</f>
        <v>13000</v>
      </c>
      <c r="E4" s="90">
        <f t="shared" ca="1" si="0"/>
        <v>15354</v>
      </c>
      <c r="F4" s="21"/>
      <c r="G4" s="21"/>
      <c r="I4" s="35" t="s">
        <v>141</v>
      </c>
      <c r="J4" s="35" t="s">
        <v>142</v>
      </c>
    </row>
    <row r="5" spans="1:10">
      <c r="A5" s="26" t="s">
        <v>22</v>
      </c>
      <c r="B5" s="87">
        <f>VLOOKUP(A5,УчетПерсонала[[Таб. номер]:[Стаж]],12,1)</f>
        <v>1000</v>
      </c>
      <c r="C5" s="88">
        <f>Вознаграждение!$B5*VLOOKUP(IFERROR(VLOOKUP(Вознаграждение!$A5,БаллыРабПериод[],2,0),0),ПремиальныйПроцент,2,1)</f>
        <v>20</v>
      </c>
      <c r="D5" s="89">
        <f ca="1">IF(VLOOKUP(A5,УчетПерсонала[[Таб. номер]:[Стаж]],13,0)&gt;$H$2,$J$2+VLOOKUP(A5,УчетПерсонала[[Таб. номер]:[Стаж]],13,0)*Вознаграждение!$I$2,VLOOKUP(A5,УчетПерсонала[[Таб. номер]:[Стаж]],13,0)*Вознаграждение!$I$2)</f>
        <v>15000</v>
      </c>
      <c r="E5" s="90">
        <f t="shared" ca="1" si="0"/>
        <v>16020</v>
      </c>
      <c r="F5" s="21"/>
      <c r="G5" s="21"/>
    </row>
    <row r="6" spans="1:10">
      <c r="A6" s="26" t="s">
        <v>28</v>
      </c>
      <c r="B6" s="87">
        <f>VLOOKUP(A6,УчетПерсонала[[Таб. номер]:[Стаж]],12,1)</f>
        <v>1800</v>
      </c>
      <c r="C6" s="88">
        <f>Вознаграждение!$B6*VLOOKUP(IFERROR(VLOOKUP(Вознаграждение!$A6,БаллыРабПериод[],2,0),0),ПремиальныйПроцент,2,1)</f>
        <v>36</v>
      </c>
      <c r="D6" s="89">
        <f ca="1">IF(VLOOKUP(A6,УчетПерсонала[[Таб. номер]:[Стаж]],13,0)&gt;$H$2,$J$2+VLOOKUP(A6,УчетПерсонала[[Таб. номер]:[Стаж]],13,0)*Вознаграждение!$I$2,VLOOKUP(A6,УчетПерсонала[[Таб. номер]:[Стаж]],13,0)*Вознаграждение!$I$2)</f>
        <v>15000</v>
      </c>
      <c r="E6" s="90">
        <f t="shared" ca="1" si="0"/>
        <v>16836</v>
      </c>
      <c r="F6" s="21"/>
      <c r="G6" s="21"/>
    </row>
    <row r="7" spans="1:10">
      <c r="A7" s="26" t="s">
        <v>32</v>
      </c>
      <c r="B7" s="87">
        <f>VLOOKUP(A7,УчетПерсонала[[Таб. номер]:[Стаж]],12,1)</f>
        <v>3300</v>
      </c>
      <c r="C7" s="88">
        <f>Вознаграждение!$B7*VLOOKUP(IFERROR(VLOOKUP(Вознаграждение!$A7,БаллыРабПериод[],2,0),0),ПремиальныйПроцент,2,1)</f>
        <v>66</v>
      </c>
      <c r="D7" s="89">
        <f ca="1">IF(VLOOKUP(A7,УчетПерсонала[[Таб. номер]:[Стаж]],13,0)&gt;$H$2,$J$2+VLOOKUP(A7,УчетПерсонала[[Таб. номер]:[Стаж]],13,0)*Вознаграждение!$I$2,VLOOKUP(A7,УчетПерсонала[[Таб. номер]:[Стаж]],13,0)*Вознаграждение!$I$2)</f>
        <v>19000</v>
      </c>
      <c r="E7" s="90">
        <f t="shared" ca="1" si="0"/>
        <v>22366</v>
      </c>
      <c r="F7" s="21"/>
      <c r="G7" s="21"/>
      <c r="H7" s="31"/>
      <c r="I7" t="s">
        <v>140</v>
      </c>
    </row>
    <row r="8" spans="1:10">
      <c r="A8" s="26" t="s">
        <v>35</v>
      </c>
      <c r="B8" s="87">
        <f>VLOOKUP(A8,УчетПерсонала[[Таб. номер]:[Стаж]],12,1)</f>
        <v>1500</v>
      </c>
      <c r="C8" s="88">
        <f>Вознаграждение!$B8*VLOOKUP(IFERROR(VLOOKUP(Вознаграждение!$A8,БаллыРабПериод[],2,0),0),ПремиальныйПроцент,2,1)</f>
        <v>30</v>
      </c>
      <c r="D8" s="89">
        <f ca="1">IF(VLOOKUP(A8,УчетПерсонала[[Таб. номер]:[Стаж]],13,0)&gt;$H$2,$J$2+VLOOKUP(A8,УчетПерсонала[[Таб. номер]:[Стаж]],13,0)*Вознаграждение!$I$2,VLOOKUP(A8,УчетПерсонала[[Таб. номер]:[Стаж]],13,0)*Вознаграждение!$I$2)</f>
        <v>14000</v>
      </c>
      <c r="E8" s="90">
        <f t="shared" ca="1" si="0"/>
        <v>15530</v>
      </c>
      <c r="F8" s="21"/>
      <c r="G8" s="21"/>
      <c r="H8" s="32"/>
      <c r="I8" t="s">
        <v>139</v>
      </c>
    </row>
    <row r="9" spans="1:10">
      <c r="A9" s="26" t="s">
        <v>43</v>
      </c>
      <c r="B9" s="87">
        <f>VLOOKUP(A9,УчетПерсонала[[Таб. номер]:[Стаж]],12,1)</f>
        <v>1600</v>
      </c>
      <c r="C9" s="88">
        <f>Вознаграждение!$B9*VLOOKUP(IFERROR(VLOOKUP(Вознаграждение!$A9,БаллыРабПериод[],2,0),0),ПремиальныйПроцент,2,1)</f>
        <v>32</v>
      </c>
      <c r="D9" s="89">
        <f ca="1">IF(VLOOKUP(A9,УчетПерсонала[[Таб. номер]:[Стаж]],13,0)&gt;$H$2,$J$2+VLOOKUP(A9,УчетПерсонала[[Таб. номер]:[Стаж]],13,0)*Вознаграждение!$I$2,VLOOKUP(A9,УчетПерсонала[[Таб. номер]:[Стаж]],13,0)*Вознаграждение!$I$2)</f>
        <v>24000</v>
      </c>
      <c r="E9" s="90">
        <f t="shared" ca="1" si="0"/>
        <v>25632</v>
      </c>
      <c r="F9" s="21"/>
      <c r="G9" s="21"/>
    </row>
    <row r="10" spans="1:10">
      <c r="A10" s="26" t="s">
        <v>51</v>
      </c>
      <c r="B10" s="87">
        <f>VLOOKUP(A10,УчетПерсонала[[Таб. номер]:[Стаж]],12,1)</f>
        <v>1200</v>
      </c>
      <c r="C10" s="88">
        <f>Вознаграждение!$B10*VLOOKUP(IFERROR(VLOOKUP(Вознаграждение!$A10,БаллыРабПериод[],2,0),0),ПремиальныйПроцент,2,1)</f>
        <v>60</v>
      </c>
      <c r="D10" s="89">
        <f ca="1">IF(VLOOKUP(A10,УчетПерсонала[[Таб. номер]:[Стаж]],13,0)&gt;$H$2,$J$2+VLOOKUP(A10,УчетПерсонала[[Таб. номер]:[Стаж]],13,0)*Вознаграждение!$I$2,VLOOKUP(A10,УчетПерсонала[[Таб. номер]:[Стаж]],13,0)*Вознаграждение!$I$2)</f>
        <v>26000</v>
      </c>
      <c r="E10" s="90">
        <f t="shared" ca="1" si="0"/>
        <v>27260</v>
      </c>
      <c r="F10" s="21"/>
      <c r="G10" s="21"/>
    </row>
    <row r="11" spans="1:10">
      <c r="A11" s="26" t="s">
        <v>55</v>
      </c>
      <c r="B11" s="87">
        <f>VLOOKUP(A11,УчетПерсонала[[Таб. номер]:[Стаж]],12,1)</f>
        <v>3100</v>
      </c>
      <c r="C11" s="88">
        <f>Вознаграждение!$B11*VLOOKUP(IFERROR(VLOOKUP(Вознаграждение!$A11,БаллыРабПериод[],2,0),0),ПремиальныйПроцент,2,1)</f>
        <v>93</v>
      </c>
      <c r="D11" s="89">
        <f ca="1">IF(VLOOKUP(A11,УчетПерсонала[[Таб. номер]:[Стаж]],13,0)&gt;$H$2,$J$2+VLOOKUP(A11,УчетПерсонала[[Таб. номер]:[Стаж]],13,0)*Вознаграждение!$I$2,VLOOKUP(A11,УчетПерсонала[[Таб. номер]:[Стаж]],13,0)*Вознаграждение!$I$2)</f>
        <v>13000</v>
      </c>
      <c r="E11" s="90">
        <f t="shared" ca="1" si="0"/>
        <v>16193</v>
      </c>
      <c r="F11" s="21"/>
      <c r="G11" s="21"/>
    </row>
    <row r="12" spans="1:10">
      <c r="A12" s="26" t="s">
        <v>59</v>
      </c>
      <c r="B12" s="87">
        <f>VLOOKUP(A12,УчетПерсонала[[Таб. номер]:[Стаж]],12,1)</f>
        <v>2200</v>
      </c>
      <c r="C12" s="88">
        <f>Вознаграждение!$B12*VLOOKUP(IFERROR(VLOOKUP(Вознаграждение!$A12,БаллыРабПериод[],2,0),0),ПремиальныйПроцент,2,1)</f>
        <v>66</v>
      </c>
      <c r="D12" s="89">
        <f ca="1">IF(VLOOKUP(A12,УчетПерсонала[[Таб. номер]:[Стаж]],13,0)&gt;$H$2,$J$2+VLOOKUP(A12,УчетПерсонала[[Таб. номер]:[Стаж]],13,0)*Вознаграждение!$I$2,VLOOKUP(A12,УчетПерсонала[[Таб. номер]:[Стаж]],13,0)*Вознаграждение!$I$2)</f>
        <v>23000</v>
      </c>
      <c r="E12" s="90">
        <f t="shared" ca="1" si="0"/>
        <v>25266</v>
      </c>
      <c r="F12" s="21"/>
      <c r="G12" s="21"/>
    </row>
    <row r="13" spans="1:10">
      <c r="A13" s="26" t="s">
        <v>62</v>
      </c>
      <c r="B13" s="87">
        <f>VLOOKUP(A13,УчетПерсонала[[Таб. номер]:[Стаж]],12,1)</f>
        <v>2800</v>
      </c>
      <c r="C13" s="88">
        <f>Вознаграждение!$B13*VLOOKUP(IFERROR(VLOOKUP(Вознаграждение!$A13,БаллыРабПериод[],2,0),0),ПремиальныйПроцент,2,1)</f>
        <v>56</v>
      </c>
      <c r="D13" s="89">
        <f ca="1">IF(VLOOKUP(A13,УчетПерсонала[[Таб. номер]:[Стаж]],13,0)&gt;$H$2,$J$2+VLOOKUP(A13,УчетПерсонала[[Таб. номер]:[Стаж]],13,0)*Вознаграждение!$I$2,VLOOKUP(A13,УчетПерсонала[[Таб. номер]:[Стаж]],13,0)*Вознаграждение!$I$2)</f>
        <v>23000</v>
      </c>
      <c r="E13" s="90">
        <f t="shared" ca="1" si="0"/>
        <v>25856</v>
      </c>
      <c r="F13" s="21"/>
      <c r="G13" s="21"/>
    </row>
    <row r="14" spans="1:10">
      <c r="A14" s="26" t="s">
        <v>66</v>
      </c>
      <c r="B14" s="87">
        <f>VLOOKUP(A14,УчетПерсонала[[Таб. номер]:[Стаж]],12,1)</f>
        <v>2000</v>
      </c>
      <c r="C14" s="88">
        <f>Вознаграждение!$B14*VLOOKUP(IFERROR(VLOOKUP(Вознаграждение!$A14,БаллыРабПериод[],2,0),0),ПремиальныйПроцент,2,1)</f>
        <v>40</v>
      </c>
      <c r="D14" s="89">
        <f ca="1">IF(VLOOKUP(A14,УчетПерсонала[[Таб. номер]:[Стаж]],13,0)&gt;$H$2,$J$2+VLOOKUP(A14,УчетПерсонала[[Таб. номер]:[Стаж]],13,0)*Вознаграждение!$I$2,VLOOKUP(A14,УчетПерсонала[[Таб. номер]:[Стаж]],13,0)*Вознаграждение!$I$2)</f>
        <v>22000</v>
      </c>
      <c r="E14" s="90">
        <f t="shared" ca="1" si="0"/>
        <v>24040</v>
      </c>
      <c r="F14" s="21"/>
      <c r="G14" s="21"/>
    </row>
    <row r="15" spans="1:10">
      <c r="A15" s="26" t="s">
        <v>70</v>
      </c>
      <c r="B15" s="87">
        <f>VLOOKUP(A15,УчетПерсонала[[Таб. номер]:[Стаж]],12,1)</f>
        <v>1800</v>
      </c>
      <c r="C15" s="88">
        <f>Вознаграждение!$B15*VLOOKUP(IFERROR(VLOOKUP(Вознаграждение!$A15,БаллыРабПериод[],2,0),0),ПремиальныйПроцент,2,1)</f>
        <v>36</v>
      </c>
      <c r="D15" s="89">
        <f ca="1">IF(VLOOKUP(A15,УчетПерсонала[[Таб. номер]:[Стаж]],13,0)&gt;$H$2,$J$2+VLOOKUP(A15,УчетПерсонала[[Таб. номер]:[Стаж]],13,0)*Вознаграждение!$I$2,VLOOKUP(A15,УчетПерсонала[[Таб. номер]:[Стаж]],13,0)*Вознаграждение!$I$2)</f>
        <v>22000</v>
      </c>
      <c r="E15" s="90">
        <f t="shared" ca="1" si="0"/>
        <v>23836</v>
      </c>
      <c r="F15" s="21"/>
      <c r="G15" s="21"/>
    </row>
    <row r="16" spans="1:10">
      <c r="A16" s="26" t="s">
        <v>73</v>
      </c>
      <c r="B16" s="87">
        <f>VLOOKUP(A16,УчетПерсонала[[Таб. номер]:[Стаж]],12,1)</f>
        <v>3200</v>
      </c>
      <c r="C16" s="88">
        <f>Вознаграждение!$B16*VLOOKUP(IFERROR(VLOOKUP(Вознаграждение!$A16,БаллыРабПериод[],2,0),0),ПремиальныйПроцент,2,1)</f>
        <v>64</v>
      </c>
      <c r="D16" s="89">
        <f ca="1">IF(VLOOKUP(A16,УчетПерсонала[[Таб. номер]:[Стаж]],13,0)&gt;$H$2,$J$2+VLOOKUP(A16,УчетПерсонала[[Таб. номер]:[Стаж]],13,0)*Вознаграждение!$I$2,VLOOKUP(A16,УчетПерсонала[[Таб. номер]:[Стаж]],13,0)*Вознаграждение!$I$2)</f>
        <v>12000</v>
      </c>
      <c r="E16" s="90">
        <f t="shared" ca="1" si="0"/>
        <v>15264</v>
      </c>
      <c r="F16" s="21"/>
      <c r="G16" s="21"/>
    </row>
    <row r="17" spans="1:7">
      <c r="A17" s="30" t="s">
        <v>81</v>
      </c>
      <c r="B17" s="91">
        <f>VLOOKUP(A17,УчетПерсонала[[Таб. номер]:[Стаж]],12,1)</f>
        <v>2000</v>
      </c>
      <c r="C17" s="92">
        <f>Вознаграждение!$B17*VLOOKUP(IFERROR(VLOOKUP(Вознаграждение!$A17,БаллыРабПериод[],2,0),0),ПремиальныйПроцент,2,1)</f>
        <v>40</v>
      </c>
      <c r="D17" s="93">
        <f ca="1">IF(VLOOKUP(A17,УчетПерсонала[[Таб. номер]:[Стаж]],13,0)&gt;$H$2,$J$2+VLOOKUP(A17,УчетПерсонала[[Таб. номер]:[Стаж]],13,0)*Вознаграждение!$I$2,VLOOKUP(A17,УчетПерсонала[[Таб. номер]:[Стаж]],13,0)*Вознаграждение!$I$2)</f>
        <v>5000</v>
      </c>
      <c r="E17" s="94">
        <f t="shared" ca="1" si="0"/>
        <v>7040</v>
      </c>
      <c r="F17" s="21"/>
      <c r="G17" s="21"/>
    </row>
  </sheetData>
  <conditionalFormatting sqref="E2:E17">
    <cfRule type="top10" dxfId="69" priority="7" bottom="1" rank="1"/>
    <cfRule type="top10" dxfId="68" priority="8" rank="1"/>
  </conditionalFormatting>
  <pageMargins left="0.7" right="0.7" top="0.75" bottom="0.75" header="0.3" footer="0.3"/>
  <pageSetup paperSize="9" orientation="portrait" r:id="rId1"/>
  <ignoredErrors>
    <ignoredError sqref="A2:A17" numberStoredAsText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5" sqref="A5"/>
    </sheetView>
  </sheetViews>
  <sheetFormatPr defaultRowHeight="12.75"/>
  <cols>
    <col min="1" max="1" width="21.28515625" customWidth="1"/>
    <col min="2" max="2" width="19.140625" customWidth="1"/>
    <col min="4" max="4" width="18.7109375" customWidth="1"/>
    <col min="5" max="5" width="18.5703125" customWidth="1"/>
    <col min="7" max="7" width="16.28515625" customWidth="1"/>
    <col min="8" max="8" width="20" customWidth="1"/>
  </cols>
  <sheetData>
    <row r="1" spans="1:8">
      <c r="A1" s="38" t="s">
        <v>177</v>
      </c>
      <c r="D1" s="38" t="s">
        <v>178</v>
      </c>
      <c r="G1" s="38" t="s">
        <v>179</v>
      </c>
    </row>
    <row r="2" spans="1:8">
      <c r="A2" s="73" t="s">
        <v>85</v>
      </c>
      <c r="B2" s="34">
        <f>COUNTIFS(УчетПерсонала[Отдел],A2)</f>
        <v>7</v>
      </c>
      <c r="D2" s="73" t="s">
        <v>85</v>
      </c>
      <c r="E2" s="76">
        <f>AVERAGEIFS(УчетПерсонала[Оклад],УчетПерсонала[Отдел],D2)</f>
        <v>1785.7142857142858</v>
      </c>
      <c r="G2" s="71" t="s">
        <v>161</v>
      </c>
      <c r="H2" s="76">
        <f>AVERAGEIF(УчетПерсонала[Пол],"ж",УчетПерсонала[Оклад])</f>
        <v>1683.3333333333333</v>
      </c>
    </row>
    <row r="3" spans="1:8">
      <c r="A3" s="73" t="s">
        <v>86</v>
      </c>
      <c r="B3" s="34">
        <f>COUNTIFS(УчетПерсонала[Отдел],A3)</f>
        <v>3</v>
      </c>
      <c r="D3" s="73" t="s">
        <v>86</v>
      </c>
      <c r="E3" s="76">
        <f>AVERAGEIFS(УчетПерсонала[Оклад],УчетПерсонала[Отдел],D3)</f>
        <v>1933.3333333333333</v>
      </c>
      <c r="G3" s="71" t="s">
        <v>162</v>
      </c>
      <c r="H3" s="76">
        <f>AVERAGEIF(УчетПерсонала[Пол],"м",УчетПерсонала[Оклад])</f>
        <v>2228.5714285714284</v>
      </c>
    </row>
    <row r="4" spans="1:8">
      <c r="A4" s="73" t="s">
        <v>87</v>
      </c>
      <c r="B4" s="34">
        <f>COUNTIFS(УчетПерсонала[Отдел],A4)</f>
        <v>5</v>
      </c>
      <c r="D4" s="73" t="s">
        <v>87</v>
      </c>
      <c r="E4" s="76">
        <f>AVERAGEIFS(УчетПерсонала[Оклад],УчетПерсонала[Отдел],D4)</f>
        <v>2400</v>
      </c>
    </row>
    <row r="5" spans="1:8">
      <c r="A5" s="73" t="s">
        <v>88</v>
      </c>
      <c r="B5" s="34">
        <f>COUNTIFS(УчетПерсонала[Отдел],A5)</f>
        <v>5</v>
      </c>
      <c r="D5" s="73" t="s">
        <v>88</v>
      </c>
      <c r="E5" s="76">
        <f>AVERAGEIFS(УчетПерсонала[Оклад],УчетПерсонала[Отдел],D5)</f>
        <v>2200</v>
      </c>
    </row>
    <row r="10" spans="1:8">
      <c r="A10" s="38" t="s">
        <v>181</v>
      </c>
    </row>
    <row r="11" spans="1:8">
      <c r="A11" s="73" t="s">
        <v>85</v>
      </c>
      <c r="B11" s="34">
        <f>SUMIF(УчетПерсонала[Отдел],A11,УчетПерсонала[Кол-во иждивенцев])</f>
        <v>6</v>
      </c>
    </row>
    <row r="12" spans="1:8">
      <c r="A12" s="73" t="s">
        <v>86</v>
      </c>
      <c r="B12" s="34">
        <f>SUMIF(УчетПерсонала[Отдел],A12,УчетПерсонала[Кол-во иждивенцев])</f>
        <v>3</v>
      </c>
    </row>
    <row r="13" spans="1:8">
      <c r="A13" s="73" t="s">
        <v>87</v>
      </c>
      <c r="B13" s="34">
        <f>SUMIF(УчетПерсонала[Отдел],A13,УчетПерсонала[Кол-во иждивенцев])</f>
        <v>6</v>
      </c>
    </row>
    <row r="14" spans="1:8">
      <c r="A14" s="73" t="s">
        <v>88</v>
      </c>
      <c r="B14" s="34">
        <f>SUMIF(УчетПерсонала[Отдел],A14,УчетПерсонала[Кол-во иждивенцев])</f>
        <v>14</v>
      </c>
    </row>
    <row r="19" spans="1:3">
      <c r="A19" s="38" t="s">
        <v>180</v>
      </c>
    </row>
    <row r="20" spans="1:3">
      <c r="A20" s="42"/>
      <c r="B20" s="72" t="s">
        <v>172</v>
      </c>
      <c r="C20" s="72" t="s">
        <v>173</v>
      </c>
    </row>
    <row r="21" spans="1:3">
      <c r="A21" s="73" t="s">
        <v>85</v>
      </c>
      <c r="B21" s="34">
        <f>COUNTIFS(УчетПерсонала[Пол],"м",УчетПерсонала[Отдел],A21)</f>
        <v>6</v>
      </c>
      <c r="C21" s="34">
        <f>COUNTIFS(УчетПерсонала[Пол],"ж",УчетПерсонала[Отдел],A21)</f>
        <v>1</v>
      </c>
    </row>
    <row r="22" spans="1:3">
      <c r="A22" s="73" t="s">
        <v>86</v>
      </c>
      <c r="B22" s="34">
        <f>COUNTIFS(УчетПерсонала[Пол],"м",УчетПерсонала[Отдел],A22)</f>
        <v>2</v>
      </c>
      <c r="C22" s="34">
        <f>COUNTIFS(УчетПерсонала[Пол],"ж",УчетПерсонала[Отдел],A22)</f>
        <v>1</v>
      </c>
    </row>
    <row r="23" spans="1:3">
      <c r="A23" s="73" t="s">
        <v>87</v>
      </c>
      <c r="B23" s="34">
        <f>COUNTIFS(УчетПерсонала[Пол],"м",УчетПерсонала[Отдел],A23)</f>
        <v>3</v>
      </c>
      <c r="C23" s="34">
        <f>COUNTIFS(УчетПерсонала[Пол],"ж",УчетПерсонала[Отдел],A23)</f>
        <v>2</v>
      </c>
    </row>
    <row r="24" spans="1:3">
      <c r="A24" s="73" t="s">
        <v>88</v>
      </c>
      <c r="B24" s="34">
        <f>COUNTIFS(УчетПерсонала[Пол],"м",УчетПерсонала[Отдел],A24)</f>
        <v>3</v>
      </c>
      <c r="C24" s="34">
        <f>COUNTIFS(УчетПерсонала[Пол],"ж",УчетПерсонала[Отдел],A24)</f>
        <v>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13" sqref="E13"/>
    </sheetView>
  </sheetViews>
  <sheetFormatPr defaultRowHeight="12.75"/>
  <cols>
    <col min="1" max="1" width="32.140625" bestFit="1" customWidth="1"/>
    <col min="2" max="2" width="22" customWidth="1"/>
    <col min="3" max="3" width="10.7109375" customWidth="1"/>
    <col min="4" max="4" width="11.7109375" bestFit="1" customWidth="1"/>
  </cols>
  <sheetData>
    <row r="1" spans="1:4">
      <c r="A1" s="38" t="s">
        <v>170</v>
      </c>
    </row>
    <row r="3" spans="1:4">
      <c r="A3" s="22" t="s">
        <v>175</v>
      </c>
      <c r="B3" s="22" t="s">
        <v>136</v>
      </c>
    </row>
    <row r="4" spans="1:4">
      <c r="A4" s="22" t="s">
        <v>174</v>
      </c>
      <c r="B4" s="25" t="s">
        <v>42</v>
      </c>
      <c r="C4" s="25" t="s">
        <v>15</v>
      </c>
      <c r="D4" t="s">
        <v>134</v>
      </c>
    </row>
    <row r="5" spans="1:4">
      <c r="A5" s="23" t="s">
        <v>87</v>
      </c>
      <c r="B5" s="75">
        <v>2</v>
      </c>
      <c r="C5" s="75">
        <v>3</v>
      </c>
      <c r="D5" s="75">
        <v>5</v>
      </c>
    </row>
    <row r="6" spans="1:4">
      <c r="A6" s="23" t="s">
        <v>88</v>
      </c>
      <c r="B6" s="75">
        <v>2</v>
      </c>
      <c r="C6" s="75">
        <v>3</v>
      </c>
      <c r="D6" s="75">
        <v>5</v>
      </c>
    </row>
    <row r="7" spans="1:4">
      <c r="A7" s="23" t="s">
        <v>85</v>
      </c>
      <c r="B7" s="75">
        <v>1</v>
      </c>
      <c r="C7" s="75">
        <v>6</v>
      </c>
      <c r="D7" s="75">
        <v>7</v>
      </c>
    </row>
    <row r="8" spans="1:4">
      <c r="A8" s="23" t="s">
        <v>86</v>
      </c>
      <c r="B8" s="75">
        <v>1</v>
      </c>
      <c r="C8" s="75">
        <v>2</v>
      </c>
      <c r="D8" s="75">
        <v>3</v>
      </c>
    </row>
    <row r="9" spans="1:4">
      <c r="A9" s="23" t="s">
        <v>134</v>
      </c>
      <c r="B9" s="75">
        <v>6</v>
      </c>
      <c r="C9" s="75">
        <v>14</v>
      </c>
      <c r="D9" s="7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RowHeight="12.75"/>
  <cols>
    <col min="1" max="1" width="18.28515625" bestFit="1" customWidth="1"/>
    <col min="2" max="2" width="20.28515625" customWidth="1"/>
  </cols>
  <sheetData>
    <row r="1" spans="1:2">
      <c r="A1" s="38" t="s">
        <v>164</v>
      </c>
    </row>
    <row r="3" spans="1:2">
      <c r="A3" s="22" t="s">
        <v>89</v>
      </c>
      <c r="B3" t="s">
        <v>138</v>
      </c>
    </row>
    <row r="4" spans="1:2">
      <c r="A4" s="23" t="s">
        <v>87</v>
      </c>
      <c r="B4" s="74">
        <v>2400</v>
      </c>
    </row>
    <row r="5" spans="1:2">
      <c r="A5" s="23" t="s">
        <v>88</v>
      </c>
      <c r="B5" s="74">
        <v>2200</v>
      </c>
    </row>
    <row r="6" spans="1:2">
      <c r="A6" s="23" t="s">
        <v>85</v>
      </c>
      <c r="B6" s="74">
        <v>1785.7142857142858</v>
      </c>
    </row>
    <row r="7" spans="1:2">
      <c r="A7" s="23" t="s">
        <v>86</v>
      </c>
      <c r="B7" s="74">
        <v>1933.3333333333333</v>
      </c>
    </row>
    <row r="8" spans="1:2">
      <c r="A8" s="23" t="s">
        <v>134</v>
      </c>
      <c r="B8" s="74">
        <v>2065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O22" sqref="O22"/>
    </sheetView>
  </sheetViews>
  <sheetFormatPr defaultRowHeight="12.75"/>
  <cols>
    <col min="1" max="1" width="18.28515625" bestFit="1" customWidth="1"/>
    <col min="2" max="2" width="24.42578125" bestFit="1" customWidth="1"/>
  </cols>
  <sheetData>
    <row r="1" spans="1:2">
      <c r="A1" s="38" t="s">
        <v>171</v>
      </c>
    </row>
    <row r="3" spans="1:2">
      <c r="A3" s="22" t="s">
        <v>133</v>
      </c>
      <c r="B3" t="s">
        <v>135</v>
      </c>
    </row>
    <row r="4" spans="1:2">
      <c r="A4" s="25" t="s">
        <v>42</v>
      </c>
      <c r="B4" s="74">
        <v>1683.3333333333333</v>
      </c>
    </row>
    <row r="5" spans="1:2">
      <c r="A5" s="25" t="s">
        <v>15</v>
      </c>
      <c r="B5" s="74">
        <v>2228.5714285714284</v>
      </c>
    </row>
    <row r="6" spans="1:2">
      <c r="A6" s="23" t="s">
        <v>134</v>
      </c>
      <c r="B6" s="74"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6</vt:i4>
      </vt:variant>
    </vt:vector>
  </HeadingPairs>
  <TitlesOfParts>
    <vt:vector size="21" baseType="lpstr">
      <vt:lpstr>Задание на проект</vt:lpstr>
      <vt:lpstr>Учет персонала</vt:lpstr>
      <vt:lpstr>Баллы по итогам рабочего период</vt:lpstr>
      <vt:lpstr>Справочные данные</vt:lpstr>
      <vt:lpstr>Вознаграждение</vt:lpstr>
      <vt:lpstr>Отчеты по формулам</vt:lpstr>
      <vt:lpstr>СвТПолСотрудников</vt:lpstr>
      <vt:lpstr>СвТСреднийОклад</vt:lpstr>
      <vt:lpstr>СвТСредОклПол</vt:lpstr>
      <vt:lpstr>СвТабКол-воСотрудников</vt:lpstr>
      <vt:lpstr>СвТКолИждивенцев</vt:lpstr>
      <vt:lpstr>Секретари уволены</vt:lpstr>
      <vt:lpstr>ГР1971</vt:lpstr>
      <vt:lpstr>Оклад меньше среднего</vt:lpstr>
      <vt:lpstr>Именинники</vt:lpstr>
      <vt:lpstr>Должности</vt:lpstr>
      <vt:lpstr>ДолжностныеОклады</vt:lpstr>
      <vt:lpstr>'Учет персонала'!Извлечь</vt:lpstr>
      <vt:lpstr>'Учет персонала'!Критерии</vt:lpstr>
      <vt:lpstr>Подразделения</vt:lpstr>
      <vt:lpstr>ПремиальныйПроцент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VRadionov</dc:creator>
  <cp:lastModifiedBy>MSerina</cp:lastModifiedBy>
  <cp:lastPrinted>2021-08-25T08:41:17Z</cp:lastPrinted>
  <dcterms:created xsi:type="dcterms:W3CDTF">2002-10-29T08:11:33Z</dcterms:created>
  <dcterms:modified xsi:type="dcterms:W3CDTF">2021-09-07T12:23:05Z</dcterms:modified>
</cp:coreProperties>
</file>