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echamento Mensal CEFSA\"/>
    </mc:Choice>
  </mc:AlternateContent>
  <bookViews>
    <workbookView xWindow="360" yWindow="90" windowWidth="11295" windowHeight="6435" firstSheet="2" activeTab="11"/>
  </bookViews>
  <sheets>
    <sheet name="JANEIRO" sheetId="12" r:id="rId1"/>
    <sheet name="FEVEREIRO" sheetId="11" r:id="rId2"/>
    <sheet name="MARÇO" sheetId="19" r:id="rId3"/>
    <sheet name="ABRIL" sheetId="2" r:id="rId4"/>
    <sheet name="MAIO" sheetId="17" r:id="rId5"/>
    <sheet name="JUNHO" sheetId="3" r:id="rId6"/>
    <sheet name="JULHO" sheetId="5" r:id="rId7"/>
    <sheet name="AGOSTO" sheetId="6" r:id="rId8"/>
    <sheet name="SETEMBRO" sheetId="7" r:id="rId9"/>
    <sheet name="OUTUBRO" sheetId="8" r:id="rId10"/>
    <sheet name="NOVEMBRO" sheetId="9" r:id="rId11"/>
    <sheet name=" DEZEMBRO " sheetId="18" r:id="rId12"/>
  </sheets>
  <definedNames>
    <definedName name="_xlnm.Print_Area" localSheetId="11">' DEZEMBRO '!$A$1:$K$33</definedName>
    <definedName name="_xlnm.Print_Area" localSheetId="3">ABRIL!$A$1:$K$32</definedName>
    <definedName name="_xlnm.Print_Area" localSheetId="7">AGOSTO!$A$1:$K$33</definedName>
    <definedName name="_xlnm.Print_Area" localSheetId="1">FEVEREIRO!$A$1:$K$31</definedName>
    <definedName name="_xlnm.Print_Area" localSheetId="0">JANEIRO!$A$1:$K$33</definedName>
    <definedName name="_xlnm.Print_Area" localSheetId="6">JULHO!$A$1:$K$33</definedName>
    <definedName name="_xlnm.Print_Area" localSheetId="5">JUNHO!$A$1:$K$33</definedName>
    <definedName name="_xlnm.Print_Area" localSheetId="4">MAIO!$A$1:$K$32</definedName>
    <definedName name="_xlnm.Print_Area" localSheetId="2">MARÇO!$A$1:$J$33</definedName>
    <definedName name="_xlnm.Print_Area" localSheetId="10">NOVEMBRO!$A$1:$K$33</definedName>
    <definedName name="_xlnm.Print_Area" localSheetId="9">OUTUBRO!$A$1:$K$33</definedName>
    <definedName name="_xlnm.Print_Area" localSheetId="8">SETEMBRO!$A$1:$K$33</definedName>
  </definedNames>
  <calcPr calcId="162913"/>
</workbook>
</file>

<file path=xl/calcChain.xml><?xml version="1.0" encoding="utf-8"?>
<calcChain xmlns="http://schemas.openxmlformats.org/spreadsheetml/2006/main">
  <c r="C15" i="18" l="1"/>
  <c r="C14" i="18"/>
  <c r="C8" i="18"/>
  <c r="C7" i="18"/>
  <c r="C6" i="18"/>
  <c r="C5" i="18"/>
  <c r="C4" i="18"/>
  <c r="D18" i="18" l="1"/>
  <c r="D16" i="18"/>
  <c r="D4" i="18"/>
  <c r="C13" i="18" l="1"/>
  <c r="C12" i="18"/>
  <c r="C11" i="18"/>
  <c r="C10" i="18"/>
  <c r="C9" i="18"/>
  <c r="D29" i="9" l="1"/>
  <c r="E28" i="9"/>
  <c r="D28" i="9"/>
  <c r="F17" i="9" l="1"/>
  <c r="G20" i="9" l="1"/>
  <c r="C22" i="9" l="1"/>
  <c r="C21" i="9"/>
  <c r="C20" i="9"/>
  <c r="C19" i="9"/>
  <c r="C18" i="9"/>
  <c r="C4" i="9" l="1"/>
  <c r="I7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I12" i="9"/>
  <c r="I14" i="9"/>
  <c r="I17" i="9"/>
  <c r="F12" i="9" l="1"/>
  <c r="G4" i="9"/>
  <c r="C25" i="8" l="1"/>
  <c r="C24" i="8"/>
  <c r="C23" i="8"/>
  <c r="I19" i="8" l="1"/>
  <c r="G21" i="8" l="1"/>
  <c r="C22" i="8"/>
  <c r="C21" i="8"/>
  <c r="C20" i="8"/>
  <c r="C19" i="8"/>
  <c r="C18" i="8"/>
  <c r="B17" i="8" l="1"/>
  <c r="C17" i="8"/>
  <c r="C16" i="8"/>
  <c r="C15" i="8"/>
  <c r="C14" i="8"/>
  <c r="C13" i="8"/>
  <c r="C8" i="8"/>
  <c r="C12" i="8"/>
  <c r="C11" i="8"/>
  <c r="C10" i="8"/>
  <c r="C9" i="8"/>
  <c r="C4" i="8"/>
  <c r="C7" i="8"/>
  <c r="C6" i="8"/>
  <c r="C5" i="8"/>
  <c r="I5" i="8"/>
  <c r="I6" i="8"/>
  <c r="I7" i="8"/>
  <c r="I8" i="8"/>
  <c r="I10" i="8"/>
  <c r="I11" i="8"/>
  <c r="I13" i="8"/>
  <c r="I17" i="8"/>
  <c r="I18" i="8"/>
  <c r="G7" i="8" l="1"/>
  <c r="G13" i="8"/>
  <c r="G17" i="8"/>
  <c r="C22" i="7" l="1"/>
  <c r="C21" i="7"/>
  <c r="C20" i="7"/>
  <c r="C19" i="7"/>
  <c r="C18" i="7"/>
  <c r="G19" i="7" l="1"/>
  <c r="C11" i="7"/>
  <c r="C10" i="7"/>
  <c r="C9" i="7"/>
  <c r="C8" i="7"/>
  <c r="C17" i="7"/>
  <c r="C16" i="7"/>
  <c r="C15" i="7"/>
  <c r="C14" i="7"/>
  <c r="C13" i="7"/>
  <c r="I14" i="7"/>
  <c r="I17" i="7"/>
  <c r="I19" i="7"/>
  <c r="G12" i="7" l="1"/>
  <c r="G11" i="7"/>
  <c r="G13" i="7"/>
  <c r="G14" i="7" l="1"/>
  <c r="G4" i="7" l="1"/>
  <c r="D4" i="7"/>
  <c r="C7" i="7"/>
  <c r="C6" i="7"/>
  <c r="C5" i="7"/>
  <c r="C4" i="7"/>
  <c r="I4" i="7" l="1"/>
  <c r="I5" i="7"/>
  <c r="F4" i="6" l="1"/>
  <c r="F5" i="6"/>
  <c r="F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7" i="6"/>
  <c r="C8" i="6"/>
  <c r="C6" i="6"/>
  <c r="C5" i="6"/>
  <c r="C4" i="6"/>
  <c r="I7" i="6"/>
  <c r="I20" i="6"/>
  <c r="G19" i="6"/>
  <c r="D16" i="6"/>
  <c r="D12" i="6"/>
  <c r="G8" i="6"/>
  <c r="D7" i="6"/>
  <c r="G6" i="6"/>
  <c r="I22" i="3"/>
  <c r="I19" i="3"/>
  <c r="G22" i="3"/>
  <c r="G12" i="3"/>
  <c r="G17" i="3"/>
  <c r="D17" i="3"/>
  <c r="D13" i="3"/>
  <c r="C24" i="17"/>
  <c r="C23" i="17"/>
  <c r="C22" i="17"/>
  <c r="C8" i="2"/>
  <c r="C7" i="2"/>
  <c r="C6" i="2"/>
  <c r="C5" i="2"/>
  <c r="C4" i="2"/>
  <c r="G21" i="2"/>
  <c r="G20" i="2"/>
  <c r="C23" i="2"/>
  <c r="C22" i="2"/>
  <c r="C21" i="2"/>
  <c r="C20" i="2"/>
  <c r="C19" i="2"/>
  <c r="C13" i="2"/>
  <c r="C12" i="2"/>
  <c r="C11" i="2"/>
  <c r="C10" i="2"/>
  <c r="C9" i="2"/>
  <c r="C18" i="2"/>
  <c r="C17" i="2"/>
  <c r="C16" i="2"/>
  <c r="C15" i="2"/>
  <c r="C14" i="2"/>
  <c r="I9" i="2"/>
  <c r="G8" i="2"/>
  <c r="D9" i="2"/>
  <c r="G15" i="2"/>
  <c r="D14" i="2"/>
  <c r="G13" i="2"/>
  <c r="G12" i="2"/>
  <c r="G18" i="2"/>
  <c r="G22" i="19"/>
  <c r="H22" i="19"/>
  <c r="C24" i="19"/>
  <c r="C23" i="19"/>
  <c r="C22" i="19"/>
  <c r="C21" i="19"/>
  <c r="C11" i="19"/>
  <c r="C5" i="19"/>
  <c r="C15" i="19"/>
  <c r="C14" i="19"/>
  <c r="C13" i="19"/>
  <c r="C12" i="19"/>
  <c r="H16" i="19"/>
  <c r="H21" i="19"/>
  <c r="C20" i="19"/>
  <c r="C19" i="19"/>
  <c r="C18" i="19"/>
  <c r="C17" i="19"/>
  <c r="C16" i="19"/>
  <c r="G20" i="19"/>
  <c r="D20" i="19"/>
  <c r="D21" i="19"/>
  <c r="D13" i="19"/>
  <c r="G7" i="19"/>
  <c r="D7" i="19"/>
  <c r="G10" i="19"/>
  <c r="D11" i="19"/>
  <c r="G5" i="19"/>
  <c r="G4" i="19"/>
  <c r="D16" i="19"/>
  <c r="C21" i="11"/>
  <c r="C20" i="11"/>
  <c r="C19" i="11"/>
  <c r="B4" i="11"/>
  <c r="C15" i="11"/>
  <c r="C10" i="11"/>
  <c r="C9" i="11"/>
  <c r="C8" i="11"/>
  <c r="C7" i="11"/>
  <c r="C6" i="11"/>
  <c r="C5" i="11"/>
  <c r="C4" i="11"/>
  <c r="I13" i="11"/>
  <c r="C13" i="11"/>
  <c r="C12" i="11"/>
  <c r="C11" i="11"/>
  <c r="C18" i="11"/>
  <c r="C17" i="11"/>
  <c r="C16" i="11"/>
  <c r="C14" i="11"/>
  <c r="D18" i="11"/>
  <c r="G17" i="11"/>
  <c r="D13" i="11"/>
  <c r="G10" i="11"/>
  <c r="G7" i="11"/>
  <c r="D5" i="11"/>
  <c r="G5" i="11"/>
  <c r="I18" i="12"/>
  <c r="G22" i="12"/>
  <c r="I23" i="12"/>
  <c r="F11" i="12"/>
  <c r="C18" i="12"/>
  <c r="C17" i="12"/>
  <c r="C16" i="12"/>
  <c r="G17" i="12"/>
  <c r="D7" i="12"/>
  <c r="D6" i="12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6" i="19"/>
  <c r="F25" i="19"/>
  <c r="F24" i="19"/>
  <c r="F22" i="12"/>
  <c r="F23" i="12"/>
  <c r="F24" i="12"/>
  <c r="F25" i="12"/>
  <c r="F26" i="12"/>
  <c r="G29" i="19"/>
  <c r="I28" i="19"/>
  <c r="H28" i="19"/>
  <c r="E28" i="19"/>
  <c r="C31" i="19"/>
  <c r="D28" i="19"/>
  <c r="C28" i="19"/>
  <c r="B28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B29" i="19"/>
  <c r="D29" i="19"/>
  <c r="C32" i="19"/>
  <c r="F4" i="5"/>
  <c r="I27" i="2"/>
  <c r="G29" i="18"/>
  <c r="J28" i="18"/>
  <c r="I28" i="18"/>
  <c r="H29" i="18" s="1"/>
  <c r="H28" i="18"/>
  <c r="E28" i="18"/>
  <c r="C31" i="18" s="1"/>
  <c r="D28" i="18"/>
  <c r="C28" i="18"/>
  <c r="B28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G29" i="5"/>
  <c r="F24" i="5"/>
  <c r="I28" i="3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G28" i="17"/>
  <c r="J27" i="17"/>
  <c r="I27" i="17"/>
  <c r="H27" i="17"/>
  <c r="E27" i="17"/>
  <c r="C30" i="17"/>
  <c r="D27" i="17"/>
  <c r="C27" i="17"/>
  <c r="B27" i="17"/>
  <c r="F25" i="17"/>
  <c r="F24" i="17"/>
  <c r="F23" i="17"/>
  <c r="F4" i="11"/>
  <c r="F22" i="9"/>
  <c r="F5" i="9"/>
  <c r="J28" i="3"/>
  <c r="F21" i="9"/>
  <c r="F13" i="9"/>
  <c r="G29" i="12"/>
  <c r="J28" i="12"/>
  <c r="I28" i="12"/>
  <c r="H28" i="12"/>
  <c r="E28" i="12"/>
  <c r="C31" i="12"/>
  <c r="D28" i="12"/>
  <c r="C28" i="12"/>
  <c r="B28" i="12"/>
  <c r="F21" i="12"/>
  <c r="F20" i="12"/>
  <c r="F19" i="12"/>
  <c r="F18" i="12"/>
  <c r="F17" i="12"/>
  <c r="F16" i="12"/>
  <c r="F15" i="12"/>
  <c r="F14" i="12"/>
  <c r="F13" i="12"/>
  <c r="F12" i="12"/>
  <c r="F10" i="12"/>
  <c r="F9" i="12"/>
  <c r="F8" i="12"/>
  <c r="F7" i="12"/>
  <c r="F6" i="12"/>
  <c r="F5" i="12"/>
  <c r="F4" i="12"/>
  <c r="G27" i="11"/>
  <c r="J26" i="11"/>
  <c r="I26" i="11"/>
  <c r="H26" i="11"/>
  <c r="E26" i="11"/>
  <c r="C29" i="11"/>
  <c r="D26" i="11"/>
  <c r="C26" i="11"/>
  <c r="B26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20" i="9"/>
  <c r="F19" i="9"/>
  <c r="F18" i="9"/>
  <c r="F16" i="9"/>
  <c r="F15" i="9"/>
  <c r="F14" i="9"/>
  <c r="F11" i="9"/>
  <c r="F10" i="9"/>
  <c r="F9" i="9"/>
  <c r="F8" i="9"/>
  <c r="F7" i="9"/>
  <c r="F6" i="9"/>
  <c r="F4" i="9"/>
  <c r="G29" i="9"/>
  <c r="J28" i="9"/>
  <c r="I28" i="9"/>
  <c r="H29" i="9" s="1"/>
  <c r="H28" i="9"/>
  <c r="C31" i="9"/>
  <c r="C28" i="9"/>
  <c r="B28" i="9"/>
  <c r="G29" i="8"/>
  <c r="J28" i="8"/>
  <c r="I28" i="8"/>
  <c r="H29" i="8" s="1"/>
  <c r="H28" i="8"/>
  <c r="E28" i="8"/>
  <c r="C31" i="8" s="1"/>
  <c r="D28" i="8"/>
  <c r="C28" i="8"/>
  <c r="B28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G29" i="7"/>
  <c r="J28" i="7"/>
  <c r="I28" i="7"/>
  <c r="H29" i="7" s="1"/>
  <c r="H28" i="7"/>
  <c r="E28" i="7"/>
  <c r="C31" i="7" s="1"/>
  <c r="D28" i="7"/>
  <c r="C28" i="7"/>
  <c r="B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G29" i="6"/>
  <c r="J28" i="6"/>
  <c r="I28" i="6"/>
  <c r="H28" i="6"/>
  <c r="E28" i="6"/>
  <c r="C31" i="6"/>
  <c r="D28" i="6"/>
  <c r="C28" i="6"/>
  <c r="B28" i="6"/>
  <c r="J28" i="5"/>
  <c r="I28" i="5"/>
  <c r="H29" i="5"/>
  <c r="H28" i="5"/>
  <c r="E28" i="5"/>
  <c r="C31" i="5"/>
  <c r="D28" i="5"/>
  <c r="C28" i="5"/>
  <c r="B28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29" i="3"/>
  <c r="H28" i="3"/>
  <c r="E28" i="3"/>
  <c r="C31" i="3"/>
  <c r="D28" i="3"/>
  <c r="C28" i="3"/>
  <c r="B28" i="3"/>
  <c r="F26" i="3"/>
  <c r="F25" i="3"/>
  <c r="F24" i="3"/>
  <c r="F23" i="3"/>
  <c r="G28" i="2"/>
  <c r="H28" i="2"/>
  <c r="E27" i="2"/>
  <c r="C30" i="2"/>
  <c r="D27" i="2"/>
  <c r="C27" i="2"/>
  <c r="B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H29" i="6"/>
  <c r="B28" i="2"/>
  <c r="C30" i="11"/>
  <c r="D27" i="11"/>
  <c r="C32" i="12"/>
  <c r="H29" i="12"/>
  <c r="H29" i="3"/>
  <c r="B27" i="11"/>
  <c r="D29" i="12"/>
  <c r="B29" i="12"/>
  <c r="D29" i="6"/>
  <c r="C32" i="6"/>
  <c r="B29" i="6"/>
  <c r="D29" i="5"/>
  <c r="H27" i="11"/>
  <c r="H28" i="17"/>
  <c r="B29" i="5"/>
  <c r="C32" i="5"/>
  <c r="D29" i="3"/>
  <c r="B29" i="3"/>
  <c r="F29" i="3"/>
  <c r="C32" i="3"/>
  <c r="B28" i="17"/>
  <c r="D28" i="17"/>
  <c r="C31" i="17"/>
  <c r="D28" i="2"/>
  <c r="C31" i="2"/>
  <c r="K28" i="2"/>
  <c r="K29" i="6"/>
  <c r="K29" i="5"/>
  <c r="K27" i="11"/>
  <c r="K29" i="12"/>
  <c r="K29" i="3"/>
  <c r="K28" i="17"/>
  <c r="B29" i="18" l="1"/>
  <c r="C32" i="18"/>
  <c r="D29" i="18"/>
  <c r="B29" i="9"/>
  <c r="C32" i="9"/>
  <c r="B29" i="8"/>
  <c r="C32" i="8"/>
  <c r="D29" i="8"/>
  <c r="B29" i="7"/>
  <c r="C32" i="7"/>
  <c r="D29" i="7"/>
  <c r="K29" i="18" l="1"/>
  <c r="K29" i="9"/>
  <c r="K29" i="8"/>
  <c r="K29" i="7"/>
</calcChain>
</file>

<file path=xl/sharedStrings.xml><?xml version="1.0" encoding="utf-8"?>
<sst xmlns="http://schemas.openxmlformats.org/spreadsheetml/2006/main" count="184" uniqueCount="15">
  <si>
    <t>DATA</t>
  </si>
  <si>
    <t>DESJEJUM</t>
  </si>
  <si>
    <t>LANCHE</t>
  </si>
  <si>
    <t>TOTAL</t>
  </si>
  <si>
    <t>ALMOÇO</t>
  </si>
  <si>
    <t>JANTAR</t>
  </si>
  <si>
    <t>COQUETEL</t>
  </si>
  <si>
    <t>CTM + FTT</t>
  </si>
  <si>
    <t>CTM + FTT ALMOX</t>
  </si>
  <si>
    <t>EI ALMOX</t>
  </si>
  <si>
    <t>EI</t>
  </si>
  <si>
    <t>Eventos</t>
  </si>
  <si>
    <t xml:space="preserve">     </t>
  </si>
  <si>
    <t xml:space="preserve">  </t>
  </si>
  <si>
    <t>LANCHE+ FRUTA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</si>
</sst>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mmmm\-yy;@"/>
  </numFmts>
  <fonts count="4" x14ac:knownFonts="1">
    <font>
      <sz val="10"/>
      <name val="Arial"/>
    </font>
    <font>
      <sz val="10"/>
      <color indexed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16" fontId="2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/>
    <xf numFmtId="16" fontId="2" fillId="0" borderId="0" xfId="0" applyNumberFormat="1" applyFont="1"/>
    <xf numFmtId="0" fontId="2" fillId="0" borderId="0" xfId="0" applyFont="1"/>
    <xf numFmtId="16" fontId="3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16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Normal="100" workbookViewId="0">
      <selection activeCell="B20" sqref="B20:B25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0">
        <v>43101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">
      <c r="A2" s="31" t="s">
        <v>0</v>
      </c>
      <c r="B2" s="4"/>
      <c r="C2" s="4"/>
      <c r="D2" s="32" t="s">
        <v>4</v>
      </c>
      <c r="E2" s="32"/>
      <c r="F2" s="32"/>
      <c r="G2" s="32" t="s">
        <v>5</v>
      </c>
      <c r="H2" s="33"/>
      <c r="I2" s="34" t="s">
        <v>11</v>
      </c>
      <c r="J2" s="35" t="s">
        <v>6</v>
      </c>
      <c r="K2" s="36"/>
    </row>
    <row r="3" spans="1:11" s="2" customFormat="1" x14ac:dyDescent="0.2">
      <c r="A3" s="31"/>
      <c r="B3" s="4" t="s">
        <v>1</v>
      </c>
      <c r="C3" s="4" t="s">
        <v>2</v>
      </c>
      <c r="D3" s="4" t="s">
        <v>7</v>
      </c>
      <c r="E3" s="4" t="s">
        <v>10</v>
      </c>
      <c r="F3" s="4" t="s">
        <v>3</v>
      </c>
      <c r="G3" s="32"/>
      <c r="H3" s="33"/>
      <c r="I3" s="34"/>
      <c r="J3" s="35"/>
      <c r="K3" s="36"/>
    </row>
    <row r="4" spans="1:11" x14ac:dyDescent="0.2">
      <c r="A4" s="5">
        <v>43102</v>
      </c>
      <c r="B4" s="6">
        <v>175</v>
      </c>
      <c r="C4" s="6">
        <v>70</v>
      </c>
      <c r="D4" s="7">
        <v>118</v>
      </c>
      <c r="E4" s="7">
        <v>0</v>
      </c>
      <c r="F4" s="7">
        <f>SUM(D4:E4)</f>
        <v>118</v>
      </c>
      <c r="G4" s="7">
        <v>0</v>
      </c>
      <c r="H4" s="7"/>
      <c r="I4" s="7"/>
      <c r="J4" s="7"/>
      <c r="K4" s="36"/>
    </row>
    <row r="5" spans="1:11" x14ac:dyDescent="0.2">
      <c r="A5" s="5">
        <v>43103</v>
      </c>
      <c r="B5" s="6">
        <v>175</v>
      </c>
      <c r="C5" s="6">
        <v>70</v>
      </c>
      <c r="D5" s="6">
        <v>105</v>
      </c>
      <c r="E5" s="7">
        <v>0</v>
      </c>
      <c r="F5" s="7">
        <f t="shared" ref="F5:F26" si="0">SUM(D5:E5)</f>
        <v>105</v>
      </c>
      <c r="G5" s="7">
        <v>0</v>
      </c>
      <c r="H5" s="7"/>
      <c r="I5" s="7"/>
      <c r="J5" s="7"/>
      <c r="K5" s="36"/>
    </row>
    <row r="6" spans="1:11" x14ac:dyDescent="0.2">
      <c r="A6" s="5">
        <v>43104</v>
      </c>
      <c r="B6" s="6">
        <v>175</v>
      </c>
      <c r="C6" s="6">
        <v>70</v>
      </c>
      <c r="D6" s="6">
        <f>97+12</f>
        <v>109</v>
      </c>
      <c r="E6" s="7">
        <v>0</v>
      </c>
      <c r="F6" s="7">
        <f t="shared" si="0"/>
        <v>109</v>
      </c>
      <c r="G6" s="6">
        <v>0</v>
      </c>
      <c r="H6" s="7"/>
      <c r="I6" s="7"/>
      <c r="J6" s="7"/>
      <c r="K6" s="36"/>
    </row>
    <row r="7" spans="1:11" x14ac:dyDescent="0.2">
      <c r="A7" s="5">
        <v>43105</v>
      </c>
      <c r="B7" s="6">
        <v>175</v>
      </c>
      <c r="C7" s="6">
        <v>70</v>
      </c>
      <c r="D7" s="6">
        <f>104+16</f>
        <v>120</v>
      </c>
      <c r="E7" s="7">
        <v>0</v>
      </c>
      <c r="F7" s="7">
        <f t="shared" si="0"/>
        <v>120</v>
      </c>
      <c r="G7" s="6">
        <v>0</v>
      </c>
      <c r="H7" s="7"/>
      <c r="I7" s="6"/>
      <c r="J7" s="7"/>
      <c r="K7" s="36"/>
    </row>
    <row r="8" spans="1:11" x14ac:dyDescent="0.2">
      <c r="A8" s="5">
        <v>43108</v>
      </c>
      <c r="B8" s="6">
        <v>175</v>
      </c>
      <c r="C8" s="6">
        <v>70</v>
      </c>
      <c r="D8" s="6">
        <v>111</v>
      </c>
      <c r="E8" s="7">
        <v>0</v>
      </c>
      <c r="F8" s="7">
        <f t="shared" si="0"/>
        <v>111</v>
      </c>
      <c r="G8" s="6">
        <v>0</v>
      </c>
      <c r="H8" s="7"/>
      <c r="I8" s="6"/>
      <c r="J8" s="7"/>
      <c r="K8" s="36"/>
    </row>
    <row r="9" spans="1:11" x14ac:dyDescent="0.2">
      <c r="A9" s="5">
        <v>43109</v>
      </c>
      <c r="B9" s="6">
        <v>175</v>
      </c>
      <c r="C9" s="6">
        <v>70</v>
      </c>
      <c r="D9" s="6">
        <v>113</v>
      </c>
      <c r="E9" s="7">
        <v>0</v>
      </c>
      <c r="F9" s="7">
        <f t="shared" si="0"/>
        <v>113</v>
      </c>
      <c r="G9" s="6">
        <v>0</v>
      </c>
      <c r="H9" s="7"/>
      <c r="I9" s="6"/>
      <c r="J9" s="7"/>
      <c r="K9" s="36"/>
    </row>
    <row r="10" spans="1:11" x14ac:dyDescent="0.2">
      <c r="A10" s="5">
        <v>43110</v>
      </c>
      <c r="B10" s="6">
        <v>175</v>
      </c>
      <c r="C10" s="6">
        <v>70</v>
      </c>
      <c r="D10" s="6">
        <v>119</v>
      </c>
      <c r="E10" s="7">
        <v>0</v>
      </c>
      <c r="F10" s="7">
        <f t="shared" si="0"/>
        <v>119</v>
      </c>
      <c r="G10" s="6">
        <v>0</v>
      </c>
      <c r="H10" s="7"/>
      <c r="I10" s="6"/>
      <c r="J10" s="7"/>
      <c r="K10" s="36"/>
    </row>
    <row r="11" spans="1:11" x14ac:dyDescent="0.2">
      <c r="A11" s="5">
        <v>43111</v>
      </c>
      <c r="B11" s="6">
        <v>175</v>
      </c>
      <c r="C11" s="6">
        <v>70</v>
      </c>
      <c r="D11" s="6">
        <v>118</v>
      </c>
      <c r="E11" s="7">
        <v>0</v>
      </c>
      <c r="F11" s="7">
        <f>SUM(D11:E11)</f>
        <v>118</v>
      </c>
      <c r="G11" s="6">
        <v>0</v>
      </c>
      <c r="H11" s="7"/>
      <c r="I11" s="6"/>
      <c r="J11" s="7"/>
      <c r="K11" s="36"/>
    </row>
    <row r="12" spans="1:11" x14ac:dyDescent="0.2">
      <c r="A12" s="5">
        <v>43112</v>
      </c>
      <c r="B12" s="6">
        <v>175</v>
      </c>
      <c r="C12" s="6">
        <v>70</v>
      </c>
      <c r="D12" s="6">
        <v>113</v>
      </c>
      <c r="E12" s="7">
        <v>0</v>
      </c>
      <c r="F12" s="7">
        <f t="shared" si="0"/>
        <v>113</v>
      </c>
      <c r="G12" s="6">
        <v>0</v>
      </c>
      <c r="H12" s="7"/>
      <c r="I12" s="6">
        <v>10</v>
      </c>
      <c r="J12" s="7"/>
      <c r="K12" s="36"/>
    </row>
    <row r="13" spans="1:11" x14ac:dyDescent="0.2">
      <c r="A13" s="5">
        <v>43115</v>
      </c>
      <c r="B13" s="6">
        <v>175</v>
      </c>
      <c r="C13" s="6">
        <v>70</v>
      </c>
      <c r="D13" s="6">
        <v>137</v>
      </c>
      <c r="E13" s="7">
        <v>0</v>
      </c>
      <c r="F13" s="7">
        <f t="shared" si="0"/>
        <v>137</v>
      </c>
      <c r="G13" s="6">
        <v>0</v>
      </c>
      <c r="H13" s="7"/>
      <c r="I13" s="6"/>
      <c r="J13" s="7"/>
      <c r="K13" s="36"/>
    </row>
    <row r="14" spans="1:11" x14ac:dyDescent="0.2">
      <c r="A14" s="5">
        <v>43116</v>
      </c>
      <c r="B14" s="6">
        <v>175</v>
      </c>
      <c r="C14" s="6">
        <v>70</v>
      </c>
      <c r="D14" s="6">
        <v>150</v>
      </c>
      <c r="E14" s="7">
        <v>0</v>
      </c>
      <c r="F14" s="7">
        <f t="shared" si="0"/>
        <v>150</v>
      </c>
      <c r="G14" s="6">
        <v>0</v>
      </c>
      <c r="H14" s="7"/>
      <c r="I14" s="8"/>
      <c r="J14" s="7"/>
      <c r="K14" s="36"/>
    </row>
    <row r="15" spans="1:11" x14ac:dyDescent="0.2">
      <c r="A15" s="5">
        <v>43117</v>
      </c>
      <c r="B15" s="6">
        <v>175</v>
      </c>
      <c r="C15" s="6">
        <v>250</v>
      </c>
      <c r="D15" s="6">
        <v>250</v>
      </c>
      <c r="E15" s="7">
        <v>0</v>
      </c>
      <c r="F15" s="7">
        <f t="shared" si="0"/>
        <v>250</v>
      </c>
      <c r="G15" s="6">
        <v>35</v>
      </c>
      <c r="H15" s="7"/>
      <c r="I15" s="6">
        <v>152</v>
      </c>
      <c r="J15" s="7"/>
      <c r="K15" s="36"/>
    </row>
    <row r="16" spans="1:11" x14ac:dyDescent="0.2">
      <c r="A16" s="5">
        <v>43118</v>
      </c>
      <c r="B16" s="6">
        <v>175</v>
      </c>
      <c r="C16" s="6">
        <f>130+30+70</f>
        <v>230</v>
      </c>
      <c r="D16" s="6">
        <v>235</v>
      </c>
      <c r="E16" s="7">
        <v>0</v>
      </c>
      <c r="F16" s="7">
        <f t="shared" si="0"/>
        <v>235</v>
      </c>
      <c r="G16" s="6">
        <v>41</v>
      </c>
      <c r="H16" s="7"/>
      <c r="I16" s="6">
        <v>8</v>
      </c>
      <c r="J16" s="7"/>
      <c r="K16" s="36"/>
    </row>
    <row r="17" spans="1:11" x14ac:dyDescent="0.2">
      <c r="A17" s="5">
        <v>43119</v>
      </c>
      <c r="B17" s="6">
        <v>175</v>
      </c>
      <c r="C17" s="6">
        <f>130+25+70</f>
        <v>225</v>
      </c>
      <c r="D17" s="6">
        <v>240</v>
      </c>
      <c r="E17" s="7">
        <v>0</v>
      </c>
      <c r="F17" s="7">
        <f t="shared" si="0"/>
        <v>240</v>
      </c>
      <c r="G17" s="6">
        <f>24+15</f>
        <v>39</v>
      </c>
      <c r="H17" s="7"/>
      <c r="I17" s="8">
        <v>8</v>
      </c>
      <c r="J17" s="7"/>
      <c r="K17" s="36"/>
    </row>
    <row r="18" spans="1:11" x14ac:dyDescent="0.2">
      <c r="A18" s="5">
        <v>43122</v>
      </c>
      <c r="B18" s="6">
        <v>175</v>
      </c>
      <c r="C18" s="6">
        <f>170+40</f>
        <v>210</v>
      </c>
      <c r="D18" s="6">
        <v>237</v>
      </c>
      <c r="E18" s="7">
        <v>0</v>
      </c>
      <c r="F18" s="7">
        <f t="shared" si="0"/>
        <v>237</v>
      </c>
      <c r="G18" s="6">
        <v>43</v>
      </c>
      <c r="H18" s="7"/>
      <c r="I18" s="8">
        <f>59+30+25</f>
        <v>114</v>
      </c>
      <c r="J18" s="7"/>
      <c r="K18" s="36"/>
    </row>
    <row r="19" spans="1:11" x14ac:dyDescent="0.2">
      <c r="A19" s="5">
        <v>43123</v>
      </c>
      <c r="B19" s="6">
        <v>175</v>
      </c>
      <c r="C19" s="6">
        <v>270</v>
      </c>
      <c r="D19" s="6">
        <v>192</v>
      </c>
      <c r="E19" s="7">
        <v>0</v>
      </c>
      <c r="F19" s="7">
        <f t="shared" si="0"/>
        <v>192</v>
      </c>
      <c r="G19" s="6">
        <v>35</v>
      </c>
      <c r="H19" s="7"/>
      <c r="I19" s="6"/>
      <c r="J19" s="7"/>
      <c r="K19" s="36"/>
    </row>
    <row r="20" spans="1:11" x14ac:dyDescent="0.2">
      <c r="A20" s="5">
        <v>43124</v>
      </c>
      <c r="B20" s="6">
        <v>870</v>
      </c>
      <c r="C20" s="6">
        <v>3153</v>
      </c>
      <c r="D20" s="6">
        <v>1228</v>
      </c>
      <c r="E20" s="7">
        <v>260</v>
      </c>
      <c r="F20" s="7">
        <f t="shared" si="0"/>
        <v>1488</v>
      </c>
      <c r="G20" s="6">
        <v>410</v>
      </c>
      <c r="H20" s="7"/>
      <c r="I20" s="6"/>
      <c r="J20" s="7"/>
      <c r="K20" s="36"/>
    </row>
    <row r="21" spans="1:11" x14ac:dyDescent="0.2">
      <c r="A21" s="5">
        <v>43125</v>
      </c>
      <c r="B21" s="6">
        <v>840</v>
      </c>
      <c r="C21" s="6">
        <v>3453</v>
      </c>
      <c r="D21" s="6">
        <v>1483</v>
      </c>
      <c r="E21" s="7">
        <v>260</v>
      </c>
      <c r="F21" s="7">
        <f t="shared" si="0"/>
        <v>1743</v>
      </c>
      <c r="G21" s="6">
        <v>351</v>
      </c>
      <c r="H21" s="7"/>
      <c r="I21" s="6">
        <v>29</v>
      </c>
      <c r="J21" s="7"/>
      <c r="K21" s="36"/>
    </row>
    <row r="22" spans="1:11" x14ac:dyDescent="0.2">
      <c r="A22" s="5">
        <v>43126</v>
      </c>
      <c r="B22" s="6">
        <v>760</v>
      </c>
      <c r="C22" s="6">
        <v>2553</v>
      </c>
      <c r="D22" s="6">
        <v>1140</v>
      </c>
      <c r="E22" s="6">
        <v>260</v>
      </c>
      <c r="F22" s="7">
        <f t="shared" si="0"/>
        <v>1400</v>
      </c>
      <c r="G22" s="6">
        <f>395+17</f>
        <v>412</v>
      </c>
      <c r="H22" s="7"/>
      <c r="I22" s="6"/>
      <c r="J22" s="7"/>
      <c r="K22" s="36"/>
    </row>
    <row r="23" spans="1:11" x14ac:dyDescent="0.2">
      <c r="A23" s="5">
        <v>43129</v>
      </c>
      <c r="B23" s="6">
        <v>700</v>
      </c>
      <c r="C23" s="6">
        <v>2715</v>
      </c>
      <c r="D23" s="6">
        <v>1266</v>
      </c>
      <c r="E23" s="6">
        <v>260</v>
      </c>
      <c r="F23" s="7">
        <f t="shared" si="0"/>
        <v>1526</v>
      </c>
      <c r="G23" s="6">
        <v>420</v>
      </c>
      <c r="H23" s="7"/>
      <c r="I23" s="8">
        <f>40+480</f>
        <v>520</v>
      </c>
      <c r="J23" s="7"/>
      <c r="K23" s="36"/>
    </row>
    <row r="24" spans="1:11" x14ac:dyDescent="0.2">
      <c r="A24" s="5">
        <v>43495</v>
      </c>
      <c r="B24" s="6">
        <v>700</v>
      </c>
      <c r="C24" s="6">
        <v>3435</v>
      </c>
      <c r="D24" s="6">
        <v>1203</v>
      </c>
      <c r="E24" s="6">
        <v>260</v>
      </c>
      <c r="F24" s="7">
        <f t="shared" si="0"/>
        <v>1463</v>
      </c>
      <c r="G24" s="6">
        <v>390</v>
      </c>
      <c r="H24" s="7"/>
      <c r="I24" s="6">
        <v>12</v>
      </c>
      <c r="J24" s="7"/>
      <c r="K24" s="36"/>
    </row>
    <row r="25" spans="1:11" x14ac:dyDescent="0.2">
      <c r="A25" s="5">
        <v>43496</v>
      </c>
      <c r="B25" s="6">
        <v>700</v>
      </c>
      <c r="C25" s="6">
        <v>2925</v>
      </c>
      <c r="D25" s="6">
        <v>1245</v>
      </c>
      <c r="E25" s="6">
        <v>260</v>
      </c>
      <c r="F25" s="7">
        <f t="shared" si="0"/>
        <v>1505</v>
      </c>
      <c r="G25" s="6">
        <v>400</v>
      </c>
      <c r="H25" s="7"/>
      <c r="I25" s="6"/>
      <c r="J25" s="7"/>
      <c r="K25" s="36"/>
    </row>
    <row r="26" spans="1:11" x14ac:dyDescent="0.2">
      <c r="A26" s="5"/>
      <c r="B26" s="6"/>
      <c r="C26" s="6"/>
      <c r="D26" s="7"/>
      <c r="E26" s="7"/>
      <c r="F26" s="7">
        <f t="shared" si="0"/>
        <v>0</v>
      </c>
      <c r="G26" s="6"/>
      <c r="H26" s="7"/>
      <c r="I26" s="6"/>
      <c r="J26" s="7"/>
      <c r="K26" s="36"/>
    </row>
    <row r="27" spans="1:11" x14ac:dyDescent="0.2">
      <c r="A27" s="5"/>
      <c r="B27" s="6"/>
      <c r="C27" s="6"/>
      <c r="D27" s="7"/>
      <c r="E27" s="7"/>
      <c r="F27" s="7"/>
      <c r="G27" s="6"/>
      <c r="H27" s="7"/>
      <c r="I27" s="6"/>
      <c r="J27" s="7"/>
      <c r="K27" s="36"/>
    </row>
    <row r="28" spans="1:11" x14ac:dyDescent="0.2">
      <c r="A28" s="5" t="s">
        <v>3</v>
      </c>
      <c r="B28" s="7">
        <f>SUM(B4:B27)</f>
        <v>7370</v>
      </c>
      <c r="C28" s="7">
        <f>SUM(C4:C27)</f>
        <v>20189</v>
      </c>
      <c r="D28" s="7">
        <f>SUM(D4:D27)</f>
        <v>10032</v>
      </c>
      <c r="E28" s="7">
        <f>SUM(E4:E27)</f>
        <v>1560</v>
      </c>
      <c r="F28" s="7"/>
      <c r="G28" s="7"/>
      <c r="H28" s="7">
        <f>SUM(H4:H20)</f>
        <v>0</v>
      </c>
      <c r="I28" s="9">
        <f>SUM(I4:I27)</f>
        <v>853</v>
      </c>
      <c r="J28" s="7">
        <f>SUM(J4:J27)</f>
        <v>0</v>
      </c>
      <c r="K28" s="36"/>
    </row>
    <row r="29" spans="1:11" x14ac:dyDescent="0.2">
      <c r="A29" s="5" t="s">
        <v>3</v>
      </c>
      <c r="B29" s="36">
        <f>B28+C28</f>
        <v>27559</v>
      </c>
      <c r="C29" s="36"/>
      <c r="D29" s="36">
        <f>D28+E28</f>
        <v>11592</v>
      </c>
      <c r="E29" s="36"/>
      <c r="F29" s="7"/>
      <c r="G29" s="7">
        <f>SUM(G4:G27)</f>
        <v>2576</v>
      </c>
      <c r="H29" s="36">
        <f>H28+I28+J28</f>
        <v>853</v>
      </c>
      <c r="I29" s="36"/>
      <c r="J29" s="36"/>
      <c r="K29" s="10">
        <f>B29+D29+G29+H29</f>
        <v>42580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1560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12608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31:B31"/>
    <mergeCell ref="A32:B32"/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Normal="100" workbookViewId="0">
      <selection activeCell="G25" sqref="G25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43374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43374</v>
      </c>
      <c r="B4" s="17">
        <v>730</v>
      </c>
      <c r="C4" s="17">
        <f>2432+80</f>
        <v>2512</v>
      </c>
      <c r="D4" s="18">
        <v>1510</v>
      </c>
      <c r="E4" s="18">
        <v>256</v>
      </c>
      <c r="F4" s="17">
        <f>SUM(D4:E4)</f>
        <v>1766</v>
      </c>
      <c r="G4" s="17">
        <v>488</v>
      </c>
      <c r="H4" s="18"/>
      <c r="I4" s="18">
        <v>4</v>
      </c>
      <c r="J4" s="18"/>
      <c r="K4" s="46"/>
    </row>
    <row r="5" spans="1:11" x14ac:dyDescent="0.2">
      <c r="A5" s="16">
        <v>43375</v>
      </c>
      <c r="B5" s="17">
        <v>730</v>
      </c>
      <c r="C5" s="17">
        <f>1919+598</f>
        <v>2517</v>
      </c>
      <c r="D5" s="18">
        <v>1580</v>
      </c>
      <c r="E5" s="18">
        <v>258</v>
      </c>
      <c r="F5" s="17">
        <f t="shared" ref="F5:F22" si="0">SUM(D5:E5)</f>
        <v>1838</v>
      </c>
      <c r="G5" s="17">
        <v>548</v>
      </c>
      <c r="H5" s="18"/>
      <c r="I5" s="18">
        <f>40+15</f>
        <v>55</v>
      </c>
      <c r="J5" s="18"/>
      <c r="K5" s="46"/>
    </row>
    <row r="6" spans="1:11" x14ac:dyDescent="0.2">
      <c r="A6" s="16">
        <v>43376</v>
      </c>
      <c r="B6" s="17">
        <v>730</v>
      </c>
      <c r="C6" s="17">
        <f>2820+568+120</f>
        <v>3508</v>
      </c>
      <c r="D6" s="18">
        <v>1805</v>
      </c>
      <c r="E6" s="19">
        <v>260</v>
      </c>
      <c r="F6" s="17">
        <f t="shared" si="0"/>
        <v>2065</v>
      </c>
      <c r="G6" s="20">
        <v>448</v>
      </c>
      <c r="H6" s="18"/>
      <c r="I6" s="18">
        <f>45+15</f>
        <v>60</v>
      </c>
      <c r="J6" s="18"/>
      <c r="K6" s="46"/>
    </row>
    <row r="7" spans="1:11" x14ac:dyDescent="0.2">
      <c r="A7" s="16">
        <v>43377</v>
      </c>
      <c r="B7" s="17">
        <v>730</v>
      </c>
      <c r="C7" s="17">
        <f>2340+668+80</f>
        <v>3088</v>
      </c>
      <c r="D7" s="18">
        <v>1570</v>
      </c>
      <c r="E7" s="18">
        <v>262</v>
      </c>
      <c r="F7" s="17">
        <f t="shared" si="0"/>
        <v>1832</v>
      </c>
      <c r="G7" s="17">
        <f>456+10</f>
        <v>466</v>
      </c>
      <c r="H7" s="18"/>
      <c r="I7" s="18">
        <f>19+5</f>
        <v>24</v>
      </c>
      <c r="J7" s="18"/>
      <c r="K7" s="46"/>
    </row>
    <row r="8" spans="1:11" x14ac:dyDescent="0.2">
      <c r="A8" s="16">
        <v>43378</v>
      </c>
      <c r="B8" s="17">
        <v>730</v>
      </c>
      <c r="C8" s="17">
        <f>3088+550</f>
        <v>3638</v>
      </c>
      <c r="D8" s="18">
        <v>1560</v>
      </c>
      <c r="E8" s="18">
        <v>261</v>
      </c>
      <c r="F8" s="17">
        <f t="shared" si="0"/>
        <v>1821</v>
      </c>
      <c r="G8" s="17">
        <v>412</v>
      </c>
      <c r="H8" s="18"/>
      <c r="I8" s="18">
        <f>161+3</f>
        <v>164</v>
      </c>
      <c r="J8" s="18"/>
      <c r="K8" s="46"/>
    </row>
    <row r="9" spans="1:11" x14ac:dyDescent="0.2">
      <c r="A9" s="16">
        <v>42986</v>
      </c>
      <c r="B9" s="17">
        <v>730</v>
      </c>
      <c r="C9" s="17">
        <f>2440+408+80</f>
        <v>2928</v>
      </c>
      <c r="D9" s="18">
        <v>1590</v>
      </c>
      <c r="E9" s="18">
        <v>260</v>
      </c>
      <c r="F9" s="17">
        <f t="shared" si="0"/>
        <v>1850</v>
      </c>
      <c r="G9" s="17">
        <v>520</v>
      </c>
      <c r="H9" s="18"/>
      <c r="I9" s="18">
        <v>90</v>
      </c>
      <c r="J9" s="18"/>
      <c r="K9" s="46"/>
    </row>
    <row r="10" spans="1:11" x14ac:dyDescent="0.2">
      <c r="A10" s="16">
        <v>42987</v>
      </c>
      <c r="B10" s="17">
        <v>730</v>
      </c>
      <c r="C10" s="17">
        <f>2452+598+80</f>
        <v>3130</v>
      </c>
      <c r="D10" s="18">
        <v>1820</v>
      </c>
      <c r="E10" s="18">
        <v>255</v>
      </c>
      <c r="F10" s="17">
        <f t="shared" si="0"/>
        <v>2075</v>
      </c>
      <c r="G10" s="17">
        <v>625</v>
      </c>
      <c r="H10" s="18"/>
      <c r="I10" s="18">
        <f>175+75</f>
        <v>250</v>
      </c>
      <c r="J10" s="18"/>
      <c r="K10" s="46"/>
    </row>
    <row r="11" spans="1:11" x14ac:dyDescent="0.2">
      <c r="A11" s="16">
        <v>42988</v>
      </c>
      <c r="B11" s="17">
        <v>730</v>
      </c>
      <c r="C11" s="17">
        <f>2512+628+120</f>
        <v>3260</v>
      </c>
      <c r="D11" s="18">
        <v>1720</v>
      </c>
      <c r="E11" s="18">
        <v>258</v>
      </c>
      <c r="F11" s="17">
        <f t="shared" si="0"/>
        <v>1978</v>
      </c>
      <c r="G11" s="17">
        <v>531</v>
      </c>
      <c r="H11" s="18"/>
      <c r="I11" s="18">
        <f>27+35</f>
        <v>62</v>
      </c>
      <c r="J11" s="18"/>
      <c r="K11" s="46"/>
    </row>
    <row r="12" spans="1:11" x14ac:dyDescent="0.2">
      <c r="A12" s="16">
        <v>42989</v>
      </c>
      <c r="B12" s="17">
        <v>730</v>
      </c>
      <c r="C12" s="17">
        <f>3872+668+80</f>
        <v>4620</v>
      </c>
      <c r="D12" s="18">
        <v>1399</v>
      </c>
      <c r="E12" s="18">
        <v>259</v>
      </c>
      <c r="F12" s="17">
        <f t="shared" si="0"/>
        <v>1658</v>
      </c>
      <c r="G12" s="17">
        <v>550</v>
      </c>
      <c r="H12" s="18"/>
      <c r="I12" s="18">
        <v>16</v>
      </c>
      <c r="J12" s="18"/>
      <c r="K12" s="46"/>
    </row>
    <row r="13" spans="1:11" x14ac:dyDescent="0.2">
      <c r="A13" s="16">
        <v>43388</v>
      </c>
      <c r="B13" s="17">
        <v>730</v>
      </c>
      <c r="C13" s="17">
        <f>2430+408+100</f>
        <v>2938</v>
      </c>
      <c r="D13" s="18">
        <v>1288</v>
      </c>
      <c r="E13" s="18">
        <v>260</v>
      </c>
      <c r="F13" s="17">
        <f t="shared" si="0"/>
        <v>1548</v>
      </c>
      <c r="G13" s="17">
        <f>485+10</f>
        <v>495</v>
      </c>
      <c r="H13" s="18"/>
      <c r="I13" s="18">
        <f>28+35</f>
        <v>63</v>
      </c>
      <c r="J13" s="18"/>
      <c r="K13" s="46"/>
    </row>
    <row r="14" spans="1:11" x14ac:dyDescent="0.2">
      <c r="A14" s="16">
        <v>43389</v>
      </c>
      <c r="B14" s="17">
        <v>730</v>
      </c>
      <c r="C14" s="17">
        <f>2350+598+100</f>
        <v>3048</v>
      </c>
      <c r="D14" s="18">
        <v>1280</v>
      </c>
      <c r="E14" s="18">
        <v>262</v>
      </c>
      <c r="F14" s="17">
        <f t="shared" si="0"/>
        <v>1542</v>
      </c>
      <c r="G14" s="17">
        <v>495</v>
      </c>
      <c r="H14" s="18"/>
      <c r="I14" s="21"/>
      <c r="J14" s="18"/>
      <c r="K14" s="46"/>
    </row>
    <row r="15" spans="1:11" x14ac:dyDescent="0.2">
      <c r="A15" s="16">
        <v>43390</v>
      </c>
      <c r="B15" s="17">
        <v>730</v>
      </c>
      <c r="C15" s="17">
        <f>2780+338+120</f>
        <v>3238</v>
      </c>
      <c r="D15" s="18">
        <v>1790</v>
      </c>
      <c r="E15" s="18">
        <v>262</v>
      </c>
      <c r="F15" s="17">
        <f t="shared" si="0"/>
        <v>2052</v>
      </c>
      <c r="G15" s="17">
        <v>545</v>
      </c>
      <c r="H15" s="18"/>
      <c r="I15" s="18">
        <v>60</v>
      </c>
      <c r="J15" s="18"/>
      <c r="K15" s="46"/>
    </row>
    <row r="16" spans="1:11" x14ac:dyDescent="0.2">
      <c r="A16" s="16">
        <v>43391</v>
      </c>
      <c r="B16" s="17">
        <v>730</v>
      </c>
      <c r="C16" s="17">
        <f>3250+578+100</f>
        <v>3928</v>
      </c>
      <c r="D16" s="18">
        <v>1255</v>
      </c>
      <c r="E16" s="19">
        <v>261</v>
      </c>
      <c r="F16" s="17">
        <f t="shared" si="0"/>
        <v>1516</v>
      </c>
      <c r="G16" s="20">
        <v>598</v>
      </c>
      <c r="H16" s="18"/>
      <c r="I16" s="18"/>
      <c r="J16" s="18"/>
      <c r="K16" s="46"/>
    </row>
    <row r="17" spans="1:11" x14ac:dyDescent="0.2">
      <c r="A17" s="16">
        <v>43392</v>
      </c>
      <c r="B17" s="17">
        <f>730+90</f>
        <v>820</v>
      </c>
      <c r="C17" s="17">
        <f>2480+568+80+550</f>
        <v>3678</v>
      </c>
      <c r="D17" s="18">
        <v>1810</v>
      </c>
      <c r="E17" s="18">
        <v>260</v>
      </c>
      <c r="F17" s="17">
        <f t="shared" si="0"/>
        <v>2070</v>
      </c>
      <c r="G17" s="17">
        <f>472+14</f>
        <v>486</v>
      </c>
      <c r="H17" s="18"/>
      <c r="I17" s="21">
        <f>40+28+31+37</f>
        <v>136</v>
      </c>
      <c r="J17" s="18"/>
      <c r="K17" s="46"/>
    </row>
    <row r="18" spans="1:11" x14ac:dyDescent="0.2">
      <c r="A18" s="16">
        <v>43395</v>
      </c>
      <c r="B18" s="17">
        <v>730</v>
      </c>
      <c r="C18" s="17">
        <f>200+2440+408</f>
        <v>3048</v>
      </c>
      <c r="D18" s="18">
        <v>1550</v>
      </c>
      <c r="E18" s="18">
        <v>257</v>
      </c>
      <c r="F18" s="17">
        <f t="shared" si="0"/>
        <v>1807</v>
      </c>
      <c r="G18" s="17">
        <v>540</v>
      </c>
      <c r="H18" s="18"/>
      <c r="I18" s="21">
        <f>319+270+270+8</f>
        <v>867</v>
      </c>
      <c r="J18" s="18"/>
      <c r="K18" s="46"/>
    </row>
    <row r="19" spans="1:11" x14ac:dyDescent="0.2">
      <c r="A19" s="16">
        <v>43396</v>
      </c>
      <c r="B19" s="17">
        <v>730</v>
      </c>
      <c r="C19" s="17">
        <f>2310+598</f>
        <v>2908</v>
      </c>
      <c r="D19" s="18">
        <v>1720</v>
      </c>
      <c r="E19" s="18">
        <v>258</v>
      </c>
      <c r="F19" s="17">
        <f t="shared" si="0"/>
        <v>1978</v>
      </c>
      <c r="G19" s="17">
        <v>560</v>
      </c>
      <c r="H19" s="18"/>
      <c r="I19" s="18">
        <f>64+35</f>
        <v>99</v>
      </c>
      <c r="J19" s="18"/>
      <c r="K19" s="46"/>
    </row>
    <row r="20" spans="1:11" x14ac:dyDescent="0.2">
      <c r="A20" s="16">
        <v>43397</v>
      </c>
      <c r="B20" s="17">
        <v>730</v>
      </c>
      <c r="C20" s="17">
        <f>2250+718</f>
        <v>2968</v>
      </c>
      <c r="D20" s="18">
        <v>1430</v>
      </c>
      <c r="E20" s="18">
        <v>256</v>
      </c>
      <c r="F20" s="17">
        <f t="shared" si="0"/>
        <v>1686</v>
      </c>
      <c r="G20" s="17">
        <v>590</v>
      </c>
      <c r="H20" s="18"/>
      <c r="I20" s="18">
        <v>95</v>
      </c>
      <c r="J20" s="18"/>
      <c r="K20" s="46"/>
    </row>
    <row r="21" spans="1:11" x14ac:dyDescent="0.2">
      <c r="A21" s="16">
        <v>43398</v>
      </c>
      <c r="B21" s="17">
        <v>730</v>
      </c>
      <c r="C21" s="17">
        <f>3320+578</f>
        <v>3898</v>
      </c>
      <c r="D21" s="18">
        <v>1585</v>
      </c>
      <c r="E21" s="18">
        <v>255</v>
      </c>
      <c r="F21" s="17">
        <f t="shared" si="0"/>
        <v>1840</v>
      </c>
      <c r="G21" s="17">
        <f>630+11</f>
        <v>641</v>
      </c>
      <c r="H21" s="18"/>
      <c r="I21" s="18">
        <v>55</v>
      </c>
      <c r="J21" s="18"/>
      <c r="K21" s="46"/>
    </row>
    <row r="22" spans="1:11" x14ac:dyDescent="0.2">
      <c r="A22" s="16">
        <v>43399</v>
      </c>
      <c r="B22" s="17">
        <v>730</v>
      </c>
      <c r="C22" s="17">
        <f>2780+338+700</f>
        <v>3818</v>
      </c>
      <c r="D22" s="18">
        <v>1510</v>
      </c>
      <c r="E22" s="18">
        <v>262</v>
      </c>
      <c r="F22" s="17">
        <f t="shared" si="0"/>
        <v>1772</v>
      </c>
      <c r="G22" s="17">
        <v>500</v>
      </c>
      <c r="H22" s="18"/>
      <c r="I22" s="18">
        <v>165</v>
      </c>
      <c r="J22" s="18"/>
      <c r="K22" s="46"/>
    </row>
    <row r="23" spans="1:11" x14ac:dyDescent="0.2">
      <c r="A23" s="16">
        <v>43402</v>
      </c>
      <c r="B23" s="17">
        <v>730</v>
      </c>
      <c r="C23" s="17">
        <f>1580+408</f>
        <v>1988</v>
      </c>
      <c r="D23" s="18">
        <v>1220</v>
      </c>
      <c r="E23" s="18">
        <v>258</v>
      </c>
      <c r="F23" s="17">
        <f>SUM(D23:E23)</f>
        <v>1478</v>
      </c>
      <c r="G23" s="17">
        <v>541</v>
      </c>
      <c r="H23" s="18"/>
      <c r="I23" s="21">
        <v>260</v>
      </c>
      <c r="J23" s="18"/>
      <c r="K23" s="46"/>
    </row>
    <row r="24" spans="1:11" x14ac:dyDescent="0.2">
      <c r="A24" s="16">
        <v>43403</v>
      </c>
      <c r="B24" s="17">
        <v>730</v>
      </c>
      <c r="C24" s="17">
        <f>2370+598</f>
        <v>2968</v>
      </c>
      <c r="D24" s="18">
        <v>1700</v>
      </c>
      <c r="E24" s="18">
        <v>260</v>
      </c>
      <c r="F24" s="17">
        <f>SUM(D24:E24)</f>
        <v>1960</v>
      </c>
      <c r="G24" s="17">
        <v>513</v>
      </c>
      <c r="H24" s="18"/>
      <c r="I24" s="18">
        <v>170</v>
      </c>
      <c r="J24" s="18"/>
      <c r="K24" s="46"/>
    </row>
    <row r="25" spans="1:11" x14ac:dyDescent="0.2">
      <c r="A25" s="16">
        <v>43404</v>
      </c>
      <c r="B25" s="17">
        <v>730</v>
      </c>
      <c r="C25" s="17">
        <f>2710+458</f>
        <v>3168</v>
      </c>
      <c r="D25" s="18">
        <v>1600</v>
      </c>
      <c r="E25" s="18">
        <v>261</v>
      </c>
      <c r="F25" s="17">
        <f>SUM(D25:E25)</f>
        <v>1861</v>
      </c>
      <c r="G25" s="17">
        <v>550</v>
      </c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>
        <f>SUM(D26:E26)</f>
        <v>0</v>
      </c>
      <c r="G26" s="17"/>
      <c r="H26" s="18"/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/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16150</v>
      </c>
      <c r="C28" s="18">
        <f>SUM(C4:C27)</f>
        <v>70795</v>
      </c>
      <c r="D28" s="18">
        <f>SUM(D4:D27)</f>
        <v>34292</v>
      </c>
      <c r="E28" s="18">
        <f>SUM(E4:E27)</f>
        <v>5701</v>
      </c>
      <c r="F28" s="17"/>
      <c r="G28" s="17"/>
      <c r="H28" s="17">
        <f>SUM(H4:H20)</f>
        <v>0</v>
      </c>
      <c r="I28" s="23">
        <f>SUM(I4:I27)</f>
        <v>2695</v>
      </c>
      <c r="J28" s="17">
        <f>SUM(J4:J27)</f>
        <v>0</v>
      </c>
      <c r="K28" s="47"/>
    </row>
    <row r="29" spans="1:11" x14ac:dyDescent="0.2">
      <c r="A29" s="16" t="s">
        <v>3</v>
      </c>
      <c r="B29" s="48">
        <f>B28+C28</f>
        <v>86945</v>
      </c>
      <c r="C29" s="48"/>
      <c r="D29" s="48">
        <f>D28+E28</f>
        <v>39993</v>
      </c>
      <c r="E29" s="48"/>
      <c r="F29" s="17"/>
      <c r="G29" s="18">
        <f>SUM(G4:G27)</f>
        <v>11642</v>
      </c>
      <c r="H29" s="49">
        <f>H28+I28+J28</f>
        <v>2695</v>
      </c>
      <c r="I29" s="49"/>
      <c r="J29" s="50"/>
      <c r="K29" s="24">
        <f>B29+D29+G29+H29</f>
        <v>141275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5701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45934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31:B31"/>
    <mergeCell ref="A32:B32"/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Normal="100" workbookViewId="0">
      <selection activeCell="F17" sqref="F17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43405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43405</v>
      </c>
      <c r="B4" s="17">
        <v>730</v>
      </c>
      <c r="C4" s="17">
        <f>3260+578</f>
        <v>3838</v>
      </c>
      <c r="D4" s="18">
        <v>1659</v>
      </c>
      <c r="E4" s="18">
        <v>255</v>
      </c>
      <c r="F4" s="17">
        <f>SUM(D4:E4)</f>
        <v>1914</v>
      </c>
      <c r="G4" s="17">
        <f>393+14</f>
        <v>407</v>
      </c>
      <c r="H4" s="18"/>
      <c r="I4" s="18">
        <v>25</v>
      </c>
      <c r="J4" s="18"/>
      <c r="K4" s="46"/>
    </row>
    <row r="5" spans="1:11" x14ac:dyDescent="0.2">
      <c r="A5" s="16">
        <v>43409</v>
      </c>
      <c r="B5" s="17">
        <v>730</v>
      </c>
      <c r="C5" s="17">
        <f>2470+408</f>
        <v>2878</v>
      </c>
      <c r="D5" s="18">
        <v>1590</v>
      </c>
      <c r="E5" s="19">
        <v>257</v>
      </c>
      <c r="F5" s="17">
        <f>SUM(D5:E5)</f>
        <v>1847</v>
      </c>
      <c r="G5" s="20">
        <v>410</v>
      </c>
      <c r="H5" s="18"/>
      <c r="I5" s="18">
        <v>2</v>
      </c>
      <c r="J5" s="18"/>
      <c r="K5" s="46"/>
    </row>
    <row r="6" spans="1:11" x14ac:dyDescent="0.2">
      <c r="A6" s="16">
        <v>43410</v>
      </c>
      <c r="B6" s="17">
        <v>730</v>
      </c>
      <c r="C6" s="17">
        <f>2090+598</f>
        <v>2688</v>
      </c>
      <c r="D6" s="18">
        <v>1600</v>
      </c>
      <c r="E6" s="18">
        <v>260</v>
      </c>
      <c r="F6" s="17">
        <f t="shared" ref="F6:F22" si="0">SUM(D6:E6)</f>
        <v>1860</v>
      </c>
      <c r="G6" s="17">
        <v>500</v>
      </c>
      <c r="H6" s="18"/>
      <c r="I6" s="18">
        <v>68</v>
      </c>
      <c r="J6" s="18"/>
      <c r="K6" s="46"/>
    </row>
    <row r="7" spans="1:11" x14ac:dyDescent="0.2">
      <c r="A7" s="16">
        <v>43411</v>
      </c>
      <c r="B7" s="17">
        <v>730</v>
      </c>
      <c r="C7" s="17">
        <f>2270+638</f>
        <v>2908</v>
      </c>
      <c r="D7" s="18">
        <v>1640</v>
      </c>
      <c r="E7" s="18">
        <v>261</v>
      </c>
      <c r="F7" s="17">
        <f t="shared" si="0"/>
        <v>1901</v>
      </c>
      <c r="G7" s="17">
        <v>505</v>
      </c>
      <c r="H7" s="18"/>
      <c r="I7" s="18">
        <f>12+68</f>
        <v>80</v>
      </c>
      <c r="J7" s="18"/>
      <c r="K7" s="46"/>
    </row>
    <row r="8" spans="1:11" x14ac:dyDescent="0.2">
      <c r="A8" s="16">
        <v>43412</v>
      </c>
      <c r="B8" s="17">
        <v>730</v>
      </c>
      <c r="C8" s="17">
        <f>2430+578</f>
        <v>3008</v>
      </c>
      <c r="D8" s="18">
        <v>1432</v>
      </c>
      <c r="E8" s="18">
        <v>255</v>
      </c>
      <c r="F8" s="17">
        <f t="shared" si="0"/>
        <v>1687</v>
      </c>
      <c r="G8" s="17">
        <v>560</v>
      </c>
      <c r="H8" s="18"/>
      <c r="I8" s="18">
        <v>30</v>
      </c>
      <c r="J8" s="18"/>
      <c r="K8" s="46"/>
    </row>
    <row r="9" spans="1:11" x14ac:dyDescent="0.2">
      <c r="A9" s="16">
        <v>43413</v>
      </c>
      <c r="B9" s="17">
        <v>730</v>
      </c>
      <c r="C9" s="17">
        <f>2510+448+600</f>
        <v>3558</v>
      </c>
      <c r="D9" s="18">
        <v>1540</v>
      </c>
      <c r="E9" s="18">
        <v>261</v>
      </c>
      <c r="F9" s="17">
        <f t="shared" si="0"/>
        <v>1801</v>
      </c>
      <c r="G9" s="17">
        <v>415</v>
      </c>
      <c r="H9" s="18"/>
      <c r="I9" s="18">
        <v>52</v>
      </c>
      <c r="J9" s="18"/>
      <c r="K9" s="46"/>
    </row>
    <row r="10" spans="1:11" x14ac:dyDescent="0.2">
      <c r="A10" s="16">
        <v>43416</v>
      </c>
      <c r="B10" s="17">
        <v>730</v>
      </c>
      <c r="C10" s="17">
        <f>500+2555+408</f>
        <v>3463</v>
      </c>
      <c r="D10" s="18">
        <v>1650</v>
      </c>
      <c r="E10" s="18">
        <v>257</v>
      </c>
      <c r="F10" s="17">
        <f t="shared" si="0"/>
        <v>1907</v>
      </c>
      <c r="G10" s="17">
        <v>513</v>
      </c>
      <c r="H10" s="18"/>
      <c r="I10" s="18"/>
      <c r="J10" s="18"/>
      <c r="K10" s="46"/>
    </row>
    <row r="11" spans="1:11" x14ac:dyDescent="0.2">
      <c r="A11" s="16">
        <v>43417</v>
      </c>
      <c r="B11" s="17">
        <v>730</v>
      </c>
      <c r="C11" s="17">
        <f>2190+598</f>
        <v>2788</v>
      </c>
      <c r="D11" s="18">
        <v>1700</v>
      </c>
      <c r="E11" s="18">
        <v>262</v>
      </c>
      <c r="F11" s="17">
        <f t="shared" si="0"/>
        <v>1962</v>
      </c>
      <c r="G11" s="17">
        <v>441</v>
      </c>
      <c r="H11" s="18"/>
      <c r="I11" s="18"/>
      <c r="J11" s="18"/>
      <c r="K11" s="46"/>
    </row>
    <row r="12" spans="1:11" x14ac:dyDescent="0.2">
      <c r="A12" s="16">
        <v>43418</v>
      </c>
      <c r="B12" s="17">
        <v>730</v>
      </c>
      <c r="C12" s="17">
        <f>2350+638</f>
        <v>2988</v>
      </c>
      <c r="D12" s="28">
        <v>1595</v>
      </c>
      <c r="E12" s="28">
        <v>259</v>
      </c>
      <c r="F12" s="17">
        <f t="shared" si="0"/>
        <v>1854</v>
      </c>
      <c r="G12" s="17">
        <v>416</v>
      </c>
      <c r="H12" s="28"/>
      <c r="I12" s="28">
        <f>32+32</f>
        <v>64</v>
      </c>
      <c r="J12" s="28"/>
      <c r="K12" s="46"/>
    </row>
    <row r="13" spans="1:11" x14ac:dyDescent="0.2">
      <c r="A13" s="16">
        <v>43423</v>
      </c>
      <c r="B13" s="17">
        <v>730</v>
      </c>
      <c r="C13" s="17">
        <f>2978+550</f>
        <v>3528</v>
      </c>
      <c r="D13" s="18">
        <v>1030</v>
      </c>
      <c r="E13" s="18">
        <v>262</v>
      </c>
      <c r="F13" s="17">
        <f t="shared" si="0"/>
        <v>1292</v>
      </c>
      <c r="G13" s="17">
        <v>420</v>
      </c>
      <c r="H13" s="18"/>
      <c r="I13" s="18">
        <v>2</v>
      </c>
      <c r="J13" s="18"/>
      <c r="K13" s="46"/>
    </row>
    <row r="14" spans="1:11" x14ac:dyDescent="0.2">
      <c r="A14" s="16">
        <v>43059</v>
      </c>
      <c r="B14" s="17">
        <v>730</v>
      </c>
      <c r="C14" s="17">
        <f>2440+598</f>
        <v>3038</v>
      </c>
      <c r="D14" s="18">
        <v>916</v>
      </c>
      <c r="E14" s="18">
        <v>258</v>
      </c>
      <c r="F14" s="17">
        <f t="shared" si="0"/>
        <v>1174</v>
      </c>
      <c r="G14" s="17">
        <v>460</v>
      </c>
      <c r="H14" s="18"/>
      <c r="I14" s="21">
        <f>160+25</f>
        <v>185</v>
      </c>
      <c r="J14" s="18"/>
      <c r="K14" s="46"/>
    </row>
    <row r="15" spans="1:11" x14ac:dyDescent="0.2">
      <c r="A15" s="16">
        <v>43060</v>
      </c>
      <c r="B15" s="17">
        <v>730</v>
      </c>
      <c r="C15" s="17">
        <f>2730+328</f>
        <v>3058</v>
      </c>
      <c r="D15" s="18">
        <v>1250</v>
      </c>
      <c r="E15" s="18">
        <v>260</v>
      </c>
      <c r="F15" s="17">
        <f t="shared" si="0"/>
        <v>1510</v>
      </c>
      <c r="G15" s="17">
        <v>450</v>
      </c>
      <c r="H15" s="18"/>
      <c r="I15" s="18">
        <v>35</v>
      </c>
      <c r="J15" s="18"/>
      <c r="K15" s="46"/>
    </row>
    <row r="16" spans="1:11" x14ac:dyDescent="0.2">
      <c r="A16" s="16">
        <v>43061</v>
      </c>
      <c r="B16" s="17">
        <v>730</v>
      </c>
      <c r="C16" s="17">
        <f>2420+578</f>
        <v>2998</v>
      </c>
      <c r="D16" s="18">
        <v>1487</v>
      </c>
      <c r="E16" s="19">
        <v>259</v>
      </c>
      <c r="F16" s="17">
        <f t="shared" si="0"/>
        <v>1746</v>
      </c>
      <c r="G16" s="20">
        <v>490</v>
      </c>
      <c r="H16" s="18"/>
      <c r="I16" s="18">
        <v>120</v>
      </c>
      <c r="J16" s="18"/>
      <c r="K16" s="46"/>
    </row>
    <row r="17" spans="1:11" x14ac:dyDescent="0.2">
      <c r="A17" s="16">
        <v>43062</v>
      </c>
      <c r="B17" s="17">
        <v>730</v>
      </c>
      <c r="C17" s="17">
        <f>2590+478</f>
        <v>3068</v>
      </c>
      <c r="D17" s="18">
        <v>1400</v>
      </c>
      <c r="E17" s="18">
        <v>255</v>
      </c>
      <c r="F17" s="17">
        <f>1400+255</f>
        <v>1655</v>
      </c>
      <c r="G17" s="17">
        <v>240</v>
      </c>
      <c r="H17" s="18"/>
      <c r="I17" s="21">
        <f>116+26</f>
        <v>142</v>
      </c>
      <c r="J17" s="18"/>
      <c r="K17" s="46"/>
    </row>
    <row r="18" spans="1:11" x14ac:dyDescent="0.2">
      <c r="A18" s="16">
        <v>43430</v>
      </c>
      <c r="B18" s="17">
        <v>730</v>
      </c>
      <c r="C18" s="17">
        <f>1650+408+700</f>
        <v>2758</v>
      </c>
      <c r="D18" s="18">
        <v>1097</v>
      </c>
      <c r="E18" s="18">
        <v>254</v>
      </c>
      <c r="F18" s="17">
        <f t="shared" si="0"/>
        <v>1351</v>
      </c>
      <c r="G18" s="17">
        <v>480</v>
      </c>
      <c r="H18" s="18"/>
      <c r="I18" s="21">
        <v>70</v>
      </c>
      <c r="J18" s="18"/>
      <c r="K18" s="46"/>
    </row>
    <row r="19" spans="1:11" x14ac:dyDescent="0.2">
      <c r="A19" s="16">
        <v>43431</v>
      </c>
      <c r="B19" s="17">
        <v>730</v>
      </c>
      <c r="C19" s="17">
        <f>1750+598</f>
        <v>2348</v>
      </c>
      <c r="D19" s="18">
        <v>1053</v>
      </c>
      <c r="E19" s="18">
        <v>256</v>
      </c>
      <c r="F19" s="17">
        <f t="shared" si="0"/>
        <v>1309</v>
      </c>
      <c r="G19" s="17">
        <v>488</v>
      </c>
      <c r="H19" s="18"/>
      <c r="I19" s="18">
        <v>35</v>
      </c>
      <c r="J19" s="18"/>
      <c r="K19" s="46"/>
    </row>
    <row r="20" spans="1:11" x14ac:dyDescent="0.2">
      <c r="A20" s="16">
        <v>43432</v>
      </c>
      <c r="B20" s="17">
        <v>730</v>
      </c>
      <c r="C20" s="17">
        <f>1561+408</f>
        <v>1969</v>
      </c>
      <c r="D20" s="18">
        <v>1180</v>
      </c>
      <c r="E20" s="19">
        <v>258</v>
      </c>
      <c r="F20" s="17">
        <f t="shared" si="0"/>
        <v>1438</v>
      </c>
      <c r="G20" s="17">
        <f>491+10</f>
        <v>501</v>
      </c>
      <c r="H20" s="18"/>
      <c r="I20" s="18"/>
      <c r="J20" s="18"/>
      <c r="K20" s="46"/>
    </row>
    <row r="21" spans="1:11" x14ac:dyDescent="0.2">
      <c r="A21" s="16">
        <v>43433</v>
      </c>
      <c r="B21" s="17">
        <v>730</v>
      </c>
      <c r="C21" s="17">
        <f>1890+638</f>
        <v>2528</v>
      </c>
      <c r="D21" s="18">
        <v>1065</v>
      </c>
      <c r="E21" s="18">
        <v>260</v>
      </c>
      <c r="F21" s="17">
        <f>SUM(D21:E21)</f>
        <v>1325</v>
      </c>
      <c r="G21" s="17">
        <v>413</v>
      </c>
      <c r="H21" s="18"/>
      <c r="I21" s="18"/>
      <c r="J21" s="18"/>
      <c r="K21" s="46"/>
    </row>
    <row r="22" spans="1:11" x14ac:dyDescent="0.2">
      <c r="A22" s="16">
        <v>43434</v>
      </c>
      <c r="B22" s="17">
        <v>730</v>
      </c>
      <c r="C22" s="17">
        <f>1578+450+400</f>
        <v>2428</v>
      </c>
      <c r="D22" s="18">
        <v>1100</v>
      </c>
      <c r="E22" s="18">
        <v>261</v>
      </c>
      <c r="F22" s="18">
        <f t="shared" si="0"/>
        <v>1361</v>
      </c>
      <c r="G22" s="17">
        <v>450</v>
      </c>
      <c r="H22" s="18"/>
      <c r="I22" s="18"/>
      <c r="J22" s="18"/>
      <c r="K22" s="46"/>
    </row>
    <row r="23" spans="1:11" x14ac:dyDescent="0.2">
      <c r="A23" s="16"/>
      <c r="B23" s="17"/>
      <c r="C23" s="17"/>
      <c r="D23" s="18"/>
      <c r="E23" s="18"/>
      <c r="F23" s="17"/>
      <c r="G23" s="17"/>
      <c r="H23" s="18"/>
      <c r="I23" s="21"/>
      <c r="J23" s="18"/>
      <c r="K23" s="46"/>
    </row>
    <row r="24" spans="1:11" x14ac:dyDescent="0.2">
      <c r="A24" s="16"/>
      <c r="B24" s="17"/>
      <c r="C24" s="17"/>
      <c r="D24" s="18"/>
      <c r="E24" s="18"/>
      <c r="F24" s="17"/>
      <c r="G24" s="17"/>
      <c r="H24" s="18"/>
      <c r="I24" s="18"/>
      <c r="J24" s="18"/>
      <c r="K24" s="46"/>
    </row>
    <row r="25" spans="1:11" x14ac:dyDescent="0.2">
      <c r="A25" s="16"/>
      <c r="B25" s="17"/>
      <c r="C25" s="17"/>
      <c r="D25" s="18"/>
      <c r="E25" s="18"/>
      <c r="F25" s="17"/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/>
      <c r="G26" s="17"/>
      <c r="H26" s="18" t="s">
        <v>12</v>
      </c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/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13870</v>
      </c>
      <c r="C28" s="18">
        <f>SUM(C4:C27)</f>
        <v>55838</v>
      </c>
      <c r="D28" s="18">
        <f>SUM(D4:D27)</f>
        <v>25984</v>
      </c>
      <c r="E28" s="18">
        <f>SUM(E4:E27)</f>
        <v>4910</v>
      </c>
      <c r="F28" s="17"/>
      <c r="G28" s="17"/>
      <c r="H28" s="17">
        <f>SUM(H4:H20)</f>
        <v>0</v>
      </c>
      <c r="I28" s="23">
        <f>SUM(I4:I27)</f>
        <v>910</v>
      </c>
      <c r="J28" s="17">
        <f>SUM(J4:J27)</f>
        <v>0</v>
      </c>
      <c r="K28" s="47"/>
    </row>
    <row r="29" spans="1:11" x14ac:dyDescent="0.2">
      <c r="A29" s="16" t="s">
        <v>3</v>
      </c>
      <c r="B29" s="48">
        <f>B28+C28</f>
        <v>69708</v>
      </c>
      <c r="C29" s="48"/>
      <c r="D29" s="48">
        <f>D28+E28</f>
        <v>30894</v>
      </c>
      <c r="E29" s="48"/>
      <c r="F29" s="17"/>
      <c r="G29" s="18">
        <f>SUM(G4:G27)</f>
        <v>8559</v>
      </c>
      <c r="H29" s="49">
        <f>H28+I28+J28</f>
        <v>910</v>
      </c>
      <c r="I29" s="49"/>
      <c r="J29" s="50"/>
      <c r="K29" s="24">
        <f>B29+D29+G29+H29</f>
        <v>110071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4910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34543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  <mergeCell ref="A31:B31"/>
    <mergeCell ref="A32:B32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tabSelected="1" view="pageBreakPreview" zoomScaleNormal="100" workbookViewId="0">
      <selection activeCell="J20" sqref="J20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43435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43437</v>
      </c>
      <c r="B4" s="17">
        <v>180</v>
      </c>
      <c r="C4" s="17">
        <f>358</f>
        <v>358</v>
      </c>
      <c r="D4" s="18">
        <f>349+4</f>
        <v>353</v>
      </c>
      <c r="E4" s="18">
        <v>125</v>
      </c>
      <c r="F4" s="17">
        <f>SUM(D4:E4)</f>
        <v>478</v>
      </c>
      <c r="G4" s="17">
        <v>180</v>
      </c>
      <c r="H4" s="18"/>
      <c r="I4" s="18"/>
      <c r="J4" s="18"/>
      <c r="K4" s="46"/>
    </row>
    <row r="5" spans="1:11" x14ac:dyDescent="0.2">
      <c r="A5" s="16">
        <v>43438</v>
      </c>
      <c r="B5" s="17">
        <v>180</v>
      </c>
      <c r="C5" s="17">
        <f>340+78</f>
        <v>418</v>
      </c>
      <c r="D5" s="18">
        <v>241</v>
      </c>
      <c r="E5" s="18">
        <v>126</v>
      </c>
      <c r="F5" s="17">
        <f>SUM(D5:E5)</f>
        <v>367</v>
      </c>
      <c r="G5" s="17">
        <v>140</v>
      </c>
      <c r="H5" s="18"/>
      <c r="I5" s="18"/>
      <c r="J5" s="18"/>
      <c r="K5" s="46"/>
    </row>
    <row r="6" spans="1:11" x14ac:dyDescent="0.2">
      <c r="A6" s="16">
        <v>43439</v>
      </c>
      <c r="B6" s="17">
        <v>180</v>
      </c>
      <c r="C6" s="17">
        <f>290+68</f>
        <v>358</v>
      </c>
      <c r="D6" s="18">
        <v>245</v>
      </c>
      <c r="E6" s="19">
        <v>130</v>
      </c>
      <c r="F6" s="17">
        <f>SUM(D6:E6)</f>
        <v>375</v>
      </c>
      <c r="G6" s="20">
        <v>170</v>
      </c>
      <c r="H6" s="18"/>
      <c r="I6" s="18"/>
      <c r="J6" s="18"/>
      <c r="K6" s="46"/>
    </row>
    <row r="7" spans="1:11" x14ac:dyDescent="0.2">
      <c r="A7" s="16">
        <v>43440</v>
      </c>
      <c r="B7" s="17">
        <v>180</v>
      </c>
      <c r="C7" s="17">
        <f>290+58</f>
        <v>348</v>
      </c>
      <c r="D7" s="18">
        <v>280</v>
      </c>
      <c r="E7" s="18">
        <v>0</v>
      </c>
      <c r="F7" s="17">
        <f t="shared" ref="F7:F21" si="0">SUM(D7:E7)</f>
        <v>280</v>
      </c>
      <c r="G7" s="17">
        <v>120</v>
      </c>
      <c r="H7" s="18"/>
      <c r="I7" s="18"/>
      <c r="J7" s="18"/>
      <c r="K7" s="46"/>
    </row>
    <row r="8" spans="1:11" x14ac:dyDescent="0.2">
      <c r="A8" s="16">
        <v>43441</v>
      </c>
      <c r="B8" s="17">
        <v>180</v>
      </c>
      <c r="C8" s="17">
        <f>240+68</f>
        <v>308</v>
      </c>
      <c r="D8" s="18">
        <v>260</v>
      </c>
      <c r="E8" s="18">
        <v>0</v>
      </c>
      <c r="F8" s="17">
        <f t="shared" si="0"/>
        <v>260</v>
      </c>
      <c r="G8" s="17">
        <v>60</v>
      </c>
      <c r="H8" s="18"/>
      <c r="I8" s="18"/>
      <c r="J8" s="18">
        <v>800</v>
      </c>
      <c r="K8" s="46"/>
    </row>
    <row r="9" spans="1:11" x14ac:dyDescent="0.2">
      <c r="A9" s="16">
        <v>43444</v>
      </c>
      <c r="B9" s="17">
        <v>120</v>
      </c>
      <c r="C9" s="17">
        <f>220+54</f>
        <v>274</v>
      </c>
      <c r="D9" s="18">
        <v>290</v>
      </c>
      <c r="E9" s="18">
        <v>0</v>
      </c>
      <c r="F9" s="17">
        <f t="shared" si="0"/>
        <v>290</v>
      </c>
      <c r="G9" s="17">
        <v>40</v>
      </c>
      <c r="H9" s="18"/>
      <c r="I9" s="18"/>
      <c r="J9" s="18"/>
      <c r="K9" s="46"/>
    </row>
    <row r="10" spans="1:11" x14ac:dyDescent="0.2">
      <c r="A10" s="16">
        <v>43445</v>
      </c>
      <c r="B10" s="17">
        <v>145</v>
      </c>
      <c r="C10" s="17">
        <f>248</f>
        <v>248</v>
      </c>
      <c r="D10" s="18">
        <v>260</v>
      </c>
      <c r="E10" s="18">
        <v>0</v>
      </c>
      <c r="F10" s="17">
        <f t="shared" si="0"/>
        <v>260</v>
      </c>
      <c r="G10" s="17">
        <v>20</v>
      </c>
      <c r="H10" s="18"/>
      <c r="I10" s="18"/>
      <c r="J10" s="18"/>
      <c r="K10" s="46"/>
    </row>
    <row r="11" spans="1:11" x14ac:dyDescent="0.2">
      <c r="A11" s="16">
        <v>43446</v>
      </c>
      <c r="B11" s="17">
        <v>150</v>
      </c>
      <c r="C11" s="17">
        <f>255+60</f>
        <v>315</v>
      </c>
      <c r="D11" s="18">
        <v>260</v>
      </c>
      <c r="E11" s="18">
        <v>0</v>
      </c>
      <c r="F11" s="17">
        <f t="shared" si="0"/>
        <v>260</v>
      </c>
      <c r="G11" s="17">
        <v>101</v>
      </c>
      <c r="H11" s="18"/>
      <c r="I11" s="18"/>
      <c r="J11" s="18"/>
      <c r="K11" s="46"/>
    </row>
    <row r="12" spans="1:11" x14ac:dyDescent="0.2">
      <c r="A12" s="16">
        <v>43447</v>
      </c>
      <c r="B12" s="17">
        <v>140</v>
      </c>
      <c r="C12" s="17">
        <f>279+60</f>
        <v>339</v>
      </c>
      <c r="D12" s="18">
        <v>200</v>
      </c>
      <c r="E12" s="18">
        <v>0</v>
      </c>
      <c r="F12" s="17">
        <f t="shared" si="0"/>
        <v>200</v>
      </c>
      <c r="G12" s="17">
        <v>52</v>
      </c>
      <c r="H12" s="18"/>
      <c r="I12" s="18"/>
      <c r="J12" s="18"/>
      <c r="K12" s="46"/>
    </row>
    <row r="13" spans="1:11" x14ac:dyDescent="0.2">
      <c r="A13" s="16">
        <v>43448</v>
      </c>
      <c r="B13" s="17">
        <v>120</v>
      </c>
      <c r="C13" s="17">
        <f>248</f>
        <v>248</v>
      </c>
      <c r="D13" s="18">
        <v>210</v>
      </c>
      <c r="E13" s="18">
        <v>0</v>
      </c>
      <c r="F13" s="17">
        <f t="shared" si="0"/>
        <v>210</v>
      </c>
      <c r="G13" s="17">
        <v>100</v>
      </c>
      <c r="H13" s="18"/>
      <c r="I13" s="18"/>
      <c r="J13" s="18">
        <v>356</v>
      </c>
      <c r="K13" s="46"/>
    </row>
    <row r="14" spans="1:11" x14ac:dyDescent="0.2">
      <c r="A14" s="16">
        <v>43451</v>
      </c>
      <c r="B14" s="17">
        <v>120</v>
      </c>
      <c r="C14" s="17">
        <f>225+15</f>
        <v>240</v>
      </c>
      <c r="D14" s="18">
        <v>300</v>
      </c>
      <c r="E14" s="18">
        <v>0</v>
      </c>
      <c r="F14" s="17">
        <f t="shared" si="0"/>
        <v>300</v>
      </c>
      <c r="G14" s="17">
        <v>22</v>
      </c>
      <c r="H14" s="18"/>
      <c r="I14" s="21">
        <v>300</v>
      </c>
      <c r="J14" s="18"/>
      <c r="K14" s="46"/>
    </row>
    <row r="15" spans="1:11" x14ac:dyDescent="0.2">
      <c r="A15" s="16">
        <v>43452</v>
      </c>
      <c r="B15" s="17">
        <v>120</v>
      </c>
      <c r="C15" s="17">
        <f>225+15</f>
        <v>240</v>
      </c>
      <c r="D15" s="18">
        <v>340</v>
      </c>
      <c r="E15" s="18">
        <v>0</v>
      </c>
      <c r="F15" s="17">
        <f t="shared" si="0"/>
        <v>340</v>
      </c>
      <c r="G15" s="17">
        <v>35</v>
      </c>
      <c r="H15" s="18"/>
      <c r="I15" s="18"/>
      <c r="J15" s="18"/>
      <c r="K15" s="46"/>
    </row>
    <row r="16" spans="1:11" x14ac:dyDescent="0.2">
      <c r="A16" s="16">
        <v>43453</v>
      </c>
      <c r="B16" s="17">
        <v>120</v>
      </c>
      <c r="C16" s="17">
        <v>60</v>
      </c>
      <c r="D16" s="18">
        <f>189+4</f>
        <v>193</v>
      </c>
      <c r="E16" s="19">
        <v>0</v>
      </c>
      <c r="F16" s="17">
        <f t="shared" si="0"/>
        <v>193</v>
      </c>
      <c r="G16" s="20">
        <v>0</v>
      </c>
      <c r="H16" s="18"/>
      <c r="I16" s="18"/>
      <c r="J16" s="18"/>
      <c r="K16" s="46"/>
    </row>
    <row r="17" spans="1:11" x14ac:dyDescent="0.2">
      <c r="A17" s="16">
        <v>43454</v>
      </c>
      <c r="B17" s="17">
        <v>120</v>
      </c>
      <c r="C17" s="17">
        <v>60</v>
      </c>
      <c r="D17" s="18">
        <v>196</v>
      </c>
      <c r="E17" s="18">
        <v>0</v>
      </c>
      <c r="F17" s="17">
        <f t="shared" si="0"/>
        <v>196</v>
      </c>
      <c r="G17" s="17">
        <v>0</v>
      </c>
      <c r="H17" s="18"/>
      <c r="I17" s="21"/>
      <c r="J17" s="18"/>
      <c r="K17" s="46"/>
    </row>
    <row r="18" spans="1:11" x14ac:dyDescent="0.2">
      <c r="A18" s="16">
        <v>43455</v>
      </c>
      <c r="B18" s="17">
        <v>120</v>
      </c>
      <c r="C18" s="17">
        <v>60</v>
      </c>
      <c r="D18" s="18">
        <f>199+9</f>
        <v>208</v>
      </c>
      <c r="E18" s="18">
        <v>0</v>
      </c>
      <c r="F18" s="17">
        <f t="shared" si="0"/>
        <v>208</v>
      </c>
      <c r="G18" s="17">
        <v>0</v>
      </c>
      <c r="H18" s="18"/>
      <c r="I18" s="21"/>
      <c r="J18" s="18"/>
      <c r="K18" s="46"/>
    </row>
    <row r="19" spans="1:11" x14ac:dyDescent="0.2">
      <c r="A19" s="16">
        <v>43460</v>
      </c>
      <c r="B19" s="17">
        <v>120</v>
      </c>
      <c r="C19" s="17">
        <v>60</v>
      </c>
      <c r="D19" s="18">
        <v>221</v>
      </c>
      <c r="E19" s="18">
        <v>0</v>
      </c>
      <c r="F19" s="17">
        <f t="shared" si="0"/>
        <v>221</v>
      </c>
      <c r="G19" s="17">
        <v>0</v>
      </c>
      <c r="H19" s="18"/>
      <c r="I19" s="18"/>
      <c r="J19" s="18"/>
      <c r="K19" s="46"/>
    </row>
    <row r="20" spans="1:11" x14ac:dyDescent="0.2">
      <c r="A20" s="16">
        <v>43461</v>
      </c>
      <c r="B20" s="17">
        <v>120</v>
      </c>
      <c r="C20" s="17">
        <v>60</v>
      </c>
      <c r="D20" s="18">
        <v>220</v>
      </c>
      <c r="E20" s="18">
        <v>0</v>
      </c>
      <c r="F20" s="17">
        <f t="shared" si="0"/>
        <v>220</v>
      </c>
      <c r="G20" s="17">
        <v>0</v>
      </c>
      <c r="H20" s="18"/>
      <c r="I20" s="18"/>
      <c r="J20" s="18"/>
      <c r="K20" s="46"/>
    </row>
    <row r="21" spans="1:11" x14ac:dyDescent="0.2">
      <c r="A21" s="16">
        <v>43462</v>
      </c>
      <c r="B21" s="51">
        <v>120</v>
      </c>
      <c r="C21" s="17">
        <v>60</v>
      </c>
      <c r="D21" s="18">
        <v>215</v>
      </c>
      <c r="E21" s="18">
        <v>0</v>
      </c>
      <c r="F21" s="17">
        <f t="shared" si="0"/>
        <v>215</v>
      </c>
      <c r="G21" s="17">
        <v>0</v>
      </c>
      <c r="H21" s="18"/>
      <c r="I21" s="18"/>
      <c r="J21" s="18"/>
      <c r="K21" s="46"/>
    </row>
    <row r="22" spans="1:11" x14ac:dyDescent="0.2">
      <c r="A22" s="16"/>
      <c r="B22" s="17"/>
      <c r="C22" s="17"/>
      <c r="D22" s="18"/>
      <c r="E22" s="18"/>
      <c r="F22" s="18"/>
      <c r="G22" s="17"/>
      <c r="H22" s="18"/>
      <c r="I22" s="18"/>
      <c r="J22" s="18"/>
      <c r="K22" s="46"/>
    </row>
    <row r="23" spans="1:11" x14ac:dyDescent="0.2">
      <c r="A23" s="16"/>
      <c r="B23" s="17"/>
      <c r="C23" s="17"/>
      <c r="D23" s="18"/>
      <c r="E23" s="18"/>
      <c r="F23" s="17"/>
      <c r="G23" s="17"/>
      <c r="H23" s="18"/>
      <c r="I23" s="21"/>
      <c r="J23" s="18"/>
      <c r="K23" s="46"/>
    </row>
    <row r="24" spans="1:11" x14ac:dyDescent="0.2">
      <c r="A24" s="16"/>
      <c r="B24" s="17"/>
      <c r="C24" s="17"/>
      <c r="D24" s="18"/>
      <c r="E24" s="18"/>
      <c r="F24" s="17"/>
      <c r="G24" s="17"/>
      <c r="H24" s="18"/>
      <c r="I24" s="18"/>
      <c r="J24" s="18"/>
      <c r="K24" s="46"/>
    </row>
    <row r="25" spans="1:11" x14ac:dyDescent="0.2">
      <c r="A25" s="16"/>
      <c r="B25" s="17"/>
      <c r="C25" s="17"/>
      <c r="D25" s="18"/>
      <c r="E25" s="18"/>
      <c r="F25" s="17"/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/>
      <c r="G26" s="17"/>
      <c r="H26" s="18" t="s">
        <v>12</v>
      </c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/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2535</v>
      </c>
      <c r="C28" s="18">
        <f>SUM(C4:C27)</f>
        <v>4054</v>
      </c>
      <c r="D28" s="18">
        <f>SUM(D4:D27)</f>
        <v>4492</v>
      </c>
      <c r="E28" s="18">
        <f>SUM(E4:E27)</f>
        <v>381</v>
      </c>
      <c r="F28" s="17"/>
      <c r="G28" s="17"/>
      <c r="H28" s="17">
        <f>SUM(H4:H20)</f>
        <v>0</v>
      </c>
      <c r="I28" s="23">
        <f>SUM(I4:I27)</f>
        <v>300</v>
      </c>
      <c r="J28" s="17">
        <f>SUM(J4:J27)</f>
        <v>1156</v>
      </c>
      <c r="K28" s="47"/>
    </row>
    <row r="29" spans="1:11" x14ac:dyDescent="0.2">
      <c r="A29" s="16" t="s">
        <v>3</v>
      </c>
      <c r="B29" s="48">
        <f>B28+C28</f>
        <v>6589</v>
      </c>
      <c r="C29" s="48"/>
      <c r="D29" s="48">
        <f>D28+E28</f>
        <v>4873</v>
      </c>
      <c r="E29" s="48"/>
      <c r="F29" s="17"/>
      <c r="G29" s="18">
        <f>SUM(G4:G27)</f>
        <v>1040</v>
      </c>
      <c r="H29" s="49">
        <f>H28+I28+J28</f>
        <v>1456</v>
      </c>
      <c r="I29" s="49"/>
      <c r="J29" s="50"/>
      <c r="K29" s="24">
        <f>B29+D29+G29+H29</f>
        <v>13958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381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5532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  <mergeCell ref="A31:B31"/>
    <mergeCell ref="A32:B32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1"/>
  <sheetViews>
    <sheetView view="pageBreakPreview" zoomScaleNormal="100" workbookViewId="0">
      <selection activeCell="B20" sqref="B20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6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43132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14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43132</v>
      </c>
      <c r="B4" s="17">
        <f>520+90</f>
        <v>610</v>
      </c>
      <c r="C4" s="17">
        <f>2185+560</f>
        <v>2745</v>
      </c>
      <c r="D4" s="18">
        <v>1250</v>
      </c>
      <c r="E4" s="18">
        <v>260</v>
      </c>
      <c r="F4" s="17">
        <f t="shared" ref="F4:F24" si="0">SUM(D4:E4)</f>
        <v>1510</v>
      </c>
      <c r="G4" s="17">
        <v>466</v>
      </c>
      <c r="H4" s="18"/>
      <c r="I4" s="18"/>
      <c r="J4" s="18"/>
      <c r="K4" s="46"/>
    </row>
    <row r="5" spans="1:11" x14ac:dyDescent="0.2">
      <c r="A5" s="16">
        <v>43133</v>
      </c>
      <c r="B5" s="17">
        <v>610</v>
      </c>
      <c r="C5" s="17">
        <f>2255+480+250</f>
        <v>2985</v>
      </c>
      <c r="D5" s="18">
        <f>1280+54</f>
        <v>1334</v>
      </c>
      <c r="E5" s="26">
        <v>260</v>
      </c>
      <c r="F5" s="17">
        <f t="shared" si="0"/>
        <v>1594</v>
      </c>
      <c r="G5" s="17">
        <f>395</f>
        <v>395</v>
      </c>
      <c r="H5" s="18"/>
      <c r="I5" s="18"/>
      <c r="J5" s="18"/>
      <c r="K5" s="46"/>
    </row>
    <row r="6" spans="1:11" x14ac:dyDescent="0.2">
      <c r="A6" s="16">
        <v>43136</v>
      </c>
      <c r="B6" s="17">
        <v>610</v>
      </c>
      <c r="C6" s="17">
        <f>2365+430</f>
        <v>2795</v>
      </c>
      <c r="D6" s="18">
        <v>1357</v>
      </c>
      <c r="E6" s="26">
        <v>260</v>
      </c>
      <c r="F6" s="17">
        <f t="shared" si="0"/>
        <v>1617</v>
      </c>
      <c r="G6" s="20">
        <v>420</v>
      </c>
      <c r="H6" s="18"/>
      <c r="I6" s="18">
        <v>2</v>
      </c>
      <c r="J6" s="18"/>
      <c r="K6" s="46"/>
    </row>
    <row r="7" spans="1:11" x14ac:dyDescent="0.2">
      <c r="A7" s="16">
        <v>43137</v>
      </c>
      <c r="B7" s="17">
        <v>610</v>
      </c>
      <c r="C7" s="17">
        <f>3095+430</f>
        <v>3525</v>
      </c>
      <c r="D7" s="18">
        <v>1376</v>
      </c>
      <c r="E7" s="26">
        <v>260</v>
      </c>
      <c r="F7" s="17">
        <f t="shared" si="0"/>
        <v>1636</v>
      </c>
      <c r="G7" s="17">
        <f>433+10</f>
        <v>443</v>
      </c>
      <c r="H7" s="18"/>
      <c r="I7" s="18"/>
      <c r="J7" s="18"/>
      <c r="K7" s="46"/>
    </row>
    <row r="8" spans="1:11" x14ac:dyDescent="0.2">
      <c r="A8" s="16">
        <v>43138</v>
      </c>
      <c r="B8" s="17">
        <v>610</v>
      </c>
      <c r="C8" s="17">
        <f>2485+480</f>
        <v>2965</v>
      </c>
      <c r="D8" s="18">
        <v>1503</v>
      </c>
      <c r="E8" s="26">
        <v>260</v>
      </c>
      <c r="F8" s="17">
        <f t="shared" si="0"/>
        <v>1763</v>
      </c>
      <c r="G8" s="17">
        <v>413</v>
      </c>
      <c r="H8" s="18"/>
      <c r="I8" s="18"/>
      <c r="J8" s="18"/>
      <c r="K8" s="46"/>
    </row>
    <row r="9" spans="1:11" x14ac:dyDescent="0.2">
      <c r="A9" s="16">
        <v>43139</v>
      </c>
      <c r="B9" s="17">
        <v>610</v>
      </c>
      <c r="C9" s="17">
        <f>2535+470</f>
        <v>3005</v>
      </c>
      <c r="D9" s="18">
        <v>1436</v>
      </c>
      <c r="E9" s="26">
        <v>260</v>
      </c>
      <c r="F9" s="17">
        <f t="shared" si="0"/>
        <v>1696</v>
      </c>
      <c r="G9" s="17">
        <v>399</v>
      </c>
      <c r="H9" s="18"/>
      <c r="I9" s="18">
        <v>15</v>
      </c>
      <c r="J9" s="18"/>
      <c r="K9" s="46"/>
    </row>
    <row r="10" spans="1:11" x14ac:dyDescent="0.2">
      <c r="A10" s="16">
        <v>43140</v>
      </c>
      <c r="B10" s="17">
        <v>580</v>
      </c>
      <c r="C10" s="17">
        <f>2060+560+90+30</f>
        <v>2740</v>
      </c>
      <c r="D10" s="18">
        <v>1422</v>
      </c>
      <c r="E10" s="26">
        <v>260</v>
      </c>
      <c r="F10" s="17">
        <f t="shared" si="0"/>
        <v>1682</v>
      </c>
      <c r="G10" s="17">
        <f>390+15</f>
        <v>405</v>
      </c>
      <c r="H10" s="18"/>
      <c r="I10" s="18">
        <v>62</v>
      </c>
      <c r="J10" s="18"/>
      <c r="K10" s="46"/>
    </row>
    <row r="11" spans="1:11" x14ac:dyDescent="0.2">
      <c r="A11" s="16">
        <v>43145</v>
      </c>
      <c r="B11" s="17">
        <v>580</v>
      </c>
      <c r="C11" s="17">
        <f>2375+480</f>
        <v>2855</v>
      </c>
      <c r="D11" s="18">
        <v>1392</v>
      </c>
      <c r="E11" s="26">
        <v>260</v>
      </c>
      <c r="F11" s="17">
        <f t="shared" si="0"/>
        <v>1652</v>
      </c>
      <c r="G11" s="17">
        <v>333</v>
      </c>
      <c r="H11" s="18"/>
      <c r="I11" s="18">
        <v>62</v>
      </c>
      <c r="J11" s="18"/>
      <c r="K11" s="46"/>
    </row>
    <row r="12" spans="1:11" x14ac:dyDescent="0.2">
      <c r="A12" s="16">
        <v>43146</v>
      </c>
      <c r="B12" s="17">
        <v>520</v>
      </c>
      <c r="C12" s="17">
        <f>2415+470</f>
        <v>2885</v>
      </c>
      <c r="D12" s="18">
        <v>1453</v>
      </c>
      <c r="E12" s="26">
        <v>260</v>
      </c>
      <c r="F12" s="17">
        <f t="shared" si="0"/>
        <v>1713</v>
      </c>
      <c r="G12" s="17">
        <v>395</v>
      </c>
      <c r="H12" s="18"/>
      <c r="I12" s="21"/>
      <c r="J12" s="18"/>
      <c r="K12" s="46"/>
    </row>
    <row r="13" spans="1:11" x14ac:dyDescent="0.2">
      <c r="A13" s="16">
        <v>43147</v>
      </c>
      <c r="B13" s="17">
        <v>550</v>
      </c>
      <c r="C13" s="17">
        <f>260+2545+560</f>
        <v>3365</v>
      </c>
      <c r="D13" s="18">
        <f>1502+82</f>
        <v>1584</v>
      </c>
      <c r="E13" s="26">
        <v>260</v>
      </c>
      <c r="F13" s="17">
        <f t="shared" si="0"/>
        <v>1844</v>
      </c>
      <c r="G13" s="17">
        <v>385</v>
      </c>
      <c r="H13" s="18"/>
      <c r="I13" s="18">
        <f>85+85</f>
        <v>170</v>
      </c>
      <c r="J13" s="18"/>
      <c r="K13" s="46"/>
    </row>
    <row r="14" spans="1:11" x14ac:dyDescent="0.2">
      <c r="A14" s="16">
        <v>43150</v>
      </c>
      <c r="B14" s="17">
        <v>550</v>
      </c>
      <c r="C14" s="17">
        <f>2565+778</f>
        <v>3343</v>
      </c>
      <c r="D14" s="18">
        <v>1451</v>
      </c>
      <c r="E14" s="26">
        <v>260</v>
      </c>
      <c r="F14" s="17">
        <f t="shared" si="0"/>
        <v>1711</v>
      </c>
      <c r="G14" s="20">
        <v>445</v>
      </c>
      <c r="H14" s="18"/>
      <c r="I14" s="18">
        <v>32</v>
      </c>
      <c r="J14" s="18"/>
      <c r="K14" s="46"/>
    </row>
    <row r="15" spans="1:11" x14ac:dyDescent="0.2">
      <c r="A15" s="16">
        <v>43151</v>
      </c>
      <c r="B15" s="17">
        <v>550</v>
      </c>
      <c r="C15" s="17">
        <f>3435+608</f>
        <v>4043</v>
      </c>
      <c r="D15" s="18">
        <v>1342</v>
      </c>
      <c r="E15" s="26">
        <v>260</v>
      </c>
      <c r="F15" s="17">
        <f t="shared" si="0"/>
        <v>1602</v>
      </c>
      <c r="G15" s="17">
        <v>427</v>
      </c>
      <c r="H15" s="18"/>
      <c r="I15" s="21">
        <v>20</v>
      </c>
      <c r="J15" s="18"/>
      <c r="K15" s="46"/>
    </row>
    <row r="16" spans="1:11" x14ac:dyDescent="0.2">
      <c r="A16" s="16">
        <v>43152</v>
      </c>
      <c r="B16" s="17">
        <v>550</v>
      </c>
      <c r="C16" s="17">
        <f>2315+608</f>
        <v>2923</v>
      </c>
      <c r="D16" s="18">
        <v>1377</v>
      </c>
      <c r="E16" s="26">
        <v>260</v>
      </c>
      <c r="F16" s="17">
        <f t="shared" si="0"/>
        <v>1637</v>
      </c>
      <c r="G16" s="17">
        <v>460</v>
      </c>
      <c r="H16" s="18"/>
      <c r="I16" s="21">
        <v>3</v>
      </c>
      <c r="J16" s="18"/>
      <c r="K16" s="46"/>
    </row>
    <row r="17" spans="1:11" x14ac:dyDescent="0.2">
      <c r="A17" s="16">
        <v>43153</v>
      </c>
      <c r="B17" s="17">
        <v>550</v>
      </c>
      <c r="C17" s="17">
        <f>2535+778</f>
        <v>3313</v>
      </c>
      <c r="D17" s="21">
        <v>1243</v>
      </c>
      <c r="E17" s="26">
        <v>260</v>
      </c>
      <c r="F17" s="17">
        <f t="shared" si="0"/>
        <v>1503</v>
      </c>
      <c r="G17" s="22">
        <f>372+11</f>
        <v>383</v>
      </c>
      <c r="H17" s="18"/>
      <c r="I17" s="18">
        <v>155</v>
      </c>
      <c r="J17" s="18"/>
      <c r="K17" s="46"/>
    </row>
    <row r="18" spans="1:11" x14ac:dyDescent="0.2">
      <c r="A18" s="16">
        <v>43154</v>
      </c>
      <c r="B18" s="17">
        <v>550</v>
      </c>
      <c r="C18" s="17">
        <f>2435+608+90+298</f>
        <v>3431</v>
      </c>
      <c r="D18" s="21">
        <f>1213+58</f>
        <v>1271</v>
      </c>
      <c r="E18" s="26">
        <v>260</v>
      </c>
      <c r="F18" s="17">
        <f t="shared" si="0"/>
        <v>1531</v>
      </c>
      <c r="G18" s="22">
        <v>401</v>
      </c>
      <c r="H18" s="18"/>
      <c r="I18" s="18">
        <v>21</v>
      </c>
      <c r="J18" s="18"/>
      <c r="K18" s="46"/>
    </row>
    <row r="19" spans="1:11" x14ac:dyDescent="0.2">
      <c r="A19" s="16">
        <v>43157</v>
      </c>
      <c r="B19" s="17">
        <v>550</v>
      </c>
      <c r="C19" s="17">
        <f>2590+778</f>
        <v>3368</v>
      </c>
      <c r="D19" s="21">
        <v>1322</v>
      </c>
      <c r="E19" s="26">
        <v>260</v>
      </c>
      <c r="F19" s="17">
        <f t="shared" si="0"/>
        <v>1582</v>
      </c>
      <c r="G19" s="22">
        <v>356</v>
      </c>
      <c r="H19" s="18"/>
      <c r="I19" s="18"/>
      <c r="J19" s="18"/>
      <c r="K19" s="46"/>
    </row>
    <row r="20" spans="1:11" x14ac:dyDescent="0.2">
      <c r="A20" s="16">
        <v>43158</v>
      </c>
      <c r="B20" s="17">
        <v>550</v>
      </c>
      <c r="C20" s="17">
        <f>3340+608</f>
        <v>3948</v>
      </c>
      <c r="D20" s="21">
        <v>1411</v>
      </c>
      <c r="E20" s="26">
        <v>260</v>
      </c>
      <c r="F20" s="17">
        <f t="shared" si="0"/>
        <v>1671</v>
      </c>
      <c r="G20" s="22">
        <v>376</v>
      </c>
      <c r="H20" s="18"/>
      <c r="I20" s="18"/>
      <c r="J20" s="18"/>
      <c r="K20" s="46"/>
    </row>
    <row r="21" spans="1:11" x14ac:dyDescent="0.2">
      <c r="A21" s="16">
        <v>43159</v>
      </c>
      <c r="B21" s="17">
        <v>550</v>
      </c>
      <c r="C21" s="17">
        <f>2590+778</f>
        <v>3368</v>
      </c>
      <c r="D21" s="21">
        <v>1530</v>
      </c>
      <c r="E21" s="21">
        <v>260</v>
      </c>
      <c r="F21" s="17">
        <f t="shared" si="0"/>
        <v>1790</v>
      </c>
      <c r="G21" s="22">
        <v>415</v>
      </c>
      <c r="H21" s="18"/>
      <c r="I21" s="21"/>
      <c r="J21" s="18"/>
      <c r="K21" s="46"/>
    </row>
    <row r="22" spans="1:11" x14ac:dyDescent="0.2">
      <c r="A22" s="16"/>
      <c r="B22" s="17"/>
      <c r="C22" s="17"/>
      <c r="D22" s="18"/>
      <c r="E22" s="18"/>
      <c r="F22" s="17">
        <f t="shared" si="0"/>
        <v>0</v>
      </c>
      <c r="G22" s="17"/>
      <c r="H22" s="18"/>
      <c r="I22" s="18"/>
      <c r="J22" s="18"/>
      <c r="K22" s="46"/>
    </row>
    <row r="23" spans="1:11" x14ac:dyDescent="0.2">
      <c r="A23" s="16"/>
      <c r="B23" s="17"/>
      <c r="C23" s="17"/>
      <c r="D23" s="18"/>
      <c r="E23" s="18"/>
      <c r="F23" s="17">
        <f t="shared" si="0"/>
        <v>0</v>
      </c>
      <c r="G23" s="17"/>
      <c r="H23" s="18"/>
      <c r="I23" s="18"/>
      <c r="J23" s="18"/>
      <c r="K23" s="46"/>
    </row>
    <row r="24" spans="1:11" x14ac:dyDescent="0.2">
      <c r="A24" s="16"/>
      <c r="B24" s="17"/>
      <c r="C24" s="17"/>
      <c r="D24" s="18"/>
      <c r="E24" s="18"/>
      <c r="F24" s="17">
        <f t="shared" si="0"/>
        <v>0</v>
      </c>
      <c r="G24" s="17"/>
      <c r="H24" s="18"/>
      <c r="I24" s="18"/>
      <c r="J24" s="18"/>
      <c r="K24" s="46"/>
    </row>
    <row r="25" spans="1:11" x14ac:dyDescent="0.2">
      <c r="A25" s="16"/>
      <c r="B25" s="17"/>
      <c r="C25" s="17"/>
      <c r="D25" s="18"/>
      <c r="E25" s="18"/>
      <c r="F25" s="17">
        <v>0</v>
      </c>
      <c r="G25" s="17"/>
      <c r="H25" s="18"/>
      <c r="I25" s="18"/>
      <c r="J25" s="18"/>
      <c r="K25" s="46"/>
    </row>
    <row r="26" spans="1:11" x14ac:dyDescent="0.2">
      <c r="A26" s="16" t="s">
        <v>3</v>
      </c>
      <c r="B26" s="18">
        <f>SUM(B4:B25)</f>
        <v>10290</v>
      </c>
      <c r="C26" s="18">
        <f>SUM(C4:C25)</f>
        <v>57602</v>
      </c>
      <c r="D26" s="18">
        <f>SUM(D4:D25)</f>
        <v>25054</v>
      </c>
      <c r="E26" s="18">
        <f>SUM(E4:E25)</f>
        <v>4680</v>
      </c>
      <c r="F26" s="17"/>
      <c r="G26" s="17"/>
      <c r="H26" s="17">
        <f>SUM(H4:H18)</f>
        <v>0</v>
      </c>
      <c r="I26" s="23">
        <f>SUM(I4:I25)</f>
        <v>542</v>
      </c>
      <c r="J26" s="17">
        <f>SUM(J4:J25)</f>
        <v>0</v>
      </c>
      <c r="K26" s="47"/>
    </row>
    <row r="27" spans="1:11" x14ac:dyDescent="0.2">
      <c r="A27" s="16" t="s">
        <v>3</v>
      </c>
      <c r="B27" s="48">
        <f>B26+C26</f>
        <v>67892</v>
      </c>
      <c r="C27" s="48"/>
      <c r="D27" s="48">
        <f>D26+E26</f>
        <v>29734</v>
      </c>
      <c r="E27" s="48"/>
      <c r="F27" s="17"/>
      <c r="G27" s="18">
        <f>SUM(G4:G25)</f>
        <v>7317</v>
      </c>
      <c r="H27" s="49">
        <f>H26+I26+J26</f>
        <v>542</v>
      </c>
      <c r="I27" s="49"/>
      <c r="J27" s="50"/>
      <c r="K27" s="24">
        <f>B27+D27+G27+H27</f>
        <v>105485</v>
      </c>
    </row>
    <row r="28" spans="1:11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">
      <c r="A29" s="29" t="s">
        <v>9</v>
      </c>
      <c r="B29" s="29"/>
      <c r="C29" s="12">
        <f>E26</f>
        <v>4680</v>
      </c>
      <c r="D29" s="12"/>
      <c r="E29" s="12"/>
      <c r="F29" s="12"/>
      <c r="G29" s="12"/>
      <c r="H29" s="12"/>
      <c r="I29" s="12"/>
      <c r="J29" s="12"/>
      <c r="K29" s="12"/>
    </row>
    <row r="30" spans="1:11" x14ac:dyDescent="0.2">
      <c r="A30" s="29" t="s">
        <v>8</v>
      </c>
      <c r="B30" s="29"/>
      <c r="C30" s="12">
        <f>D26+G27</f>
        <v>32371</v>
      </c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3"/>
    </row>
    <row r="33" spans="1:4" x14ac:dyDescent="0.2">
      <c r="A33" s="3"/>
      <c r="D33" s="1" t="s">
        <v>13</v>
      </c>
    </row>
    <row r="34" spans="1:4" x14ac:dyDescent="0.2">
      <c r="A34" s="3"/>
    </row>
    <row r="35" spans="1:4" x14ac:dyDescent="0.2">
      <c r="A35" s="3"/>
    </row>
    <row r="36" spans="1:4" x14ac:dyDescent="0.2">
      <c r="A36" s="3"/>
    </row>
    <row r="37" spans="1:4" x14ac:dyDescent="0.2">
      <c r="A37" s="3"/>
    </row>
    <row r="38" spans="1:4" x14ac:dyDescent="0.2">
      <c r="A38" s="3"/>
    </row>
    <row r="39" spans="1:4" x14ac:dyDescent="0.2">
      <c r="A39" s="3"/>
    </row>
    <row r="40" spans="1:4" x14ac:dyDescent="0.2">
      <c r="A40" s="3"/>
    </row>
    <row r="41" spans="1:4" x14ac:dyDescent="0.2">
      <c r="A41" s="3"/>
    </row>
    <row r="42" spans="1:4" x14ac:dyDescent="0.2">
      <c r="A42" s="3"/>
    </row>
    <row r="43" spans="1:4" x14ac:dyDescent="0.2">
      <c r="A43" s="3"/>
    </row>
    <row r="44" spans="1:4" x14ac:dyDescent="0.2">
      <c r="A44" s="3"/>
    </row>
    <row r="45" spans="1:4" x14ac:dyDescent="0.2">
      <c r="A45" s="3"/>
    </row>
    <row r="46" spans="1:4" x14ac:dyDescent="0.2">
      <c r="A46" s="3"/>
    </row>
    <row r="47" spans="1:4" x14ac:dyDescent="0.2">
      <c r="A47" s="3"/>
    </row>
    <row r="48" spans="1:4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</sheetData>
  <mergeCells count="13">
    <mergeCell ref="A29:B29"/>
    <mergeCell ref="A30:B30"/>
    <mergeCell ref="A1:K1"/>
    <mergeCell ref="A2:A3"/>
    <mergeCell ref="D2:F2"/>
    <mergeCell ref="G2:G3"/>
    <mergeCell ref="H2:H3"/>
    <mergeCell ref="I2:I3"/>
    <mergeCell ref="J2:J3"/>
    <mergeCell ref="K2:K26"/>
    <mergeCell ref="B27:C27"/>
    <mergeCell ref="D27:E27"/>
    <mergeCell ref="H27:J27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3"/>
  <sheetViews>
    <sheetView view="pageBreakPreview" zoomScaleNormal="100" workbookViewId="0">
      <selection activeCell="B4" sqref="B4:B24"/>
    </sheetView>
  </sheetViews>
  <sheetFormatPr defaultRowHeight="12.75" x14ac:dyDescent="0.2"/>
  <cols>
    <col min="1" max="1" width="9.28515625" style="1" bestFit="1" customWidth="1"/>
    <col min="2" max="2" width="11.1406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6.7109375" style="1" customWidth="1"/>
    <col min="9" max="9" width="9.85546875" style="1" customWidth="1"/>
    <col min="10" max="10" width="8.42578125" style="1" customWidth="1"/>
    <col min="11" max="16384" width="9.140625" style="1"/>
  </cols>
  <sheetData>
    <row r="1" spans="1:10" x14ac:dyDescent="0.2">
      <c r="A1" s="30">
        <v>43160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">
      <c r="A2" s="31" t="s">
        <v>0</v>
      </c>
      <c r="B2" s="4"/>
      <c r="C2" s="4"/>
      <c r="D2" s="32" t="s">
        <v>4</v>
      </c>
      <c r="E2" s="32"/>
      <c r="F2" s="32"/>
      <c r="G2" s="32" t="s">
        <v>5</v>
      </c>
      <c r="H2" s="34" t="s">
        <v>11</v>
      </c>
      <c r="I2" s="35" t="s">
        <v>6</v>
      </c>
      <c r="J2" s="36"/>
    </row>
    <row r="3" spans="1:10" s="2" customFormat="1" x14ac:dyDescent="0.2">
      <c r="A3" s="31"/>
      <c r="B3" s="4" t="s">
        <v>1</v>
      </c>
      <c r="C3" s="4" t="s">
        <v>2</v>
      </c>
      <c r="D3" s="4" t="s">
        <v>7</v>
      </c>
      <c r="E3" s="4" t="s">
        <v>10</v>
      </c>
      <c r="F3" s="4" t="s">
        <v>3</v>
      </c>
      <c r="G3" s="32"/>
      <c r="H3" s="34"/>
      <c r="I3" s="35"/>
      <c r="J3" s="36"/>
    </row>
    <row r="4" spans="1:10" x14ac:dyDescent="0.2">
      <c r="A4" s="5">
        <v>43160</v>
      </c>
      <c r="B4" s="6">
        <v>730</v>
      </c>
      <c r="C4" s="6">
        <v>3058</v>
      </c>
      <c r="D4" s="7">
        <v>1407</v>
      </c>
      <c r="E4" s="7">
        <v>260</v>
      </c>
      <c r="F4" s="7">
        <f>SUM(D4:E4)</f>
        <v>1667</v>
      </c>
      <c r="G4" s="7">
        <f>456+11</f>
        <v>467</v>
      </c>
      <c r="H4" s="7">
        <v>8</v>
      </c>
      <c r="I4" s="7"/>
      <c r="J4" s="36"/>
    </row>
    <row r="5" spans="1:10" x14ac:dyDescent="0.2">
      <c r="A5" s="5">
        <v>43161</v>
      </c>
      <c r="B5" s="6">
        <v>730</v>
      </c>
      <c r="C5" s="6">
        <f>3368+320+90</f>
        <v>3778</v>
      </c>
      <c r="D5" s="6">
        <v>1385</v>
      </c>
      <c r="E5" s="7">
        <v>260</v>
      </c>
      <c r="F5" s="7">
        <f t="shared" ref="F5:F26" si="0">SUM(D5:E5)</f>
        <v>1645</v>
      </c>
      <c r="G5" s="7">
        <f>406+16</f>
        <v>422</v>
      </c>
      <c r="H5" s="7"/>
      <c r="I5" s="7"/>
      <c r="J5" s="36"/>
    </row>
    <row r="6" spans="1:10" x14ac:dyDescent="0.2">
      <c r="A6" s="5">
        <v>43164</v>
      </c>
      <c r="B6" s="6">
        <v>730</v>
      </c>
      <c r="C6" s="6">
        <v>3168</v>
      </c>
      <c r="D6" s="6">
        <v>1336</v>
      </c>
      <c r="E6" s="7">
        <v>260</v>
      </c>
      <c r="F6" s="7">
        <f t="shared" si="0"/>
        <v>1596</v>
      </c>
      <c r="G6" s="6">
        <v>380</v>
      </c>
      <c r="H6" s="7">
        <v>172</v>
      </c>
      <c r="I6" s="7"/>
      <c r="J6" s="36"/>
    </row>
    <row r="7" spans="1:10" x14ac:dyDescent="0.2">
      <c r="A7" s="5">
        <v>43165</v>
      </c>
      <c r="B7" s="6">
        <v>730</v>
      </c>
      <c r="C7" s="6">
        <v>3638</v>
      </c>
      <c r="D7" s="6">
        <f>1327+57</f>
        <v>1384</v>
      </c>
      <c r="E7" s="7">
        <v>260</v>
      </c>
      <c r="F7" s="7">
        <f t="shared" si="0"/>
        <v>1644</v>
      </c>
      <c r="G7" s="6">
        <f>392+10</f>
        <v>402</v>
      </c>
      <c r="H7" s="6"/>
      <c r="I7" s="7"/>
      <c r="J7" s="36"/>
    </row>
    <row r="8" spans="1:10" x14ac:dyDescent="0.2">
      <c r="A8" s="5">
        <v>43166</v>
      </c>
      <c r="B8" s="6">
        <v>730</v>
      </c>
      <c r="C8" s="6">
        <v>3128</v>
      </c>
      <c r="D8" s="6">
        <v>1467</v>
      </c>
      <c r="E8" s="7">
        <v>260</v>
      </c>
      <c r="F8" s="7">
        <f t="shared" si="0"/>
        <v>1727</v>
      </c>
      <c r="G8" s="6">
        <v>450</v>
      </c>
      <c r="H8" s="6">
        <v>15</v>
      </c>
      <c r="I8" s="7"/>
      <c r="J8" s="36"/>
    </row>
    <row r="9" spans="1:10" x14ac:dyDescent="0.2">
      <c r="A9" s="5">
        <v>43167</v>
      </c>
      <c r="B9" s="6">
        <v>730</v>
      </c>
      <c r="C9" s="6">
        <v>3048</v>
      </c>
      <c r="D9" s="6">
        <v>1445</v>
      </c>
      <c r="E9" s="7">
        <v>260</v>
      </c>
      <c r="F9" s="7">
        <f t="shared" si="0"/>
        <v>1705</v>
      </c>
      <c r="G9" s="6">
        <v>378</v>
      </c>
      <c r="H9" s="6"/>
      <c r="I9" s="7"/>
      <c r="J9" s="36"/>
    </row>
    <row r="10" spans="1:10" x14ac:dyDescent="0.2">
      <c r="A10" s="5">
        <v>43168</v>
      </c>
      <c r="B10" s="6">
        <v>730</v>
      </c>
      <c r="C10" s="6">
        <v>3558</v>
      </c>
      <c r="D10" s="6">
        <v>1209</v>
      </c>
      <c r="E10" s="7">
        <v>260</v>
      </c>
      <c r="F10" s="7">
        <f t="shared" si="0"/>
        <v>1469</v>
      </c>
      <c r="G10" s="6">
        <f>418+15</f>
        <v>433</v>
      </c>
      <c r="H10" s="6">
        <v>100</v>
      </c>
      <c r="I10" s="7"/>
      <c r="J10" s="36"/>
    </row>
    <row r="11" spans="1:10" x14ac:dyDescent="0.2">
      <c r="A11" s="5">
        <v>43171</v>
      </c>
      <c r="B11" s="6">
        <v>730</v>
      </c>
      <c r="C11" s="6">
        <f>2565+778</f>
        <v>3343</v>
      </c>
      <c r="D11" s="6">
        <f>1164+60</f>
        <v>1224</v>
      </c>
      <c r="E11" s="7">
        <v>260</v>
      </c>
      <c r="F11" s="7">
        <f t="shared" si="0"/>
        <v>1484</v>
      </c>
      <c r="G11" s="6">
        <v>340</v>
      </c>
      <c r="H11" s="6">
        <v>122</v>
      </c>
      <c r="I11" s="7"/>
      <c r="J11" s="36"/>
    </row>
    <row r="12" spans="1:10" x14ac:dyDescent="0.2">
      <c r="A12" s="5">
        <v>43172</v>
      </c>
      <c r="B12" s="6">
        <v>730</v>
      </c>
      <c r="C12" s="6">
        <f>3545+608</f>
        <v>4153</v>
      </c>
      <c r="D12" s="6">
        <v>1302</v>
      </c>
      <c r="E12" s="7">
        <v>260</v>
      </c>
      <c r="F12" s="7">
        <f t="shared" si="0"/>
        <v>1562</v>
      </c>
      <c r="G12" s="6">
        <v>382</v>
      </c>
      <c r="H12" s="6">
        <v>2</v>
      </c>
      <c r="I12" s="7"/>
      <c r="J12" s="36"/>
    </row>
    <row r="13" spans="1:10" x14ac:dyDescent="0.2">
      <c r="A13" s="5">
        <v>43173</v>
      </c>
      <c r="B13" s="6">
        <v>730</v>
      </c>
      <c r="C13" s="6">
        <f>2415+608</f>
        <v>3023</v>
      </c>
      <c r="D13" s="6">
        <f>446+472+501</f>
        <v>1419</v>
      </c>
      <c r="E13" s="7">
        <v>260</v>
      </c>
      <c r="F13" s="7">
        <f t="shared" si="0"/>
        <v>1679</v>
      </c>
      <c r="G13" s="6">
        <v>376</v>
      </c>
      <c r="H13" s="6"/>
      <c r="I13" s="7"/>
      <c r="J13" s="36"/>
    </row>
    <row r="14" spans="1:10" x14ac:dyDescent="0.2">
      <c r="A14" s="5">
        <v>43174</v>
      </c>
      <c r="B14" s="6">
        <v>730</v>
      </c>
      <c r="C14" s="6">
        <f>2515+778</f>
        <v>3293</v>
      </c>
      <c r="D14" s="6">
        <v>1237</v>
      </c>
      <c r="E14" s="7">
        <v>260</v>
      </c>
      <c r="F14" s="7">
        <f t="shared" si="0"/>
        <v>1497</v>
      </c>
      <c r="G14" s="6">
        <v>381</v>
      </c>
      <c r="H14" s="8">
        <v>4</v>
      </c>
      <c r="I14" s="7"/>
      <c r="J14" s="36"/>
    </row>
    <row r="15" spans="1:10" x14ac:dyDescent="0.2">
      <c r="A15" s="5">
        <v>43175</v>
      </c>
      <c r="B15" s="6">
        <v>730</v>
      </c>
      <c r="C15" s="6">
        <f>2475+608</f>
        <v>3083</v>
      </c>
      <c r="D15" s="6">
        <v>1188</v>
      </c>
      <c r="E15" s="7">
        <v>260</v>
      </c>
      <c r="F15" s="7">
        <f t="shared" si="0"/>
        <v>1448</v>
      </c>
      <c r="G15" s="6">
        <v>325</v>
      </c>
      <c r="H15" s="6"/>
      <c r="I15" s="7"/>
      <c r="J15" s="36"/>
    </row>
    <row r="16" spans="1:10" x14ac:dyDescent="0.2">
      <c r="A16" s="5">
        <v>43178</v>
      </c>
      <c r="B16" s="6">
        <v>730</v>
      </c>
      <c r="C16" s="6">
        <f>2535+778</f>
        <v>3313</v>
      </c>
      <c r="D16" s="6">
        <f>1124+57</f>
        <v>1181</v>
      </c>
      <c r="E16" s="7">
        <v>260</v>
      </c>
      <c r="F16" s="7">
        <f t="shared" si="0"/>
        <v>1441</v>
      </c>
      <c r="G16" s="6">
        <v>376</v>
      </c>
      <c r="H16" s="6">
        <f>90+60</f>
        <v>150</v>
      </c>
      <c r="I16" s="7"/>
      <c r="J16" s="36"/>
    </row>
    <row r="17" spans="1:10" x14ac:dyDescent="0.2">
      <c r="A17" s="5">
        <v>43179</v>
      </c>
      <c r="B17" s="6">
        <v>730</v>
      </c>
      <c r="C17" s="6">
        <f>2365+908</f>
        <v>3273</v>
      </c>
      <c r="D17" s="6">
        <v>1247</v>
      </c>
      <c r="E17" s="7">
        <v>260</v>
      </c>
      <c r="F17" s="7">
        <f t="shared" si="0"/>
        <v>1507</v>
      </c>
      <c r="G17" s="6">
        <v>340</v>
      </c>
      <c r="H17" s="8">
        <v>1</v>
      </c>
      <c r="I17" s="7"/>
      <c r="J17" s="36"/>
    </row>
    <row r="18" spans="1:10" x14ac:dyDescent="0.2">
      <c r="A18" s="5">
        <v>43180</v>
      </c>
      <c r="B18" s="6">
        <v>730</v>
      </c>
      <c r="C18" s="6">
        <f>2090+608</f>
        <v>2698</v>
      </c>
      <c r="D18" s="6">
        <v>1197</v>
      </c>
      <c r="E18" s="7">
        <v>260</v>
      </c>
      <c r="F18" s="7">
        <f t="shared" si="0"/>
        <v>1457</v>
      </c>
      <c r="G18" s="6">
        <v>390</v>
      </c>
      <c r="H18" s="8">
        <v>26</v>
      </c>
      <c r="I18" s="7"/>
      <c r="J18" s="36"/>
    </row>
    <row r="19" spans="1:10" x14ac:dyDescent="0.2">
      <c r="A19" s="5">
        <v>43181</v>
      </c>
      <c r="B19" s="6">
        <v>730</v>
      </c>
      <c r="C19" s="6">
        <f>2801+778</f>
        <v>3579</v>
      </c>
      <c r="D19" s="6">
        <v>1393</v>
      </c>
      <c r="E19" s="7">
        <v>260</v>
      </c>
      <c r="F19" s="7">
        <f t="shared" si="0"/>
        <v>1653</v>
      </c>
      <c r="G19" s="6">
        <v>313</v>
      </c>
      <c r="H19" s="6"/>
      <c r="I19" s="7"/>
      <c r="J19" s="36"/>
    </row>
    <row r="20" spans="1:10" x14ac:dyDescent="0.2">
      <c r="A20" s="5">
        <v>43182</v>
      </c>
      <c r="B20" s="6">
        <v>730</v>
      </c>
      <c r="C20" s="6">
        <f>1975+608</f>
        <v>2583</v>
      </c>
      <c r="D20" s="6">
        <f>298+295+419+53</f>
        <v>1065</v>
      </c>
      <c r="E20" s="7">
        <v>260</v>
      </c>
      <c r="F20" s="7">
        <f t="shared" si="0"/>
        <v>1325</v>
      </c>
      <c r="G20" s="6">
        <f>358+15</f>
        <v>373</v>
      </c>
      <c r="H20" s="6">
        <v>95</v>
      </c>
      <c r="I20" s="7"/>
      <c r="J20" s="36"/>
    </row>
    <row r="21" spans="1:10" x14ac:dyDescent="0.2">
      <c r="A21" s="5">
        <v>43185</v>
      </c>
      <c r="B21" s="6">
        <v>730</v>
      </c>
      <c r="C21" s="6">
        <f>1370+598</f>
        <v>1968</v>
      </c>
      <c r="D21" s="6">
        <f>338+307+412</f>
        <v>1057</v>
      </c>
      <c r="E21" s="7">
        <v>260</v>
      </c>
      <c r="F21" s="7">
        <f t="shared" si="0"/>
        <v>1317</v>
      </c>
      <c r="G21" s="6">
        <v>370</v>
      </c>
      <c r="H21" s="6">
        <f>72+71</f>
        <v>143</v>
      </c>
      <c r="I21" s="7"/>
      <c r="J21" s="36"/>
    </row>
    <row r="22" spans="1:10" x14ac:dyDescent="0.2">
      <c r="A22" s="5">
        <v>43186</v>
      </c>
      <c r="B22" s="6">
        <v>730</v>
      </c>
      <c r="C22" s="6">
        <f>1806+668</f>
        <v>2474</v>
      </c>
      <c r="D22" s="6">
        <v>1042</v>
      </c>
      <c r="E22" s="6">
        <v>260</v>
      </c>
      <c r="F22" s="7">
        <f t="shared" si="0"/>
        <v>1302</v>
      </c>
      <c r="G22" s="6">
        <f>365+10</f>
        <v>375</v>
      </c>
      <c r="H22" s="6">
        <f>25+77</f>
        <v>102</v>
      </c>
      <c r="I22" s="7"/>
      <c r="J22" s="36"/>
    </row>
    <row r="23" spans="1:10" x14ac:dyDescent="0.2">
      <c r="A23" s="5">
        <v>43187</v>
      </c>
      <c r="B23" s="6">
        <v>730</v>
      </c>
      <c r="C23" s="6">
        <f>2285+428</f>
        <v>2713</v>
      </c>
      <c r="D23" s="6">
        <v>1334</v>
      </c>
      <c r="E23" s="6">
        <v>260</v>
      </c>
      <c r="F23" s="7">
        <f t="shared" si="0"/>
        <v>1594</v>
      </c>
      <c r="G23" s="6">
        <v>389</v>
      </c>
      <c r="H23" s="8">
        <v>5</v>
      </c>
      <c r="I23" s="7"/>
      <c r="J23" s="36"/>
    </row>
    <row r="24" spans="1:10" x14ac:dyDescent="0.2">
      <c r="A24" s="5">
        <v>43188</v>
      </c>
      <c r="B24" s="6">
        <v>730</v>
      </c>
      <c r="C24" s="6">
        <f>2495+618</f>
        <v>3113</v>
      </c>
      <c r="D24" s="6">
        <v>1250</v>
      </c>
      <c r="E24" s="6">
        <v>260</v>
      </c>
      <c r="F24" s="7">
        <f t="shared" si="0"/>
        <v>1510</v>
      </c>
      <c r="G24" s="6">
        <v>395</v>
      </c>
      <c r="H24" s="6">
        <v>4</v>
      </c>
      <c r="I24" s="7"/>
      <c r="J24" s="36"/>
    </row>
    <row r="25" spans="1:10" x14ac:dyDescent="0.2">
      <c r="A25" s="5"/>
      <c r="B25" s="6"/>
      <c r="C25" s="6"/>
      <c r="D25" s="6"/>
      <c r="E25" s="6"/>
      <c r="F25" s="7">
        <f t="shared" si="0"/>
        <v>0</v>
      </c>
      <c r="G25" s="6"/>
      <c r="H25" s="6"/>
      <c r="I25" s="7"/>
      <c r="J25" s="36"/>
    </row>
    <row r="26" spans="1:10" x14ac:dyDescent="0.2">
      <c r="A26" s="5"/>
      <c r="B26" s="6"/>
      <c r="C26" s="6"/>
      <c r="D26" s="7"/>
      <c r="E26" s="7"/>
      <c r="F26" s="7">
        <f t="shared" si="0"/>
        <v>0</v>
      </c>
      <c r="G26" s="6"/>
      <c r="H26" s="6"/>
      <c r="I26" s="7"/>
      <c r="J26" s="36"/>
    </row>
    <row r="27" spans="1:10" x14ac:dyDescent="0.2">
      <c r="A27" s="5"/>
      <c r="B27" s="6"/>
      <c r="C27" s="6"/>
      <c r="D27" s="7"/>
      <c r="E27" s="7"/>
      <c r="F27" s="7"/>
      <c r="G27" s="6"/>
      <c r="H27" s="6"/>
      <c r="I27" s="7"/>
      <c r="J27" s="36"/>
    </row>
    <row r="28" spans="1:10" x14ac:dyDescent="0.2">
      <c r="A28" s="5" t="s">
        <v>3</v>
      </c>
      <c r="B28" s="7">
        <f>SUM(B4:B27)</f>
        <v>15330</v>
      </c>
      <c r="C28" s="7">
        <f>SUM(C4:C27)</f>
        <v>65985</v>
      </c>
      <c r="D28" s="7">
        <f>SUM(D4:D27)</f>
        <v>26769</v>
      </c>
      <c r="E28" s="7">
        <f>SUM(E4:E27)</f>
        <v>5460</v>
      </c>
      <c r="F28" s="7"/>
      <c r="G28" s="7"/>
      <c r="H28" s="9">
        <f>SUM(H4:H27)</f>
        <v>949</v>
      </c>
      <c r="I28" s="7">
        <f>SUM(I4:I27)</f>
        <v>0</v>
      </c>
      <c r="J28" s="36"/>
    </row>
    <row r="29" spans="1:10" x14ac:dyDescent="0.2">
      <c r="A29" s="5" t="s">
        <v>3</v>
      </c>
      <c r="B29" s="36">
        <f>B28+C28</f>
        <v>81315</v>
      </c>
      <c r="C29" s="36"/>
      <c r="D29" s="36">
        <f>D28+E28</f>
        <v>32229</v>
      </c>
      <c r="E29" s="36"/>
      <c r="F29" s="7"/>
      <c r="G29" s="7">
        <f>SUM(G4:G27)</f>
        <v>8057</v>
      </c>
      <c r="H29" s="36"/>
      <c r="I29" s="36"/>
      <c r="J29" s="10">
        <v>122550</v>
      </c>
    </row>
    <row r="30" spans="1:10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">
      <c r="A31" s="25" t="s">
        <v>9</v>
      </c>
      <c r="B31" s="25"/>
      <c r="C31" s="12">
        <f>E28</f>
        <v>5460</v>
      </c>
      <c r="D31" s="12"/>
      <c r="E31" s="12"/>
      <c r="F31" s="12"/>
      <c r="G31" s="12"/>
      <c r="H31" s="12"/>
      <c r="I31" s="12"/>
      <c r="J31" s="12"/>
    </row>
    <row r="32" spans="1:10" x14ac:dyDescent="0.2">
      <c r="A32" s="25" t="s">
        <v>8</v>
      </c>
      <c r="B32" s="25"/>
      <c r="C32" s="12">
        <f>D28+G29</f>
        <v>34826</v>
      </c>
      <c r="D32" s="12"/>
      <c r="E32" s="12"/>
      <c r="F32" s="12"/>
      <c r="G32" s="12"/>
      <c r="H32" s="12"/>
      <c r="I32" s="12"/>
      <c r="J32" s="12"/>
    </row>
    <row r="33" spans="1:10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2"/>
    </row>
    <row r="34" spans="1:10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">
      <c r="A35" s="3"/>
      <c r="D35" s="1" t="s">
        <v>13</v>
      </c>
    </row>
    <row r="36" spans="1:10" x14ac:dyDescent="0.2">
      <c r="A36" s="3"/>
    </row>
    <row r="37" spans="1:10" x14ac:dyDescent="0.2">
      <c r="A37" s="3"/>
    </row>
    <row r="38" spans="1:10" x14ac:dyDescent="0.2">
      <c r="A38" s="3"/>
    </row>
    <row r="39" spans="1:10" x14ac:dyDescent="0.2">
      <c r="A39" s="3"/>
    </row>
    <row r="40" spans="1:10" x14ac:dyDescent="0.2">
      <c r="A40" s="3"/>
    </row>
    <row r="41" spans="1:10" x14ac:dyDescent="0.2">
      <c r="A41" s="3"/>
    </row>
    <row r="42" spans="1:10" x14ac:dyDescent="0.2">
      <c r="A42" s="3"/>
    </row>
    <row r="43" spans="1:10" x14ac:dyDescent="0.2">
      <c r="A43" s="3"/>
    </row>
    <row r="44" spans="1:10" x14ac:dyDescent="0.2">
      <c r="A44" s="3"/>
    </row>
    <row r="45" spans="1:10" x14ac:dyDescent="0.2">
      <c r="A45" s="3"/>
    </row>
    <row r="46" spans="1:10" x14ac:dyDescent="0.2">
      <c r="A46" s="3"/>
    </row>
    <row r="47" spans="1:10" x14ac:dyDescent="0.2">
      <c r="A47" s="3"/>
    </row>
    <row r="48" spans="1:10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0">
    <mergeCell ref="B29:C29"/>
    <mergeCell ref="D29:E29"/>
    <mergeCell ref="H29:I29"/>
    <mergeCell ref="A1:J1"/>
    <mergeCell ref="A2:A3"/>
    <mergeCell ref="D2:F2"/>
    <mergeCell ref="G2:G3"/>
    <mergeCell ref="H2:H3"/>
    <mergeCell ref="I2:I3"/>
    <mergeCell ref="J2:J28"/>
  </mergeCells>
  <pageMargins left="0.78740157499999996" right="0.78740157499999996" top="0.984251969" bottom="0.984251969" header="0.49212598499999999" footer="0.49212598499999999"/>
  <pageSetup paperSize="9" scale="9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2"/>
  <sheetViews>
    <sheetView view="pageBreakPreview" zoomScaleNormal="100" workbookViewId="0">
      <selection activeCell="A30" sqref="A30:D32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43191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43192</v>
      </c>
      <c r="B4" s="17">
        <v>730</v>
      </c>
      <c r="C4" s="17">
        <f>2390+778</f>
        <v>3168</v>
      </c>
      <c r="D4" s="18">
        <v>1198</v>
      </c>
      <c r="E4" s="18">
        <v>255</v>
      </c>
      <c r="F4" s="17">
        <f>SUM(D4:E4)</f>
        <v>1453</v>
      </c>
      <c r="G4" s="17">
        <v>330</v>
      </c>
      <c r="H4" s="18"/>
      <c r="I4" s="18">
        <v>2</v>
      </c>
      <c r="J4" s="18"/>
      <c r="K4" s="46"/>
    </row>
    <row r="5" spans="1:11" x14ac:dyDescent="0.2">
      <c r="A5" s="16">
        <v>43193</v>
      </c>
      <c r="B5" s="17">
        <v>730</v>
      </c>
      <c r="C5" s="17">
        <f>3030+608</f>
        <v>3638</v>
      </c>
      <c r="D5" s="18">
        <v>1263</v>
      </c>
      <c r="E5" s="18">
        <v>259</v>
      </c>
      <c r="F5" s="17">
        <f t="shared" ref="F5:F25" si="0">SUM(D5:E5)</f>
        <v>1522</v>
      </c>
      <c r="G5" s="17">
        <v>400</v>
      </c>
      <c r="H5" s="18"/>
      <c r="I5" s="18">
        <v>4</v>
      </c>
      <c r="J5" s="18"/>
      <c r="K5" s="46"/>
    </row>
    <row r="6" spans="1:11" x14ac:dyDescent="0.2">
      <c r="A6" s="16">
        <v>43194</v>
      </c>
      <c r="B6" s="17">
        <v>730</v>
      </c>
      <c r="C6" s="17">
        <f>2350+778</f>
        <v>3128</v>
      </c>
      <c r="D6" s="18">
        <v>1297</v>
      </c>
      <c r="E6" s="18">
        <v>253</v>
      </c>
      <c r="F6" s="17">
        <f t="shared" si="0"/>
        <v>1550</v>
      </c>
      <c r="G6" s="17">
        <v>330</v>
      </c>
      <c r="H6" s="18"/>
      <c r="I6" s="18"/>
      <c r="J6" s="18"/>
      <c r="K6" s="46"/>
    </row>
    <row r="7" spans="1:11" x14ac:dyDescent="0.2">
      <c r="A7" s="16">
        <v>43195</v>
      </c>
      <c r="B7" s="17">
        <v>730</v>
      </c>
      <c r="C7" s="17">
        <f>2440+608</f>
        <v>3048</v>
      </c>
      <c r="D7" s="18">
        <v>1239</v>
      </c>
      <c r="E7" s="18">
        <v>260</v>
      </c>
      <c r="F7" s="17">
        <f t="shared" si="0"/>
        <v>1499</v>
      </c>
      <c r="G7" s="17">
        <v>385</v>
      </c>
      <c r="H7" s="18"/>
      <c r="I7" s="18"/>
      <c r="J7" s="18"/>
      <c r="K7" s="46"/>
    </row>
    <row r="8" spans="1:11" x14ac:dyDescent="0.2">
      <c r="A8" s="16">
        <v>43196</v>
      </c>
      <c r="B8" s="17">
        <v>730</v>
      </c>
      <c r="C8" s="17">
        <f>2460+778+500</f>
        <v>3738</v>
      </c>
      <c r="D8" s="18">
        <v>1510</v>
      </c>
      <c r="E8" s="18">
        <v>261</v>
      </c>
      <c r="F8" s="17">
        <f t="shared" si="0"/>
        <v>1771</v>
      </c>
      <c r="G8" s="17">
        <f>290+15</f>
        <v>305</v>
      </c>
      <c r="H8" s="18"/>
      <c r="I8" s="18">
        <v>72</v>
      </c>
      <c r="J8" s="18"/>
      <c r="K8" s="46"/>
    </row>
    <row r="9" spans="1:11" x14ac:dyDescent="0.2">
      <c r="A9" s="16">
        <v>43199</v>
      </c>
      <c r="B9" s="17">
        <v>730</v>
      </c>
      <c r="C9" s="17">
        <f>2295+768</f>
        <v>3063</v>
      </c>
      <c r="D9" s="18">
        <f>1187+49</f>
        <v>1236</v>
      </c>
      <c r="E9" s="18">
        <v>255</v>
      </c>
      <c r="F9" s="17">
        <f t="shared" si="0"/>
        <v>1491</v>
      </c>
      <c r="G9" s="17">
        <v>440</v>
      </c>
      <c r="H9" s="18"/>
      <c r="I9" s="18">
        <f>84+9+84</f>
        <v>177</v>
      </c>
      <c r="J9" s="18"/>
      <c r="K9" s="46"/>
    </row>
    <row r="10" spans="1:11" x14ac:dyDescent="0.2">
      <c r="A10" s="16">
        <v>43200</v>
      </c>
      <c r="B10" s="17">
        <v>730</v>
      </c>
      <c r="C10" s="17">
        <f>2495+618</f>
        <v>3113</v>
      </c>
      <c r="D10" s="18">
        <v>1149</v>
      </c>
      <c r="E10" s="18">
        <v>255</v>
      </c>
      <c r="F10" s="17">
        <f t="shared" si="0"/>
        <v>1404</v>
      </c>
      <c r="G10" s="17">
        <v>430</v>
      </c>
      <c r="H10" s="18"/>
      <c r="I10" s="18">
        <v>31</v>
      </c>
      <c r="J10" s="18"/>
      <c r="K10" s="46"/>
    </row>
    <row r="11" spans="1:11" x14ac:dyDescent="0.2">
      <c r="A11" s="16">
        <v>43201</v>
      </c>
      <c r="B11" s="17">
        <v>730</v>
      </c>
      <c r="C11" s="17">
        <f>2955+648</f>
        <v>3603</v>
      </c>
      <c r="D11" s="18">
        <v>1052</v>
      </c>
      <c r="E11" s="18">
        <v>258</v>
      </c>
      <c r="F11" s="17">
        <f t="shared" si="0"/>
        <v>1310</v>
      </c>
      <c r="G11" s="17">
        <v>430</v>
      </c>
      <c r="H11" s="18"/>
      <c r="I11" s="18"/>
      <c r="J11" s="18"/>
      <c r="K11" s="46"/>
    </row>
    <row r="12" spans="1:11" x14ac:dyDescent="0.2">
      <c r="A12" s="16">
        <v>43202</v>
      </c>
      <c r="B12" s="17">
        <v>730</v>
      </c>
      <c r="C12" s="17">
        <f>2505+598</f>
        <v>3103</v>
      </c>
      <c r="D12" s="18">
        <v>1143</v>
      </c>
      <c r="E12" s="18">
        <v>258</v>
      </c>
      <c r="F12" s="17">
        <f t="shared" si="0"/>
        <v>1401</v>
      </c>
      <c r="G12" s="17">
        <f>395+10</f>
        <v>405</v>
      </c>
      <c r="H12" s="18"/>
      <c r="I12" s="18">
        <v>63</v>
      </c>
      <c r="J12" s="18"/>
      <c r="K12" s="46"/>
    </row>
    <row r="13" spans="1:11" x14ac:dyDescent="0.2">
      <c r="A13" s="16">
        <v>43203</v>
      </c>
      <c r="B13" s="17">
        <v>730</v>
      </c>
      <c r="C13" s="17">
        <f>2495+608+500</f>
        <v>3603</v>
      </c>
      <c r="D13" s="18">
        <v>1285</v>
      </c>
      <c r="E13" s="18">
        <v>258</v>
      </c>
      <c r="F13" s="17">
        <f t="shared" si="0"/>
        <v>1543</v>
      </c>
      <c r="G13" s="17">
        <f>415+15</f>
        <v>430</v>
      </c>
      <c r="H13" s="18"/>
      <c r="I13" s="21">
        <v>3</v>
      </c>
      <c r="J13" s="18"/>
      <c r="K13" s="46"/>
    </row>
    <row r="14" spans="1:11" x14ac:dyDescent="0.2">
      <c r="A14" s="16">
        <v>43206</v>
      </c>
      <c r="B14" s="17">
        <v>730</v>
      </c>
      <c r="C14" s="17">
        <f>2375+688</f>
        <v>3063</v>
      </c>
      <c r="D14" s="18">
        <f>1382+48</f>
        <v>1430</v>
      </c>
      <c r="E14" s="18">
        <v>260</v>
      </c>
      <c r="F14" s="17">
        <f t="shared" si="0"/>
        <v>1690</v>
      </c>
      <c r="G14" s="17">
        <v>290</v>
      </c>
      <c r="H14" s="18"/>
      <c r="I14" s="18">
        <v>190</v>
      </c>
      <c r="J14" s="18"/>
      <c r="K14" s="46"/>
    </row>
    <row r="15" spans="1:11" x14ac:dyDescent="0.2">
      <c r="A15" s="16">
        <v>43207</v>
      </c>
      <c r="B15" s="17">
        <v>730</v>
      </c>
      <c r="C15" s="17">
        <f>2385+588</f>
        <v>2973</v>
      </c>
      <c r="D15" s="18">
        <v>1185</v>
      </c>
      <c r="E15" s="19">
        <v>261</v>
      </c>
      <c r="F15" s="17">
        <f t="shared" si="0"/>
        <v>1446</v>
      </c>
      <c r="G15" s="20">
        <f>391+10</f>
        <v>401</v>
      </c>
      <c r="H15" s="18"/>
      <c r="I15" s="18">
        <v>31</v>
      </c>
      <c r="J15" s="18"/>
      <c r="K15" s="46"/>
    </row>
    <row r="16" spans="1:11" x14ac:dyDescent="0.2">
      <c r="A16" s="16">
        <v>43208</v>
      </c>
      <c r="B16" s="17">
        <v>730</v>
      </c>
      <c r="C16" s="17">
        <f>2435+598</f>
        <v>3033</v>
      </c>
      <c r="D16" s="18">
        <v>1397</v>
      </c>
      <c r="E16" s="18">
        <v>262</v>
      </c>
      <c r="F16" s="17">
        <f t="shared" si="0"/>
        <v>1659</v>
      </c>
      <c r="G16" s="17">
        <v>363</v>
      </c>
      <c r="H16" s="18"/>
      <c r="I16" s="21"/>
      <c r="J16" s="18"/>
      <c r="K16" s="46"/>
    </row>
    <row r="17" spans="1:11" x14ac:dyDescent="0.2">
      <c r="A17" s="16">
        <v>43209</v>
      </c>
      <c r="B17" s="17">
        <v>730</v>
      </c>
      <c r="C17" s="17">
        <f>3405+518</f>
        <v>3923</v>
      </c>
      <c r="D17" s="18">
        <v>1191</v>
      </c>
      <c r="E17" s="18">
        <v>259</v>
      </c>
      <c r="F17" s="17">
        <f t="shared" si="0"/>
        <v>1450</v>
      </c>
      <c r="G17" s="17">
        <v>341</v>
      </c>
      <c r="H17" s="18"/>
      <c r="I17" s="21">
        <v>28</v>
      </c>
      <c r="J17" s="18"/>
      <c r="K17" s="46"/>
    </row>
    <row r="18" spans="1:11" x14ac:dyDescent="0.2">
      <c r="A18" s="16">
        <v>43210</v>
      </c>
      <c r="B18" s="17">
        <v>730</v>
      </c>
      <c r="C18" s="17">
        <f>2155+828</f>
        <v>2983</v>
      </c>
      <c r="D18" s="18">
        <v>1257</v>
      </c>
      <c r="E18" s="18">
        <v>257</v>
      </c>
      <c r="F18" s="17">
        <f t="shared" si="0"/>
        <v>1514</v>
      </c>
      <c r="G18" s="17">
        <f>390+15</f>
        <v>405</v>
      </c>
      <c r="H18" s="18"/>
      <c r="I18" s="18">
        <v>49</v>
      </c>
      <c r="J18" s="18"/>
      <c r="K18" s="46"/>
    </row>
    <row r="19" spans="1:11" x14ac:dyDescent="0.2">
      <c r="A19" s="16">
        <v>43213</v>
      </c>
      <c r="B19" s="17">
        <v>730</v>
      </c>
      <c r="C19" s="17">
        <f>2435+688</f>
        <v>3123</v>
      </c>
      <c r="D19" s="18">
        <v>1417</v>
      </c>
      <c r="E19" s="18">
        <v>256</v>
      </c>
      <c r="F19" s="17">
        <f t="shared" si="0"/>
        <v>1673</v>
      </c>
      <c r="G19" s="17">
        <v>450</v>
      </c>
      <c r="H19" s="18"/>
      <c r="I19" s="18">
        <v>19</v>
      </c>
      <c r="J19" s="18"/>
      <c r="K19" s="46"/>
    </row>
    <row r="20" spans="1:11" x14ac:dyDescent="0.2">
      <c r="A20" s="16">
        <v>43214</v>
      </c>
      <c r="B20" s="17">
        <v>730</v>
      </c>
      <c r="C20" s="17">
        <f>2385+588</f>
        <v>2973</v>
      </c>
      <c r="D20" s="18">
        <v>1437</v>
      </c>
      <c r="E20" s="18">
        <v>261</v>
      </c>
      <c r="F20" s="17">
        <f t="shared" si="0"/>
        <v>1698</v>
      </c>
      <c r="G20" s="17">
        <f>421+12</f>
        <v>433</v>
      </c>
      <c r="H20" s="18"/>
      <c r="I20" s="18"/>
      <c r="J20" s="18"/>
      <c r="K20" s="46"/>
    </row>
    <row r="21" spans="1:11" x14ac:dyDescent="0.2">
      <c r="A21" s="16">
        <v>43215</v>
      </c>
      <c r="B21" s="17">
        <v>730</v>
      </c>
      <c r="C21" s="17">
        <f>2445+598</f>
        <v>3043</v>
      </c>
      <c r="D21" s="18">
        <v>1463</v>
      </c>
      <c r="E21" s="18">
        <v>258</v>
      </c>
      <c r="F21" s="17">
        <f t="shared" si="0"/>
        <v>1721</v>
      </c>
      <c r="G21" s="17">
        <f>341+12</f>
        <v>353</v>
      </c>
      <c r="H21" s="18"/>
      <c r="I21" s="18"/>
      <c r="J21" s="18"/>
      <c r="K21" s="46"/>
    </row>
    <row r="22" spans="1:11" x14ac:dyDescent="0.2">
      <c r="A22" s="16">
        <v>43216</v>
      </c>
      <c r="B22" s="17">
        <v>730</v>
      </c>
      <c r="C22" s="17">
        <f>3425+518</f>
        <v>3943</v>
      </c>
      <c r="D22" s="18">
        <v>1481</v>
      </c>
      <c r="E22" s="18">
        <v>260</v>
      </c>
      <c r="F22" s="17">
        <f t="shared" si="0"/>
        <v>1741</v>
      </c>
      <c r="G22" s="17">
        <v>468</v>
      </c>
      <c r="H22" s="18"/>
      <c r="I22" s="21">
        <v>15</v>
      </c>
      <c r="J22" s="18"/>
      <c r="K22" s="46"/>
    </row>
    <row r="23" spans="1:11" x14ac:dyDescent="0.2">
      <c r="A23" s="16">
        <v>43217</v>
      </c>
      <c r="B23" s="17">
        <v>730</v>
      </c>
      <c r="C23" s="17">
        <f>2365+708+500</f>
        <v>3573</v>
      </c>
      <c r="D23" s="18">
        <v>1420</v>
      </c>
      <c r="E23" s="18">
        <v>258</v>
      </c>
      <c r="F23" s="17">
        <f t="shared" si="0"/>
        <v>1678</v>
      </c>
      <c r="G23" s="17">
        <v>415</v>
      </c>
      <c r="H23" s="18"/>
      <c r="I23" s="18"/>
      <c r="J23" s="18"/>
      <c r="K23" s="46"/>
    </row>
    <row r="24" spans="1:11" x14ac:dyDescent="0.2">
      <c r="A24" s="16"/>
      <c r="B24" s="17"/>
      <c r="C24" s="17"/>
      <c r="D24" s="18"/>
      <c r="E24" s="18"/>
      <c r="F24" s="17">
        <f t="shared" si="0"/>
        <v>0</v>
      </c>
      <c r="G24" s="17"/>
      <c r="H24" s="18"/>
      <c r="I24" s="18"/>
      <c r="J24" s="18"/>
      <c r="K24" s="46"/>
    </row>
    <row r="25" spans="1:11" x14ac:dyDescent="0.2">
      <c r="A25" s="16"/>
      <c r="B25" s="17"/>
      <c r="C25" s="17"/>
      <c r="D25" s="18"/>
      <c r="E25" s="18"/>
      <c r="F25" s="17">
        <f t="shared" si="0"/>
        <v>0</v>
      </c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>
        <v>0</v>
      </c>
      <c r="G26" s="17"/>
      <c r="H26" s="18"/>
      <c r="I26" s="18"/>
      <c r="J26" s="18"/>
      <c r="K26" s="46"/>
    </row>
    <row r="27" spans="1:11" x14ac:dyDescent="0.2">
      <c r="A27" s="16" t="s">
        <v>3</v>
      </c>
      <c r="B27" s="18">
        <f>SUM(B4:B26)</f>
        <v>14600</v>
      </c>
      <c r="C27" s="18">
        <f>SUM(C4:C26)</f>
        <v>65835</v>
      </c>
      <c r="D27" s="18">
        <f>SUM(D4:D26)</f>
        <v>26050</v>
      </c>
      <c r="E27" s="18">
        <f>SUM(E4:E26)</f>
        <v>5164</v>
      </c>
      <c r="F27" s="17"/>
      <c r="G27" s="17"/>
      <c r="H27" s="17"/>
      <c r="I27" s="23">
        <f>SUM(I4:I26)</f>
        <v>684</v>
      </c>
      <c r="J27" s="17"/>
      <c r="K27" s="47"/>
    </row>
    <row r="28" spans="1:11" x14ac:dyDescent="0.2">
      <c r="A28" s="16" t="s">
        <v>3</v>
      </c>
      <c r="B28" s="48">
        <f>B27+C27</f>
        <v>80435</v>
      </c>
      <c r="C28" s="48"/>
      <c r="D28" s="48">
        <f>D27+E27</f>
        <v>31214</v>
      </c>
      <c r="E28" s="48"/>
      <c r="F28" s="17"/>
      <c r="G28" s="18">
        <f>SUM(G4:G26)</f>
        <v>7804</v>
      </c>
      <c r="H28" s="49">
        <f>H27+I27+J27</f>
        <v>684</v>
      </c>
      <c r="I28" s="49"/>
      <c r="J28" s="50"/>
      <c r="K28" s="24">
        <f>B28+D28+G28+H28</f>
        <v>120137</v>
      </c>
    </row>
    <row r="29" spans="1:11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">
      <c r="A30" s="29" t="s">
        <v>9</v>
      </c>
      <c r="B30" s="29"/>
      <c r="C30" s="12">
        <f>E27</f>
        <v>5164</v>
      </c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8</v>
      </c>
      <c r="B31" s="29"/>
      <c r="C31" s="12">
        <f>D27+G28</f>
        <v>33854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4" x14ac:dyDescent="0.2">
      <c r="A33" s="3"/>
    </row>
    <row r="34" spans="1:4" x14ac:dyDescent="0.2">
      <c r="A34" s="3"/>
      <c r="D34" s="1" t="s">
        <v>13</v>
      </c>
    </row>
    <row r="35" spans="1:4" x14ac:dyDescent="0.2">
      <c r="A35" s="3"/>
    </row>
    <row r="36" spans="1:4" x14ac:dyDescent="0.2">
      <c r="A36" s="3"/>
    </row>
    <row r="37" spans="1:4" x14ac:dyDescent="0.2">
      <c r="A37" s="3"/>
    </row>
    <row r="38" spans="1:4" x14ac:dyDescent="0.2">
      <c r="A38" s="3"/>
    </row>
    <row r="39" spans="1:4" x14ac:dyDescent="0.2">
      <c r="A39" s="3"/>
    </row>
    <row r="40" spans="1:4" x14ac:dyDescent="0.2">
      <c r="A40" s="3"/>
    </row>
    <row r="41" spans="1:4" x14ac:dyDescent="0.2">
      <c r="A41" s="3"/>
    </row>
    <row r="42" spans="1:4" x14ac:dyDescent="0.2">
      <c r="A42" s="3"/>
    </row>
    <row r="43" spans="1:4" x14ac:dyDescent="0.2">
      <c r="A43" s="3"/>
    </row>
    <row r="44" spans="1:4" x14ac:dyDescent="0.2">
      <c r="A44" s="3"/>
    </row>
    <row r="45" spans="1:4" x14ac:dyDescent="0.2">
      <c r="A45" s="3"/>
    </row>
    <row r="46" spans="1:4" x14ac:dyDescent="0.2">
      <c r="A46" s="3"/>
    </row>
    <row r="47" spans="1:4" x14ac:dyDescent="0.2">
      <c r="A47" s="3"/>
    </row>
    <row r="48" spans="1:4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</sheetData>
  <mergeCells count="13">
    <mergeCell ref="A30:B30"/>
    <mergeCell ref="A31:B31"/>
    <mergeCell ref="A1:K1"/>
    <mergeCell ref="A2:A3"/>
    <mergeCell ref="D2:F2"/>
    <mergeCell ref="G2:G3"/>
    <mergeCell ref="H2:H3"/>
    <mergeCell ref="I2:I3"/>
    <mergeCell ref="J2:J3"/>
    <mergeCell ref="K2:K27"/>
    <mergeCell ref="B28:C28"/>
    <mergeCell ref="D28:E28"/>
    <mergeCell ref="H28:J28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2"/>
  <sheetViews>
    <sheetView view="pageBreakPreview" zoomScaleNormal="100" workbookViewId="0">
      <selection activeCell="C31" sqref="C31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43221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43222</v>
      </c>
      <c r="B4" s="17">
        <v>730</v>
      </c>
      <c r="C4" s="17">
        <v>2923</v>
      </c>
      <c r="D4" s="18">
        <v>1245</v>
      </c>
      <c r="E4" s="18">
        <v>258</v>
      </c>
      <c r="F4" s="17">
        <f>SUM(D4:E4)</f>
        <v>1503</v>
      </c>
      <c r="G4" s="17">
        <v>217</v>
      </c>
      <c r="H4" s="18"/>
      <c r="I4" s="18">
        <v>29</v>
      </c>
      <c r="J4" s="18"/>
      <c r="K4" s="46"/>
    </row>
    <row r="5" spans="1:11" x14ac:dyDescent="0.2">
      <c r="A5" s="16">
        <v>43223</v>
      </c>
      <c r="B5" s="17">
        <v>730</v>
      </c>
      <c r="C5" s="17">
        <v>3103</v>
      </c>
      <c r="D5" s="18">
        <v>1232</v>
      </c>
      <c r="E5" s="18">
        <v>259</v>
      </c>
      <c r="F5" s="17">
        <f t="shared" ref="F5:F25" si="0">SUM(D5:E5)</f>
        <v>1491</v>
      </c>
      <c r="G5" s="17">
        <v>280</v>
      </c>
      <c r="H5" s="18"/>
      <c r="I5" s="18">
        <v>14</v>
      </c>
      <c r="J5" s="18"/>
      <c r="K5" s="46"/>
    </row>
    <row r="6" spans="1:11" x14ac:dyDescent="0.2">
      <c r="A6" s="16">
        <v>43224</v>
      </c>
      <c r="B6" s="17">
        <v>730</v>
      </c>
      <c r="C6" s="17">
        <v>2943</v>
      </c>
      <c r="D6" s="18">
        <v>1270</v>
      </c>
      <c r="E6" s="18">
        <v>260</v>
      </c>
      <c r="F6" s="17">
        <f t="shared" si="0"/>
        <v>1530</v>
      </c>
      <c r="G6" s="17">
        <v>255</v>
      </c>
      <c r="H6" s="18"/>
      <c r="I6" s="18">
        <v>226</v>
      </c>
      <c r="J6" s="18"/>
      <c r="K6" s="46"/>
    </row>
    <row r="7" spans="1:11" x14ac:dyDescent="0.2">
      <c r="A7" s="16">
        <v>43227</v>
      </c>
      <c r="B7" s="17">
        <v>230</v>
      </c>
      <c r="C7" s="17">
        <v>1103</v>
      </c>
      <c r="D7" s="18">
        <v>420</v>
      </c>
      <c r="E7" s="18">
        <v>0</v>
      </c>
      <c r="F7" s="17">
        <f t="shared" si="0"/>
        <v>420</v>
      </c>
      <c r="G7" s="17">
        <v>370</v>
      </c>
      <c r="H7" s="18"/>
      <c r="I7" s="18">
        <v>129</v>
      </c>
      <c r="J7" s="18"/>
      <c r="K7" s="46"/>
    </row>
    <row r="8" spans="1:11" x14ac:dyDescent="0.2">
      <c r="A8" s="16">
        <v>43228</v>
      </c>
      <c r="B8" s="17">
        <v>730</v>
      </c>
      <c r="C8" s="17">
        <v>4093</v>
      </c>
      <c r="D8" s="18">
        <v>1368</v>
      </c>
      <c r="E8" s="18">
        <v>260</v>
      </c>
      <c r="F8" s="17">
        <f t="shared" si="0"/>
        <v>1628</v>
      </c>
      <c r="G8" s="17">
        <v>512</v>
      </c>
      <c r="H8" s="18"/>
      <c r="I8" s="18">
        <v>4</v>
      </c>
      <c r="J8" s="18"/>
      <c r="K8" s="46"/>
    </row>
    <row r="9" spans="1:11" x14ac:dyDescent="0.2">
      <c r="A9" s="16">
        <v>43229</v>
      </c>
      <c r="B9" s="17">
        <v>730</v>
      </c>
      <c r="C9" s="17">
        <v>3023</v>
      </c>
      <c r="D9" s="18">
        <v>1323</v>
      </c>
      <c r="E9" s="18">
        <v>257</v>
      </c>
      <c r="F9" s="17">
        <f t="shared" si="0"/>
        <v>1580</v>
      </c>
      <c r="G9" s="17">
        <v>392</v>
      </c>
      <c r="H9" s="18"/>
      <c r="I9" s="18"/>
      <c r="J9" s="18"/>
      <c r="K9" s="46"/>
    </row>
    <row r="10" spans="1:11" x14ac:dyDescent="0.2">
      <c r="A10" s="16">
        <v>43230</v>
      </c>
      <c r="B10" s="17">
        <v>730</v>
      </c>
      <c r="C10" s="17">
        <v>2903</v>
      </c>
      <c r="D10" s="18">
        <v>1398</v>
      </c>
      <c r="E10" s="18">
        <v>255</v>
      </c>
      <c r="F10" s="17">
        <f t="shared" si="0"/>
        <v>1653</v>
      </c>
      <c r="G10" s="17">
        <v>357</v>
      </c>
      <c r="H10" s="18"/>
      <c r="I10" s="18">
        <v>50</v>
      </c>
      <c r="J10" s="18"/>
      <c r="K10" s="46"/>
    </row>
    <row r="11" spans="1:11" x14ac:dyDescent="0.2">
      <c r="A11" s="16">
        <v>43231</v>
      </c>
      <c r="B11" s="17">
        <v>730</v>
      </c>
      <c r="C11" s="17">
        <v>3383</v>
      </c>
      <c r="D11" s="18">
        <v>1371</v>
      </c>
      <c r="E11" s="18">
        <v>252</v>
      </c>
      <c r="F11" s="17">
        <f t="shared" si="0"/>
        <v>1623</v>
      </c>
      <c r="G11" s="17">
        <v>372</v>
      </c>
      <c r="H11" s="18"/>
      <c r="I11" s="18">
        <v>36</v>
      </c>
      <c r="J11" s="18"/>
      <c r="K11" s="46"/>
    </row>
    <row r="12" spans="1:11" x14ac:dyDescent="0.2">
      <c r="A12" s="16">
        <v>43234</v>
      </c>
      <c r="B12" s="17">
        <v>730</v>
      </c>
      <c r="C12" s="17">
        <v>2983</v>
      </c>
      <c r="D12" s="18">
        <v>1417</v>
      </c>
      <c r="E12" s="18">
        <v>257</v>
      </c>
      <c r="F12" s="17">
        <f t="shared" si="0"/>
        <v>1674</v>
      </c>
      <c r="G12" s="17">
        <v>381</v>
      </c>
      <c r="H12" s="18"/>
      <c r="I12" s="18">
        <v>2</v>
      </c>
      <c r="J12" s="18"/>
      <c r="K12" s="46"/>
    </row>
    <row r="13" spans="1:11" x14ac:dyDescent="0.2">
      <c r="A13" s="16">
        <v>43235</v>
      </c>
      <c r="B13" s="17">
        <v>730</v>
      </c>
      <c r="C13" s="17">
        <v>2963</v>
      </c>
      <c r="D13" s="18">
        <v>1350</v>
      </c>
      <c r="E13" s="18">
        <v>253</v>
      </c>
      <c r="F13" s="17">
        <f t="shared" si="0"/>
        <v>1603</v>
      </c>
      <c r="G13" s="17">
        <v>402</v>
      </c>
      <c r="H13" s="18"/>
      <c r="I13" s="21"/>
      <c r="J13" s="18"/>
      <c r="K13" s="46"/>
    </row>
    <row r="14" spans="1:11" x14ac:dyDescent="0.2">
      <c r="A14" s="16">
        <v>43236</v>
      </c>
      <c r="B14" s="17">
        <v>730</v>
      </c>
      <c r="C14" s="17">
        <v>2893</v>
      </c>
      <c r="D14" s="18">
        <v>1358</v>
      </c>
      <c r="E14" s="18">
        <v>259</v>
      </c>
      <c r="F14" s="17">
        <f t="shared" si="0"/>
        <v>1617</v>
      </c>
      <c r="G14" s="17">
        <v>418</v>
      </c>
      <c r="H14" s="18"/>
      <c r="I14" s="18">
        <v>103</v>
      </c>
      <c r="J14" s="18"/>
      <c r="K14" s="46"/>
    </row>
    <row r="15" spans="1:11" x14ac:dyDescent="0.2">
      <c r="A15" s="16">
        <v>43237</v>
      </c>
      <c r="B15" s="17">
        <v>730</v>
      </c>
      <c r="C15" s="17">
        <v>2903</v>
      </c>
      <c r="D15" s="18">
        <v>1540</v>
      </c>
      <c r="E15" s="19">
        <v>250</v>
      </c>
      <c r="F15" s="17">
        <f t="shared" si="0"/>
        <v>1790</v>
      </c>
      <c r="G15" s="20">
        <v>461</v>
      </c>
      <c r="H15" s="18"/>
      <c r="I15" s="18">
        <v>69</v>
      </c>
      <c r="J15" s="18"/>
      <c r="K15" s="46"/>
    </row>
    <row r="16" spans="1:11" x14ac:dyDescent="0.2">
      <c r="A16" s="16">
        <v>43238</v>
      </c>
      <c r="B16" s="17">
        <v>730</v>
      </c>
      <c r="C16" s="17">
        <v>3303</v>
      </c>
      <c r="D16" s="18">
        <v>1260</v>
      </c>
      <c r="E16" s="18">
        <v>257</v>
      </c>
      <c r="F16" s="17">
        <f t="shared" si="0"/>
        <v>1517</v>
      </c>
      <c r="G16" s="17">
        <v>394</v>
      </c>
      <c r="H16" s="18"/>
      <c r="I16" s="21">
        <v>53</v>
      </c>
      <c r="J16" s="18"/>
      <c r="K16" s="46"/>
    </row>
    <row r="17" spans="1:11" x14ac:dyDescent="0.2">
      <c r="A17" s="16">
        <v>43241</v>
      </c>
      <c r="B17" s="17">
        <v>730</v>
      </c>
      <c r="C17" s="17">
        <v>3983</v>
      </c>
      <c r="D17" s="18">
        <v>1348</v>
      </c>
      <c r="E17" s="18">
        <v>252</v>
      </c>
      <c r="F17" s="17">
        <f t="shared" si="0"/>
        <v>1600</v>
      </c>
      <c r="G17" s="17">
        <v>360</v>
      </c>
      <c r="H17" s="18"/>
      <c r="I17" s="21"/>
      <c r="J17" s="18"/>
      <c r="K17" s="46"/>
    </row>
    <row r="18" spans="1:11" x14ac:dyDescent="0.2">
      <c r="A18" s="16">
        <v>43242</v>
      </c>
      <c r="B18" s="17">
        <v>730</v>
      </c>
      <c r="C18" s="17">
        <v>3953</v>
      </c>
      <c r="D18" s="18">
        <v>1275</v>
      </c>
      <c r="E18" s="18">
        <v>258</v>
      </c>
      <c r="F18" s="17">
        <f t="shared" si="0"/>
        <v>1533</v>
      </c>
      <c r="G18" s="17">
        <v>420</v>
      </c>
      <c r="H18" s="18"/>
      <c r="I18" s="18">
        <v>30</v>
      </c>
      <c r="J18" s="18"/>
      <c r="K18" s="46"/>
    </row>
    <row r="19" spans="1:11" x14ac:dyDescent="0.2">
      <c r="A19" s="16">
        <v>43243</v>
      </c>
      <c r="B19" s="17">
        <v>730</v>
      </c>
      <c r="C19" s="17">
        <v>2953</v>
      </c>
      <c r="D19" s="18">
        <v>1271</v>
      </c>
      <c r="E19" s="18">
        <v>250</v>
      </c>
      <c r="F19" s="17">
        <f t="shared" si="0"/>
        <v>1521</v>
      </c>
      <c r="G19" s="17">
        <v>340</v>
      </c>
      <c r="H19" s="18"/>
      <c r="I19" s="18">
        <v>112</v>
      </c>
      <c r="J19" s="18"/>
      <c r="K19" s="46"/>
    </row>
    <row r="20" spans="1:11" x14ac:dyDescent="0.2">
      <c r="A20" s="16">
        <v>43244</v>
      </c>
      <c r="B20" s="17">
        <v>730</v>
      </c>
      <c r="C20" s="17">
        <v>2933</v>
      </c>
      <c r="D20" s="18">
        <v>1210</v>
      </c>
      <c r="E20" s="18">
        <v>250</v>
      </c>
      <c r="F20" s="17">
        <f t="shared" si="0"/>
        <v>1460</v>
      </c>
      <c r="G20" s="17">
        <v>342</v>
      </c>
      <c r="H20" s="18"/>
      <c r="I20" s="18">
        <v>60</v>
      </c>
      <c r="J20" s="18"/>
      <c r="K20" s="46"/>
    </row>
    <row r="21" spans="1:11" x14ac:dyDescent="0.2">
      <c r="A21" s="16">
        <v>43245</v>
      </c>
      <c r="B21" s="17">
        <v>730</v>
      </c>
      <c r="C21" s="17">
        <v>3283</v>
      </c>
      <c r="D21" s="18">
        <v>621</v>
      </c>
      <c r="E21" s="18">
        <v>69</v>
      </c>
      <c r="F21" s="17">
        <f t="shared" si="0"/>
        <v>690</v>
      </c>
      <c r="G21" s="17">
        <v>260</v>
      </c>
      <c r="H21" s="18"/>
      <c r="I21" s="18">
        <v>97</v>
      </c>
      <c r="J21" s="18"/>
      <c r="K21" s="46"/>
    </row>
    <row r="22" spans="1:11" x14ac:dyDescent="0.2">
      <c r="A22" s="16">
        <v>43248</v>
      </c>
      <c r="B22" s="17">
        <v>730</v>
      </c>
      <c r="C22" s="17">
        <f>1545+400</f>
        <v>1945</v>
      </c>
      <c r="D22" s="18">
        <v>890</v>
      </c>
      <c r="E22" s="18">
        <v>140</v>
      </c>
      <c r="F22" s="17">
        <f t="shared" si="0"/>
        <v>1030</v>
      </c>
      <c r="G22" s="17">
        <v>220</v>
      </c>
      <c r="H22" s="18"/>
      <c r="I22" s="21">
        <v>142</v>
      </c>
      <c r="J22" s="18"/>
      <c r="K22" s="46"/>
    </row>
    <row r="23" spans="1:11" x14ac:dyDescent="0.2">
      <c r="A23" s="16">
        <v>43249</v>
      </c>
      <c r="B23" s="17">
        <v>730</v>
      </c>
      <c r="C23" s="17">
        <f>1255+300</f>
        <v>1555</v>
      </c>
      <c r="D23" s="18">
        <v>650</v>
      </c>
      <c r="E23" s="18">
        <v>150</v>
      </c>
      <c r="F23" s="17">
        <f t="shared" si="0"/>
        <v>800</v>
      </c>
      <c r="G23" s="17">
        <v>140</v>
      </c>
      <c r="H23" s="18"/>
      <c r="I23" s="18"/>
      <c r="J23" s="18"/>
      <c r="K23" s="46"/>
    </row>
    <row r="24" spans="1:11" x14ac:dyDescent="0.2">
      <c r="A24" s="16">
        <v>42885</v>
      </c>
      <c r="B24" s="17">
        <v>730</v>
      </c>
      <c r="C24" s="17">
        <f>1500+300</f>
        <v>1800</v>
      </c>
      <c r="D24" s="18">
        <v>850</v>
      </c>
      <c r="E24" s="18">
        <v>100</v>
      </c>
      <c r="F24" s="17">
        <f t="shared" si="0"/>
        <v>950</v>
      </c>
      <c r="G24" s="17">
        <v>200</v>
      </c>
      <c r="H24" s="18"/>
      <c r="I24" s="18">
        <v>4</v>
      </c>
      <c r="J24" s="18"/>
      <c r="K24" s="46"/>
    </row>
    <row r="25" spans="1:11" x14ac:dyDescent="0.2">
      <c r="A25" s="16"/>
      <c r="B25" s="17"/>
      <c r="C25" s="17"/>
      <c r="D25" s="18"/>
      <c r="E25" s="18"/>
      <c r="F25" s="17">
        <f t="shared" si="0"/>
        <v>0</v>
      </c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>
        <v>0</v>
      </c>
      <c r="G26" s="17"/>
      <c r="H26" s="18"/>
      <c r="I26" s="18"/>
      <c r="J26" s="18"/>
      <c r="K26" s="46"/>
    </row>
    <row r="27" spans="1:11" x14ac:dyDescent="0.2">
      <c r="A27" s="16" t="s">
        <v>3</v>
      </c>
      <c r="B27" s="18">
        <f>SUM(B4:B26)</f>
        <v>14830</v>
      </c>
      <c r="C27" s="18">
        <f>SUM(C4:C26)</f>
        <v>60924</v>
      </c>
      <c r="D27" s="18">
        <f>SUM(D4:D26)</f>
        <v>24667</v>
      </c>
      <c r="E27" s="18">
        <f>SUM(E4:E26)</f>
        <v>4546</v>
      </c>
      <c r="F27" s="17"/>
      <c r="G27" s="17"/>
      <c r="H27" s="17">
        <f>SUM(H4:H19)</f>
        <v>0</v>
      </c>
      <c r="I27" s="23">
        <f>SUM(I4:I26)</f>
        <v>1160</v>
      </c>
      <c r="J27" s="17">
        <f>SUM(J4:J26)</f>
        <v>0</v>
      </c>
      <c r="K27" s="47"/>
    </row>
    <row r="28" spans="1:11" x14ac:dyDescent="0.2">
      <c r="A28" s="16" t="s">
        <v>3</v>
      </c>
      <c r="B28" s="48">
        <f>B27+C27</f>
        <v>75754</v>
      </c>
      <c r="C28" s="48"/>
      <c r="D28" s="48">
        <f>D27+E27</f>
        <v>29213</v>
      </c>
      <c r="E28" s="48"/>
      <c r="F28" s="17"/>
      <c r="G28" s="18">
        <f>SUM(G4:G26)</f>
        <v>7093</v>
      </c>
      <c r="H28" s="49">
        <f>H27+I27+J27</f>
        <v>1160</v>
      </c>
      <c r="I28" s="49"/>
      <c r="J28" s="50"/>
      <c r="K28" s="24">
        <f>B28+D28+G28+H28</f>
        <v>113220</v>
      </c>
    </row>
    <row r="29" spans="1:11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">
      <c r="A30" s="27" t="s">
        <v>9</v>
      </c>
      <c r="B30" s="27"/>
      <c r="C30" s="12">
        <f>E27</f>
        <v>4546</v>
      </c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7" t="s">
        <v>8</v>
      </c>
      <c r="B31" s="27"/>
      <c r="C31" s="12">
        <f>D27+G28</f>
        <v>31760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11"/>
      <c r="B34" s="12"/>
      <c r="C34" s="12"/>
      <c r="D34" s="12" t="s">
        <v>13</v>
      </c>
      <c r="E34" s="12"/>
      <c r="F34" s="12"/>
      <c r="G34" s="12"/>
      <c r="H34" s="12"/>
      <c r="I34" s="12"/>
      <c r="J34" s="12"/>
      <c r="K34" s="12"/>
    </row>
    <row r="35" spans="1:11" x14ac:dyDescent="0.2">
      <c r="A35" s="3"/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</sheetData>
  <mergeCells count="11">
    <mergeCell ref="B28:C28"/>
    <mergeCell ref="D28:E28"/>
    <mergeCell ref="H28:J28"/>
    <mergeCell ref="A1:K1"/>
    <mergeCell ref="A2:A3"/>
    <mergeCell ref="D2:F2"/>
    <mergeCell ref="G2:G3"/>
    <mergeCell ref="H2:H3"/>
    <mergeCell ref="I2:I3"/>
    <mergeCell ref="J2:J3"/>
    <mergeCell ref="K2:K27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="120" zoomScaleNormal="100" zoomScaleSheetLayoutView="120" workbookViewId="0">
      <selection activeCell="I25" sqref="I25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43252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43255</v>
      </c>
      <c r="B4" s="17">
        <v>910</v>
      </c>
      <c r="C4" s="17">
        <v>2818</v>
      </c>
      <c r="D4" s="18">
        <v>1246</v>
      </c>
      <c r="E4" s="18">
        <v>260</v>
      </c>
      <c r="F4" s="17">
        <f>SUM(D4:E4)</f>
        <v>1506</v>
      </c>
      <c r="G4" s="17">
        <v>256</v>
      </c>
      <c r="H4" s="18"/>
      <c r="I4" s="18"/>
      <c r="J4" s="18"/>
      <c r="K4" s="46"/>
    </row>
    <row r="5" spans="1:11" x14ac:dyDescent="0.2">
      <c r="A5" s="16">
        <v>43256</v>
      </c>
      <c r="B5" s="17">
        <v>910</v>
      </c>
      <c r="C5" s="17">
        <v>2529</v>
      </c>
      <c r="D5" s="18">
        <v>1287</v>
      </c>
      <c r="E5" s="18">
        <v>261</v>
      </c>
      <c r="F5" s="17">
        <f t="shared" ref="F5:F22" si="0">SUM(D5:E5)</f>
        <v>1548</v>
      </c>
      <c r="G5" s="17">
        <v>339</v>
      </c>
      <c r="H5" s="18"/>
      <c r="I5" s="18"/>
      <c r="J5" s="18"/>
      <c r="K5" s="46"/>
    </row>
    <row r="6" spans="1:11" x14ac:dyDescent="0.2">
      <c r="A6" s="16">
        <v>43257</v>
      </c>
      <c r="B6" s="17">
        <v>910</v>
      </c>
      <c r="C6" s="17">
        <v>2691</v>
      </c>
      <c r="D6" s="18">
        <v>1308</v>
      </c>
      <c r="E6" s="19">
        <v>255</v>
      </c>
      <c r="F6" s="17">
        <f t="shared" si="0"/>
        <v>1563</v>
      </c>
      <c r="G6" s="20">
        <v>288</v>
      </c>
      <c r="H6" s="18"/>
      <c r="I6" s="18"/>
      <c r="J6" s="18"/>
      <c r="K6" s="46"/>
    </row>
    <row r="7" spans="1:11" x14ac:dyDescent="0.2">
      <c r="A7" s="16">
        <v>43258</v>
      </c>
      <c r="B7" s="17">
        <v>910</v>
      </c>
      <c r="C7" s="17">
        <v>2762</v>
      </c>
      <c r="D7" s="18">
        <v>1329</v>
      </c>
      <c r="E7" s="18">
        <v>253</v>
      </c>
      <c r="F7" s="17">
        <f t="shared" si="0"/>
        <v>1582</v>
      </c>
      <c r="G7" s="17">
        <v>360</v>
      </c>
      <c r="H7" s="18"/>
      <c r="I7" s="18"/>
      <c r="J7" s="18"/>
      <c r="K7" s="46"/>
    </row>
    <row r="8" spans="1:11" x14ac:dyDescent="0.2">
      <c r="A8" s="16">
        <v>43259</v>
      </c>
      <c r="B8" s="17">
        <v>910</v>
      </c>
      <c r="C8" s="17">
        <v>2640</v>
      </c>
      <c r="D8" s="18">
        <v>1189</v>
      </c>
      <c r="E8" s="18">
        <v>262</v>
      </c>
      <c r="F8" s="17">
        <f t="shared" si="0"/>
        <v>1451</v>
      </c>
      <c r="G8" s="17">
        <v>316</v>
      </c>
      <c r="H8" s="18"/>
      <c r="I8" s="18">
        <v>163</v>
      </c>
      <c r="J8" s="18"/>
      <c r="K8" s="46"/>
    </row>
    <row r="9" spans="1:11" x14ac:dyDescent="0.2">
      <c r="A9" s="16">
        <v>42897</v>
      </c>
      <c r="B9" s="17">
        <v>670</v>
      </c>
      <c r="C9" s="17">
        <v>2303</v>
      </c>
      <c r="D9" s="18">
        <v>1225</v>
      </c>
      <c r="E9" s="18">
        <v>260</v>
      </c>
      <c r="F9" s="17">
        <f t="shared" si="0"/>
        <v>1485</v>
      </c>
      <c r="G9" s="17">
        <v>145</v>
      </c>
      <c r="H9" s="18"/>
      <c r="I9" s="18">
        <v>60</v>
      </c>
      <c r="J9" s="18"/>
      <c r="K9" s="46"/>
    </row>
    <row r="10" spans="1:11" x14ac:dyDescent="0.2">
      <c r="A10" s="16">
        <v>42898</v>
      </c>
      <c r="B10" s="17">
        <v>730</v>
      </c>
      <c r="C10" s="17">
        <v>2193</v>
      </c>
      <c r="D10" s="18">
        <v>1303</v>
      </c>
      <c r="E10" s="18">
        <v>258</v>
      </c>
      <c r="F10" s="17">
        <f t="shared" si="0"/>
        <v>1561</v>
      </c>
      <c r="G10" s="17">
        <v>145</v>
      </c>
      <c r="H10" s="18"/>
      <c r="I10" s="18">
        <v>30</v>
      </c>
      <c r="J10" s="18"/>
      <c r="K10" s="46"/>
    </row>
    <row r="11" spans="1:11" x14ac:dyDescent="0.2">
      <c r="A11" s="16">
        <v>42899</v>
      </c>
      <c r="B11" s="17">
        <v>730</v>
      </c>
      <c r="C11" s="17">
        <v>2193</v>
      </c>
      <c r="D11" s="18">
        <v>1225</v>
      </c>
      <c r="E11" s="18">
        <v>259</v>
      </c>
      <c r="F11" s="17">
        <f t="shared" si="0"/>
        <v>1484</v>
      </c>
      <c r="G11" s="17">
        <v>145</v>
      </c>
      <c r="H11" s="18"/>
      <c r="I11" s="18">
        <v>37</v>
      </c>
      <c r="J11" s="18"/>
      <c r="K11" s="46"/>
    </row>
    <row r="12" spans="1:11" x14ac:dyDescent="0.2">
      <c r="A12" s="16">
        <v>42900</v>
      </c>
      <c r="B12" s="17">
        <v>730</v>
      </c>
      <c r="C12" s="17">
        <v>2213</v>
      </c>
      <c r="D12" s="18">
        <v>1070</v>
      </c>
      <c r="E12" s="18">
        <v>257</v>
      </c>
      <c r="F12" s="17">
        <f t="shared" si="0"/>
        <v>1327</v>
      </c>
      <c r="G12" s="17">
        <f>65+11</f>
        <v>76</v>
      </c>
      <c r="H12" s="18"/>
      <c r="I12" s="18"/>
      <c r="J12" s="18"/>
      <c r="K12" s="46"/>
    </row>
    <row r="13" spans="1:11" x14ac:dyDescent="0.2">
      <c r="A13" s="16">
        <v>42901</v>
      </c>
      <c r="B13" s="17">
        <v>730</v>
      </c>
      <c r="C13" s="17">
        <v>2223</v>
      </c>
      <c r="D13" s="18">
        <f>950+39</f>
        <v>989</v>
      </c>
      <c r="E13" s="18">
        <v>258</v>
      </c>
      <c r="F13" s="17">
        <f t="shared" si="0"/>
        <v>1247</v>
      </c>
      <c r="G13" s="17">
        <v>74</v>
      </c>
      <c r="H13" s="18"/>
      <c r="I13" s="18">
        <v>15</v>
      </c>
      <c r="J13" s="18"/>
      <c r="K13" s="46"/>
    </row>
    <row r="14" spans="1:11" x14ac:dyDescent="0.2">
      <c r="A14" s="16">
        <v>43269</v>
      </c>
      <c r="B14" s="17">
        <v>570</v>
      </c>
      <c r="C14" s="17">
        <v>2063</v>
      </c>
      <c r="D14" s="18">
        <v>975</v>
      </c>
      <c r="E14" s="18">
        <v>261</v>
      </c>
      <c r="F14" s="17">
        <f t="shared" si="0"/>
        <v>1236</v>
      </c>
      <c r="G14" s="17">
        <v>65</v>
      </c>
      <c r="H14" s="18"/>
      <c r="I14" s="21">
        <v>119</v>
      </c>
      <c r="J14" s="18"/>
      <c r="K14" s="46"/>
    </row>
    <row r="15" spans="1:11" x14ac:dyDescent="0.2">
      <c r="A15" s="16">
        <v>43270</v>
      </c>
      <c r="B15" s="17">
        <v>570</v>
      </c>
      <c r="C15" s="17">
        <v>2213</v>
      </c>
      <c r="D15" s="18">
        <v>1046</v>
      </c>
      <c r="E15" s="18">
        <v>262</v>
      </c>
      <c r="F15" s="17">
        <f t="shared" si="0"/>
        <v>1308</v>
      </c>
      <c r="G15" s="17">
        <v>66</v>
      </c>
      <c r="H15" s="18"/>
      <c r="I15" s="18">
        <v>80</v>
      </c>
      <c r="J15" s="18"/>
      <c r="K15" s="46"/>
    </row>
    <row r="16" spans="1:11" x14ac:dyDescent="0.2">
      <c r="A16" s="16">
        <v>43271</v>
      </c>
      <c r="B16" s="17">
        <v>570</v>
      </c>
      <c r="C16" s="17">
        <v>2213</v>
      </c>
      <c r="D16" s="18">
        <v>1055</v>
      </c>
      <c r="E16" s="19">
        <v>261</v>
      </c>
      <c r="F16" s="17">
        <f t="shared" si="0"/>
        <v>1316</v>
      </c>
      <c r="G16" s="20">
        <v>62</v>
      </c>
      <c r="H16" s="18"/>
      <c r="I16" s="18">
        <v>7</v>
      </c>
      <c r="J16" s="18"/>
      <c r="K16" s="46"/>
    </row>
    <row r="17" spans="1:11" x14ac:dyDescent="0.2">
      <c r="A17" s="16">
        <v>43272</v>
      </c>
      <c r="B17" s="17">
        <v>730</v>
      </c>
      <c r="C17" s="17">
        <v>1523</v>
      </c>
      <c r="D17" s="18">
        <f>230+263+693</f>
        <v>1186</v>
      </c>
      <c r="E17" s="18">
        <v>260</v>
      </c>
      <c r="F17" s="17">
        <f t="shared" si="0"/>
        <v>1446</v>
      </c>
      <c r="G17" s="17">
        <f>49+18</f>
        <v>67</v>
      </c>
      <c r="H17" s="18"/>
      <c r="I17" s="21">
        <v>50</v>
      </c>
      <c r="J17" s="18"/>
      <c r="K17" s="46"/>
    </row>
    <row r="18" spans="1:11" x14ac:dyDescent="0.2">
      <c r="A18" s="16">
        <v>43273</v>
      </c>
      <c r="B18" s="17">
        <v>150</v>
      </c>
      <c r="C18" s="17">
        <v>733</v>
      </c>
      <c r="D18" s="18">
        <v>900</v>
      </c>
      <c r="E18" s="18">
        <v>0</v>
      </c>
      <c r="F18" s="17">
        <f t="shared" si="0"/>
        <v>900</v>
      </c>
      <c r="G18" s="17">
        <v>64</v>
      </c>
      <c r="H18" s="18"/>
      <c r="I18" s="21">
        <v>24</v>
      </c>
      <c r="J18" s="18"/>
      <c r="K18" s="46"/>
    </row>
    <row r="19" spans="1:11" x14ac:dyDescent="0.2">
      <c r="A19" s="16">
        <v>43276</v>
      </c>
      <c r="B19" s="17">
        <v>570</v>
      </c>
      <c r="C19" s="17">
        <v>1373</v>
      </c>
      <c r="D19" s="18">
        <v>1137</v>
      </c>
      <c r="E19" s="18">
        <v>260</v>
      </c>
      <c r="F19" s="17">
        <f t="shared" si="0"/>
        <v>1397</v>
      </c>
      <c r="G19" s="17">
        <v>56</v>
      </c>
      <c r="H19" s="18"/>
      <c r="I19" s="18">
        <f>25+50</f>
        <v>75</v>
      </c>
      <c r="J19" s="18">
        <v>2400</v>
      </c>
      <c r="K19" s="46"/>
    </row>
    <row r="20" spans="1:11" x14ac:dyDescent="0.2">
      <c r="A20" s="16">
        <v>43277</v>
      </c>
      <c r="B20" s="17">
        <v>570</v>
      </c>
      <c r="C20" s="17">
        <v>2443</v>
      </c>
      <c r="D20" s="18">
        <v>1153</v>
      </c>
      <c r="E20" s="18">
        <v>260</v>
      </c>
      <c r="F20" s="17">
        <f t="shared" si="0"/>
        <v>1413</v>
      </c>
      <c r="G20" s="17">
        <v>64</v>
      </c>
      <c r="H20" s="18"/>
      <c r="I20" s="18">
        <v>90</v>
      </c>
      <c r="J20" s="18"/>
      <c r="K20" s="46"/>
    </row>
    <row r="21" spans="1:11" x14ac:dyDescent="0.2">
      <c r="A21" s="16">
        <v>43278</v>
      </c>
      <c r="B21" s="17">
        <v>570</v>
      </c>
      <c r="C21" s="17">
        <v>2243</v>
      </c>
      <c r="D21" s="18">
        <v>360</v>
      </c>
      <c r="E21" s="18">
        <v>258</v>
      </c>
      <c r="F21" s="17">
        <f t="shared" si="0"/>
        <v>618</v>
      </c>
      <c r="G21" s="17">
        <v>65</v>
      </c>
      <c r="H21" s="18"/>
      <c r="I21" s="18"/>
      <c r="J21" s="18"/>
      <c r="K21" s="46"/>
    </row>
    <row r="22" spans="1:11" x14ac:dyDescent="0.2">
      <c r="A22" s="16">
        <v>43279</v>
      </c>
      <c r="B22" s="17">
        <v>730</v>
      </c>
      <c r="C22" s="17">
        <v>1668</v>
      </c>
      <c r="D22" s="18">
        <v>930</v>
      </c>
      <c r="E22" s="18">
        <v>259</v>
      </c>
      <c r="F22" s="17">
        <f t="shared" si="0"/>
        <v>1189</v>
      </c>
      <c r="G22" s="17">
        <f>56+12</f>
        <v>68</v>
      </c>
      <c r="H22" s="18"/>
      <c r="I22" s="18">
        <f>12+18</f>
        <v>30</v>
      </c>
      <c r="J22" s="18"/>
      <c r="K22" s="46"/>
    </row>
    <row r="23" spans="1:11" x14ac:dyDescent="0.2">
      <c r="A23" s="16">
        <v>43280</v>
      </c>
      <c r="B23" s="17">
        <v>150</v>
      </c>
      <c r="C23" s="17">
        <v>278</v>
      </c>
      <c r="D23" s="18">
        <v>400</v>
      </c>
      <c r="E23" s="18">
        <v>0</v>
      </c>
      <c r="F23" s="17">
        <f>SUM(D23:E23)</f>
        <v>400</v>
      </c>
      <c r="G23" s="17">
        <v>0</v>
      </c>
      <c r="H23" s="18"/>
      <c r="I23" s="21">
        <v>110</v>
      </c>
      <c r="J23" s="18">
        <v>300</v>
      </c>
      <c r="K23" s="46"/>
    </row>
    <row r="24" spans="1:11" x14ac:dyDescent="0.2">
      <c r="A24" s="16"/>
      <c r="B24" s="17"/>
      <c r="C24" s="17"/>
      <c r="D24" s="18"/>
      <c r="E24" s="18"/>
      <c r="F24" s="17">
        <f>SUM(D24:E24)</f>
        <v>0</v>
      </c>
      <c r="G24" s="17"/>
      <c r="H24" s="18"/>
      <c r="I24" s="18"/>
      <c r="J24" s="18"/>
      <c r="K24" s="46"/>
    </row>
    <row r="25" spans="1:11" x14ac:dyDescent="0.2">
      <c r="A25" s="16"/>
      <c r="B25" s="17"/>
      <c r="C25" s="17"/>
      <c r="D25" s="18"/>
      <c r="E25" s="18"/>
      <c r="F25" s="17">
        <f>SUM(D25:E25)</f>
        <v>0</v>
      </c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>
        <f>SUM(D26:E26)</f>
        <v>0</v>
      </c>
      <c r="G26" s="17"/>
      <c r="H26" s="18"/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>
        <v>0</v>
      </c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13320</v>
      </c>
      <c r="C28" s="18">
        <f>SUM(C4:C27)</f>
        <v>41315</v>
      </c>
      <c r="D28" s="18">
        <f>SUM(D4:D27)</f>
        <v>21313</v>
      </c>
      <c r="E28" s="18">
        <f>SUM(E4:E27)</f>
        <v>4664</v>
      </c>
      <c r="F28" s="17"/>
      <c r="G28" s="17"/>
      <c r="H28" s="17">
        <f>SUM(H4:H20)</f>
        <v>0</v>
      </c>
      <c r="I28" s="23">
        <f>SUM(I4:I26)</f>
        <v>890</v>
      </c>
      <c r="J28" s="17">
        <f>SUM(J4:J27)</f>
        <v>2700</v>
      </c>
      <c r="K28" s="47"/>
    </row>
    <row r="29" spans="1:11" x14ac:dyDescent="0.2">
      <c r="A29" s="16" t="s">
        <v>3</v>
      </c>
      <c r="B29" s="48">
        <f>B28+C28</f>
        <v>54635</v>
      </c>
      <c r="C29" s="48"/>
      <c r="D29" s="48">
        <f>D28+E28</f>
        <v>25977</v>
      </c>
      <c r="E29" s="48"/>
      <c r="F29" s="17">
        <f>SUM(F4:F28)</f>
        <v>25977</v>
      </c>
      <c r="G29" s="18">
        <f>SUM(G4:G27)</f>
        <v>2721</v>
      </c>
      <c r="H29" s="49">
        <f>H28+I28+J28</f>
        <v>3590</v>
      </c>
      <c r="I29" s="49"/>
      <c r="J29" s="50"/>
      <c r="K29" s="24">
        <f>B29+D29+G29+H29</f>
        <v>86923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4664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24034</v>
      </c>
      <c r="D32" s="12"/>
      <c r="E32" s="12"/>
      <c r="F32" s="12"/>
      <c r="G32" s="12"/>
      <c r="H32" s="12"/>
      <c r="I32" s="12"/>
      <c r="J32" s="12"/>
      <c r="K32" s="12"/>
    </row>
    <row r="33" spans="1:4" x14ac:dyDescent="0.2">
      <c r="A33" s="3"/>
    </row>
    <row r="34" spans="1:4" x14ac:dyDescent="0.2">
      <c r="A34" s="3"/>
    </row>
    <row r="35" spans="1:4" x14ac:dyDescent="0.2">
      <c r="A35" s="3"/>
      <c r="D35" s="1" t="s">
        <v>13</v>
      </c>
    </row>
    <row r="36" spans="1:4" x14ac:dyDescent="0.2">
      <c r="A36" s="3"/>
    </row>
    <row r="37" spans="1:4" x14ac:dyDescent="0.2">
      <c r="A37" s="3"/>
    </row>
    <row r="38" spans="1:4" x14ac:dyDescent="0.2">
      <c r="A38" s="3"/>
    </row>
    <row r="39" spans="1:4" x14ac:dyDescent="0.2">
      <c r="A39" s="3"/>
    </row>
    <row r="40" spans="1:4" x14ac:dyDescent="0.2">
      <c r="A40" s="3"/>
    </row>
    <row r="41" spans="1:4" x14ac:dyDescent="0.2">
      <c r="A41" s="3"/>
    </row>
    <row r="42" spans="1:4" x14ac:dyDescent="0.2">
      <c r="A42" s="3"/>
    </row>
    <row r="43" spans="1:4" x14ac:dyDescent="0.2">
      <c r="A43" s="3"/>
    </row>
    <row r="44" spans="1:4" x14ac:dyDescent="0.2">
      <c r="A44" s="3"/>
    </row>
    <row r="45" spans="1:4" x14ac:dyDescent="0.2">
      <c r="A45" s="3"/>
    </row>
    <row r="46" spans="1:4" x14ac:dyDescent="0.2">
      <c r="A46" s="3"/>
    </row>
    <row r="47" spans="1:4" x14ac:dyDescent="0.2">
      <c r="A47" s="3"/>
    </row>
    <row r="48" spans="1:4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31:B31"/>
    <mergeCell ref="A32:B32"/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Normal="100" workbookViewId="0">
      <selection activeCell="G13" sqref="G13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43282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43283</v>
      </c>
      <c r="B4" s="17">
        <v>175</v>
      </c>
      <c r="C4" s="17">
        <v>70</v>
      </c>
      <c r="D4" s="18">
        <v>260</v>
      </c>
      <c r="E4" s="18">
        <v>0</v>
      </c>
      <c r="F4" s="17">
        <f t="shared" ref="F4:F22" si="0">SUM(D4:E4)</f>
        <v>260</v>
      </c>
      <c r="G4" s="17">
        <v>0</v>
      </c>
      <c r="H4" s="18"/>
      <c r="I4" s="18">
        <v>4</v>
      </c>
      <c r="J4" s="18"/>
      <c r="K4" s="46"/>
    </row>
    <row r="5" spans="1:11" x14ac:dyDescent="0.2">
      <c r="A5" s="16">
        <v>43284</v>
      </c>
      <c r="B5" s="17">
        <v>175</v>
      </c>
      <c r="C5" s="17">
        <v>80</v>
      </c>
      <c r="D5" s="18">
        <v>260</v>
      </c>
      <c r="E5" s="18">
        <v>0</v>
      </c>
      <c r="F5" s="17">
        <f t="shared" si="0"/>
        <v>260</v>
      </c>
      <c r="G5" s="17">
        <v>0</v>
      </c>
      <c r="H5" s="18"/>
      <c r="I5" s="18">
        <v>4</v>
      </c>
      <c r="J5" s="18"/>
      <c r="K5" s="46"/>
    </row>
    <row r="6" spans="1:11" x14ac:dyDescent="0.2">
      <c r="A6" s="16">
        <v>43285</v>
      </c>
      <c r="B6" s="17">
        <v>175</v>
      </c>
      <c r="C6" s="17">
        <v>70</v>
      </c>
      <c r="D6" s="18">
        <v>274</v>
      </c>
      <c r="E6" s="19">
        <v>0</v>
      </c>
      <c r="F6" s="17">
        <f t="shared" si="0"/>
        <v>274</v>
      </c>
      <c r="G6" s="20">
        <v>0</v>
      </c>
      <c r="H6" s="18"/>
      <c r="I6" s="18">
        <v>4</v>
      </c>
      <c r="J6" s="18"/>
      <c r="K6" s="46"/>
    </row>
    <row r="7" spans="1:11" x14ac:dyDescent="0.2">
      <c r="A7" s="16">
        <v>43286</v>
      </c>
      <c r="B7" s="17">
        <v>175</v>
      </c>
      <c r="C7" s="17">
        <v>80</v>
      </c>
      <c r="D7" s="18">
        <v>214</v>
      </c>
      <c r="E7" s="18">
        <v>0</v>
      </c>
      <c r="F7" s="17">
        <f t="shared" si="0"/>
        <v>214</v>
      </c>
      <c r="G7" s="17">
        <v>0</v>
      </c>
      <c r="H7" s="18"/>
      <c r="I7" s="18">
        <v>4</v>
      </c>
      <c r="J7" s="18"/>
      <c r="K7" s="46"/>
    </row>
    <row r="8" spans="1:11" x14ac:dyDescent="0.2">
      <c r="A8" s="16">
        <v>43287</v>
      </c>
      <c r="B8" s="17">
        <v>175</v>
      </c>
      <c r="C8" s="17">
        <v>70</v>
      </c>
      <c r="D8" s="18">
        <v>190</v>
      </c>
      <c r="E8" s="18">
        <v>0</v>
      </c>
      <c r="F8" s="17">
        <f t="shared" si="0"/>
        <v>190</v>
      </c>
      <c r="G8" s="17">
        <v>0</v>
      </c>
      <c r="H8" s="18"/>
      <c r="I8" s="18">
        <v>4</v>
      </c>
      <c r="J8" s="18"/>
      <c r="K8" s="46"/>
    </row>
    <row r="9" spans="1:11" x14ac:dyDescent="0.2">
      <c r="A9" s="16">
        <v>43291</v>
      </c>
      <c r="B9" s="17">
        <v>175</v>
      </c>
      <c r="C9" s="17">
        <v>70</v>
      </c>
      <c r="D9" s="18">
        <v>172</v>
      </c>
      <c r="E9" s="18">
        <v>0</v>
      </c>
      <c r="F9" s="17">
        <f t="shared" si="0"/>
        <v>172</v>
      </c>
      <c r="G9" s="17">
        <v>0</v>
      </c>
      <c r="H9" s="18"/>
      <c r="I9" s="18">
        <v>0</v>
      </c>
      <c r="J9" s="18"/>
      <c r="K9" s="46"/>
    </row>
    <row r="10" spans="1:11" x14ac:dyDescent="0.2">
      <c r="A10" s="16">
        <v>43292</v>
      </c>
      <c r="B10" s="17">
        <v>175</v>
      </c>
      <c r="C10" s="17">
        <v>70</v>
      </c>
      <c r="D10" s="18">
        <v>200</v>
      </c>
      <c r="E10" s="18">
        <v>0</v>
      </c>
      <c r="F10" s="17">
        <f t="shared" si="0"/>
        <v>200</v>
      </c>
      <c r="G10" s="17">
        <v>0</v>
      </c>
      <c r="H10" s="18"/>
      <c r="I10" s="18">
        <v>0</v>
      </c>
      <c r="J10" s="18"/>
      <c r="K10" s="46"/>
    </row>
    <row r="11" spans="1:11" x14ac:dyDescent="0.2">
      <c r="A11" s="16">
        <v>43293</v>
      </c>
      <c r="B11" s="17">
        <v>175</v>
      </c>
      <c r="C11" s="17">
        <v>80</v>
      </c>
      <c r="D11" s="18">
        <v>199</v>
      </c>
      <c r="E11" s="18">
        <v>0</v>
      </c>
      <c r="F11" s="17">
        <f t="shared" si="0"/>
        <v>199</v>
      </c>
      <c r="G11" s="17">
        <v>0</v>
      </c>
      <c r="H11" s="18"/>
      <c r="I11" s="18">
        <v>0</v>
      </c>
      <c r="J11" s="18"/>
      <c r="K11" s="46"/>
    </row>
    <row r="12" spans="1:11" x14ac:dyDescent="0.2">
      <c r="A12" s="16">
        <v>43294</v>
      </c>
      <c r="B12" s="17">
        <v>175</v>
      </c>
      <c r="C12" s="17">
        <v>70</v>
      </c>
      <c r="D12" s="18">
        <v>181</v>
      </c>
      <c r="E12" s="18">
        <v>0</v>
      </c>
      <c r="F12" s="17">
        <f t="shared" si="0"/>
        <v>181</v>
      </c>
      <c r="G12" s="17">
        <v>0</v>
      </c>
      <c r="H12" s="18"/>
      <c r="I12" s="18">
        <v>0</v>
      </c>
      <c r="J12" s="18"/>
      <c r="K12" s="46"/>
    </row>
    <row r="13" spans="1:11" x14ac:dyDescent="0.2">
      <c r="A13" s="16">
        <v>43297</v>
      </c>
      <c r="B13" s="17">
        <v>175</v>
      </c>
      <c r="C13" s="17">
        <v>200</v>
      </c>
      <c r="D13" s="18">
        <v>199</v>
      </c>
      <c r="E13" s="18">
        <v>0</v>
      </c>
      <c r="F13" s="17">
        <f t="shared" si="0"/>
        <v>199</v>
      </c>
      <c r="G13" s="17">
        <v>0</v>
      </c>
      <c r="H13" s="18"/>
      <c r="I13" s="18">
        <v>0</v>
      </c>
      <c r="J13" s="18"/>
      <c r="K13" s="46"/>
    </row>
    <row r="14" spans="1:11" x14ac:dyDescent="0.2">
      <c r="A14" s="16">
        <v>43298</v>
      </c>
      <c r="B14" s="17">
        <v>275</v>
      </c>
      <c r="C14" s="17">
        <v>335</v>
      </c>
      <c r="D14" s="18">
        <v>204</v>
      </c>
      <c r="E14" s="18">
        <v>0</v>
      </c>
      <c r="F14" s="17">
        <f t="shared" si="0"/>
        <v>204</v>
      </c>
      <c r="G14" s="17">
        <v>0</v>
      </c>
      <c r="H14" s="18"/>
      <c r="I14" s="21">
        <v>0</v>
      </c>
      <c r="J14" s="18"/>
      <c r="K14" s="46"/>
    </row>
    <row r="15" spans="1:11" x14ac:dyDescent="0.2">
      <c r="A15" s="16">
        <v>43299</v>
      </c>
      <c r="B15" s="17">
        <v>275</v>
      </c>
      <c r="C15" s="17">
        <v>435</v>
      </c>
      <c r="D15" s="18">
        <v>202</v>
      </c>
      <c r="E15" s="18">
        <v>0</v>
      </c>
      <c r="F15" s="17">
        <f t="shared" si="0"/>
        <v>202</v>
      </c>
      <c r="G15" s="17">
        <v>0</v>
      </c>
      <c r="H15" s="18"/>
      <c r="I15" s="18">
        <v>0</v>
      </c>
      <c r="J15" s="18"/>
      <c r="K15" s="46"/>
    </row>
    <row r="16" spans="1:11" x14ac:dyDescent="0.2">
      <c r="A16" s="16">
        <v>43300</v>
      </c>
      <c r="B16" s="17">
        <v>275</v>
      </c>
      <c r="C16" s="17">
        <v>260</v>
      </c>
      <c r="D16" s="18">
        <v>208</v>
      </c>
      <c r="E16" s="19">
        <v>0</v>
      </c>
      <c r="F16" s="17">
        <f t="shared" si="0"/>
        <v>208</v>
      </c>
      <c r="G16" s="20">
        <v>0</v>
      </c>
      <c r="H16" s="18"/>
      <c r="I16" s="18">
        <v>4</v>
      </c>
      <c r="J16" s="18"/>
      <c r="K16" s="46"/>
    </row>
    <row r="17" spans="1:11" x14ac:dyDescent="0.2">
      <c r="A17" s="16">
        <v>43301</v>
      </c>
      <c r="B17" s="17">
        <v>175</v>
      </c>
      <c r="C17" s="17">
        <v>160</v>
      </c>
      <c r="D17" s="18">
        <v>167</v>
      </c>
      <c r="E17" s="18">
        <v>0</v>
      </c>
      <c r="F17" s="17">
        <f t="shared" si="0"/>
        <v>167</v>
      </c>
      <c r="G17" s="17">
        <v>0</v>
      </c>
      <c r="H17" s="18"/>
      <c r="I17" s="21">
        <v>0</v>
      </c>
      <c r="J17" s="18"/>
      <c r="K17" s="46"/>
    </row>
    <row r="18" spans="1:11" x14ac:dyDescent="0.2">
      <c r="A18" s="16">
        <v>43304</v>
      </c>
      <c r="B18" s="17">
        <v>175</v>
      </c>
      <c r="C18" s="17">
        <v>317</v>
      </c>
      <c r="D18" s="18">
        <v>200</v>
      </c>
      <c r="E18" s="18">
        <v>0</v>
      </c>
      <c r="F18" s="17">
        <f t="shared" si="0"/>
        <v>200</v>
      </c>
      <c r="G18" s="17">
        <v>0</v>
      </c>
      <c r="H18" s="18"/>
      <c r="I18" s="21">
        <v>20</v>
      </c>
      <c r="J18" s="18"/>
      <c r="K18" s="46"/>
    </row>
    <row r="19" spans="1:11" x14ac:dyDescent="0.2">
      <c r="A19" s="16">
        <v>43305</v>
      </c>
      <c r="B19" s="17">
        <v>175</v>
      </c>
      <c r="C19" s="17">
        <v>317</v>
      </c>
      <c r="D19" s="18">
        <v>221</v>
      </c>
      <c r="E19" s="18">
        <v>0</v>
      </c>
      <c r="F19" s="17">
        <f t="shared" si="0"/>
        <v>221</v>
      </c>
      <c r="G19" s="17">
        <v>0</v>
      </c>
      <c r="H19" s="18"/>
      <c r="I19" s="18">
        <v>0</v>
      </c>
      <c r="J19" s="18"/>
      <c r="K19" s="46"/>
    </row>
    <row r="20" spans="1:11" x14ac:dyDescent="0.2">
      <c r="A20" s="16">
        <v>43306</v>
      </c>
      <c r="B20" s="17">
        <v>175</v>
      </c>
      <c r="C20" s="17">
        <v>282</v>
      </c>
      <c r="D20" s="18">
        <v>208</v>
      </c>
      <c r="E20" s="18">
        <v>0</v>
      </c>
      <c r="F20" s="17">
        <f t="shared" si="0"/>
        <v>208</v>
      </c>
      <c r="G20" s="17">
        <v>0</v>
      </c>
      <c r="H20" s="18"/>
      <c r="I20" s="18">
        <v>0</v>
      </c>
      <c r="J20" s="18"/>
      <c r="K20" s="46"/>
    </row>
    <row r="21" spans="1:11" x14ac:dyDescent="0.2">
      <c r="A21" s="16">
        <v>43307</v>
      </c>
      <c r="B21" s="17">
        <v>175</v>
      </c>
      <c r="C21" s="17">
        <v>215</v>
      </c>
      <c r="D21" s="18">
        <v>199</v>
      </c>
      <c r="E21" s="18">
        <v>0</v>
      </c>
      <c r="F21" s="17">
        <f t="shared" si="0"/>
        <v>199</v>
      </c>
      <c r="G21" s="17">
        <v>0</v>
      </c>
      <c r="H21" s="18"/>
      <c r="I21" s="18">
        <v>0</v>
      </c>
      <c r="J21" s="18"/>
      <c r="K21" s="46"/>
    </row>
    <row r="22" spans="1:11" x14ac:dyDescent="0.2">
      <c r="A22" s="16">
        <v>43308</v>
      </c>
      <c r="B22" s="17">
        <v>175</v>
      </c>
      <c r="C22" s="17">
        <v>215</v>
      </c>
      <c r="D22" s="18">
        <v>221</v>
      </c>
      <c r="E22" s="18">
        <v>0</v>
      </c>
      <c r="F22" s="17">
        <f t="shared" si="0"/>
        <v>221</v>
      </c>
      <c r="G22" s="17">
        <v>0</v>
      </c>
      <c r="H22" s="18"/>
      <c r="I22" s="18">
        <v>0</v>
      </c>
      <c r="J22" s="18"/>
      <c r="K22" s="46"/>
    </row>
    <row r="23" spans="1:11" x14ac:dyDescent="0.2">
      <c r="A23" s="16">
        <v>43311</v>
      </c>
      <c r="B23" s="17">
        <v>175</v>
      </c>
      <c r="C23" s="17">
        <v>110</v>
      </c>
      <c r="D23" s="18">
        <v>181</v>
      </c>
      <c r="E23" s="18">
        <v>0</v>
      </c>
      <c r="F23" s="17">
        <f>SUM(D23:E23)</f>
        <v>181</v>
      </c>
      <c r="G23" s="17">
        <v>0</v>
      </c>
      <c r="H23" s="18"/>
      <c r="I23" s="21">
        <v>0</v>
      </c>
      <c r="J23" s="18"/>
      <c r="K23" s="46"/>
    </row>
    <row r="24" spans="1:11" x14ac:dyDescent="0.2">
      <c r="A24" s="16">
        <v>43312</v>
      </c>
      <c r="B24" s="17">
        <v>175</v>
      </c>
      <c r="C24" s="17">
        <v>70</v>
      </c>
      <c r="D24" s="18">
        <v>220</v>
      </c>
      <c r="E24" s="18">
        <v>0</v>
      </c>
      <c r="F24" s="17">
        <f>SUM(D24:E24)</f>
        <v>220</v>
      </c>
      <c r="G24" s="17">
        <v>0</v>
      </c>
      <c r="H24" s="18"/>
      <c r="I24" s="18">
        <v>0</v>
      </c>
      <c r="J24" s="18"/>
      <c r="K24" s="46"/>
    </row>
    <row r="25" spans="1:11" x14ac:dyDescent="0.2">
      <c r="A25" s="16"/>
      <c r="B25" s="17"/>
      <c r="C25" s="17"/>
      <c r="D25" s="18"/>
      <c r="E25" s="18"/>
      <c r="F25" s="17"/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/>
      <c r="G26" s="17"/>
      <c r="H26" s="18"/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/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3975</v>
      </c>
      <c r="C28" s="18">
        <f>SUM(C4:C27)</f>
        <v>3576</v>
      </c>
      <c r="D28" s="18">
        <f>SUM(D4:D27)</f>
        <v>4380</v>
      </c>
      <c r="E28" s="18">
        <f>SUM(E4:E27)</f>
        <v>0</v>
      </c>
      <c r="F28" s="17">
        <v>0</v>
      </c>
      <c r="G28" s="17"/>
      <c r="H28" s="17">
        <f>SUM(H4:H20)</f>
        <v>0</v>
      </c>
      <c r="I28" s="23">
        <f>SUM(I4:I27)</f>
        <v>44</v>
      </c>
      <c r="J28" s="17">
        <f>SUM(J4:J27)</f>
        <v>0</v>
      </c>
      <c r="K28" s="47"/>
    </row>
    <row r="29" spans="1:11" x14ac:dyDescent="0.2">
      <c r="A29" s="16" t="s">
        <v>3</v>
      </c>
      <c r="B29" s="48">
        <f>B28+C28</f>
        <v>7551</v>
      </c>
      <c r="C29" s="48"/>
      <c r="D29" s="48">
        <f>D28+E28</f>
        <v>4380</v>
      </c>
      <c r="E29" s="48"/>
      <c r="F29" s="17"/>
      <c r="G29" s="18">
        <f>SUM(G4:G27)</f>
        <v>0</v>
      </c>
      <c r="H29" s="49">
        <f>H28+I28+J28</f>
        <v>44</v>
      </c>
      <c r="I29" s="49"/>
      <c r="J29" s="50"/>
      <c r="K29" s="24">
        <f>B29+D29+G29+H29</f>
        <v>11975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0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4380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31:B31"/>
    <mergeCell ref="A32:B32"/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Normal="100" workbookViewId="0">
      <selection activeCell="J25" sqref="J25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43313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43313</v>
      </c>
      <c r="B4" s="17">
        <v>810</v>
      </c>
      <c r="C4" s="17">
        <f>2400+518</f>
        <v>2918</v>
      </c>
      <c r="D4" s="18">
        <v>1362</v>
      </c>
      <c r="E4" s="18">
        <v>260</v>
      </c>
      <c r="F4" s="17">
        <f>SUM(D4:E4)</f>
        <v>1622</v>
      </c>
      <c r="G4" s="17">
        <v>422</v>
      </c>
      <c r="H4" s="18"/>
      <c r="I4" s="18"/>
      <c r="J4" s="18"/>
      <c r="K4" s="46"/>
    </row>
    <row r="5" spans="1:11" x14ac:dyDescent="0.2">
      <c r="A5" s="16">
        <v>43314</v>
      </c>
      <c r="B5" s="17">
        <v>810</v>
      </c>
      <c r="C5" s="17">
        <f>2400+688</f>
        <v>3088</v>
      </c>
      <c r="D5" s="18">
        <v>1560</v>
      </c>
      <c r="E5" s="18">
        <v>262</v>
      </c>
      <c r="F5" s="17">
        <f t="shared" ref="F5:F22" si="0">SUM(D5:E5)</f>
        <v>1822</v>
      </c>
      <c r="G5" s="17">
        <v>426</v>
      </c>
      <c r="H5" s="18"/>
      <c r="I5" s="18">
        <v>25</v>
      </c>
      <c r="J5" s="18"/>
      <c r="K5" s="46"/>
    </row>
    <row r="6" spans="1:11" x14ac:dyDescent="0.2">
      <c r="A6" s="16">
        <v>43315</v>
      </c>
      <c r="B6" s="17">
        <v>810</v>
      </c>
      <c r="C6" s="17">
        <f>2380+688</f>
        <v>3068</v>
      </c>
      <c r="D6" s="18">
        <v>1474</v>
      </c>
      <c r="E6" s="19">
        <v>258</v>
      </c>
      <c r="F6" s="17">
        <f t="shared" si="0"/>
        <v>1732</v>
      </c>
      <c r="G6" s="20">
        <f>448+14</f>
        <v>462</v>
      </c>
      <c r="H6" s="18"/>
      <c r="I6" s="18"/>
      <c r="J6" s="18"/>
      <c r="K6" s="46"/>
    </row>
    <row r="7" spans="1:11" x14ac:dyDescent="0.2">
      <c r="A7" s="16">
        <v>43318</v>
      </c>
      <c r="B7" s="17">
        <v>730</v>
      </c>
      <c r="C7" s="17">
        <f>2140+300+300</f>
        <v>2740</v>
      </c>
      <c r="D7" s="18">
        <f>1515+75</f>
        <v>1590</v>
      </c>
      <c r="E7" s="18">
        <v>257</v>
      </c>
      <c r="F7" s="17">
        <f t="shared" si="0"/>
        <v>1847</v>
      </c>
      <c r="G7" s="17">
        <v>497</v>
      </c>
      <c r="H7" s="18"/>
      <c r="I7" s="18">
        <f>480+65</f>
        <v>545</v>
      </c>
      <c r="J7" s="18"/>
      <c r="K7" s="46"/>
    </row>
    <row r="8" spans="1:11" x14ac:dyDescent="0.2">
      <c r="A8" s="16">
        <v>43319</v>
      </c>
      <c r="B8" s="17">
        <v>730</v>
      </c>
      <c r="C8" s="17">
        <f>2130+300</f>
        <v>2430</v>
      </c>
      <c r="D8" s="18">
        <v>1308</v>
      </c>
      <c r="E8" s="18">
        <v>260</v>
      </c>
      <c r="F8" s="17">
        <f t="shared" si="0"/>
        <v>1568</v>
      </c>
      <c r="G8" s="17">
        <f>396+10</f>
        <v>406</v>
      </c>
      <c r="H8" s="18"/>
      <c r="I8" s="18">
        <v>7</v>
      </c>
      <c r="J8" s="18"/>
      <c r="K8" s="46"/>
    </row>
    <row r="9" spans="1:11" x14ac:dyDescent="0.2">
      <c r="A9" s="16">
        <v>43320</v>
      </c>
      <c r="B9" s="17">
        <v>730</v>
      </c>
      <c r="C9" s="17">
        <f>2145+300+488</f>
        <v>2933</v>
      </c>
      <c r="D9" s="18">
        <v>1593</v>
      </c>
      <c r="E9" s="18">
        <v>261</v>
      </c>
      <c r="F9" s="17">
        <f t="shared" si="0"/>
        <v>1854</v>
      </c>
      <c r="G9" s="17">
        <v>426</v>
      </c>
      <c r="H9" s="18"/>
      <c r="I9" s="18"/>
      <c r="J9" s="18"/>
      <c r="K9" s="46"/>
    </row>
    <row r="10" spans="1:11" x14ac:dyDescent="0.2">
      <c r="A10" s="16">
        <v>43321</v>
      </c>
      <c r="B10" s="17">
        <v>730</v>
      </c>
      <c r="C10" s="17">
        <f>2960+600+588</f>
        <v>4148</v>
      </c>
      <c r="D10" s="18">
        <v>1614</v>
      </c>
      <c r="E10" s="18">
        <v>262</v>
      </c>
      <c r="F10" s="17">
        <f t="shared" si="0"/>
        <v>1876</v>
      </c>
      <c r="G10" s="17">
        <v>541</v>
      </c>
      <c r="H10" s="18"/>
      <c r="I10" s="18">
        <v>20</v>
      </c>
      <c r="J10" s="18"/>
      <c r="K10" s="46"/>
    </row>
    <row r="11" spans="1:11" x14ac:dyDescent="0.2">
      <c r="A11" s="16">
        <v>43322</v>
      </c>
      <c r="B11" s="17">
        <v>730</v>
      </c>
      <c r="C11" s="17">
        <f>2300+300+488+500</f>
        <v>3588</v>
      </c>
      <c r="D11" s="18">
        <v>1500</v>
      </c>
      <c r="E11" s="18">
        <v>257</v>
      </c>
      <c r="F11" s="17">
        <f t="shared" si="0"/>
        <v>1757</v>
      </c>
      <c r="G11" s="17">
        <v>425</v>
      </c>
      <c r="H11" s="18"/>
      <c r="I11" s="18">
        <v>600</v>
      </c>
      <c r="J11" s="18"/>
      <c r="K11" s="46"/>
    </row>
    <row r="12" spans="1:11" x14ac:dyDescent="0.2">
      <c r="A12" s="16">
        <v>42960</v>
      </c>
      <c r="B12" s="17">
        <v>730</v>
      </c>
      <c r="C12" s="17">
        <f>2480+538</f>
        <v>3018</v>
      </c>
      <c r="D12" s="18">
        <f>1439+70</f>
        <v>1509</v>
      </c>
      <c r="E12" s="18">
        <v>258</v>
      </c>
      <c r="F12" s="17">
        <f t="shared" si="0"/>
        <v>1767</v>
      </c>
      <c r="G12" s="17">
        <v>510</v>
      </c>
      <c r="H12" s="18"/>
      <c r="I12" s="18">
        <v>39</v>
      </c>
      <c r="J12" s="18"/>
      <c r="K12" s="46"/>
    </row>
    <row r="13" spans="1:11" x14ac:dyDescent="0.2">
      <c r="A13" s="16">
        <v>42961</v>
      </c>
      <c r="B13" s="17">
        <v>730</v>
      </c>
      <c r="C13" s="17">
        <f>2400+530</f>
        <v>2930</v>
      </c>
      <c r="D13" s="18">
        <v>1675</v>
      </c>
      <c r="E13" s="18">
        <v>259</v>
      </c>
      <c r="F13" s="17">
        <f t="shared" si="0"/>
        <v>1934</v>
      </c>
      <c r="G13" s="17">
        <v>490</v>
      </c>
      <c r="H13" s="18"/>
      <c r="I13" s="18">
        <v>101</v>
      </c>
      <c r="J13" s="18"/>
      <c r="K13" s="46"/>
    </row>
    <row r="14" spans="1:11" x14ac:dyDescent="0.2">
      <c r="A14" s="16">
        <v>42962</v>
      </c>
      <c r="B14" s="17">
        <v>730</v>
      </c>
      <c r="C14" s="17">
        <f>2400+538</f>
        <v>2938</v>
      </c>
      <c r="D14" s="18">
        <v>1320</v>
      </c>
      <c r="E14" s="18">
        <v>256</v>
      </c>
      <c r="F14" s="17">
        <f t="shared" si="0"/>
        <v>1576</v>
      </c>
      <c r="G14" s="17">
        <v>495</v>
      </c>
      <c r="H14" s="18"/>
      <c r="I14" s="21"/>
      <c r="J14" s="18"/>
      <c r="K14" s="46"/>
    </row>
    <row r="15" spans="1:11" x14ac:dyDescent="0.2">
      <c r="A15" s="16">
        <v>42963</v>
      </c>
      <c r="B15" s="17">
        <v>730</v>
      </c>
      <c r="C15" s="17">
        <f>3250+488</f>
        <v>3738</v>
      </c>
      <c r="D15" s="18">
        <v>1340</v>
      </c>
      <c r="E15" s="18">
        <v>255</v>
      </c>
      <c r="F15" s="17">
        <f t="shared" si="0"/>
        <v>1595</v>
      </c>
      <c r="G15" s="17">
        <v>425</v>
      </c>
      <c r="H15" s="18"/>
      <c r="I15" s="18"/>
      <c r="J15" s="18"/>
      <c r="K15" s="46"/>
    </row>
    <row r="16" spans="1:11" x14ac:dyDescent="0.2">
      <c r="A16" s="16">
        <v>42964</v>
      </c>
      <c r="B16" s="17">
        <v>730</v>
      </c>
      <c r="C16" s="17">
        <f>2390+608+600</f>
        <v>3598</v>
      </c>
      <c r="D16" s="18">
        <f>385+685+270</f>
        <v>1340</v>
      </c>
      <c r="E16" s="19">
        <v>260</v>
      </c>
      <c r="F16" s="17">
        <f t="shared" si="0"/>
        <v>1600</v>
      </c>
      <c r="G16" s="20">
        <v>385</v>
      </c>
      <c r="H16" s="18"/>
      <c r="I16" s="18">
        <v>70</v>
      </c>
      <c r="J16" s="18"/>
      <c r="K16" s="46"/>
    </row>
    <row r="17" spans="1:11" x14ac:dyDescent="0.2">
      <c r="A17" s="16">
        <v>42968</v>
      </c>
      <c r="B17" s="17">
        <v>730</v>
      </c>
      <c r="C17" s="17">
        <f>2260+400</f>
        <v>2660</v>
      </c>
      <c r="D17" s="18">
        <v>1680</v>
      </c>
      <c r="E17" s="18">
        <v>261</v>
      </c>
      <c r="F17" s="17">
        <f t="shared" si="0"/>
        <v>1941</v>
      </c>
      <c r="G17" s="17">
        <v>544</v>
      </c>
      <c r="H17" s="18"/>
      <c r="I17" s="21">
        <v>28</v>
      </c>
      <c r="J17" s="18"/>
      <c r="K17" s="46"/>
    </row>
    <row r="18" spans="1:11" x14ac:dyDescent="0.2">
      <c r="A18" s="16">
        <v>42969</v>
      </c>
      <c r="B18" s="17">
        <v>730</v>
      </c>
      <c r="C18" s="17">
        <f>2400+400</f>
        <v>2800</v>
      </c>
      <c r="D18" s="18">
        <v>1610</v>
      </c>
      <c r="E18" s="18">
        <v>262</v>
      </c>
      <c r="F18" s="17">
        <f t="shared" si="0"/>
        <v>1872</v>
      </c>
      <c r="G18" s="17">
        <v>421</v>
      </c>
      <c r="H18" s="18"/>
      <c r="I18" s="21">
        <v>4</v>
      </c>
      <c r="J18" s="18"/>
      <c r="K18" s="46"/>
    </row>
    <row r="19" spans="1:11" x14ac:dyDescent="0.2">
      <c r="A19" s="16">
        <v>42970</v>
      </c>
      <c r="B19" s="17">
        <v>730</v>
      </c>
      <c r="C19" s="17">
        <f>2460+548</f>
        <v>3008</v>
      </c>
      <c r="D19" s="18">
        <v>1654</v>
      </c>
      <c r="E19" s="18">
        <v>260</v>
      </c>
      <c r="F19" s="17">
        <f t="shared" si="0"/>
        <v>1914</v>
      </c>
      <c r="G19" s="17">
        <f>566</f>
        <v>566</v>
      </c>
      <c r="H19" s="18"/>
      <c r="I19" s="18"/>
      <c r="J19" s="18"/>
      <c r="K19" s="46"/>
    </row>
    <row r="20" spans="1:11" x14ac:dyDescent="0.2">
      <c r="A20" s="16">
        <v>42971</v>
      </c>
      <c r="B20" s="17">
        <v>730</v>
      </c>
      <c r="C20" s="17">
        <f>3590+548+500</f>
        <v>4638</v>
      </c>
      <c r="D20" s="18">
        <v>1600</v>
      </c>
      <c r="E20" s="18">
        <v>258</v>
      </c>
      <c r="F20" s="17">
        <f t="shared" si="0"/>
        <v>1858</v>
      </c>
      <c r="G20" s="17">
        <v>540</v>
      </c>
      <c r="H20" s="18"/>
      <c r="I20" s="18">
        <f>39+12</f>
        <v>51</v>
      </c>
      <c r="J20" s="18"/>
      <c r="K20" s="46"/>
    </row>
    <row r="21" spans="1:11" x14ac:dyDescent="0.2">
      <c r="A21" s="16">
        <v>43339</v>
      </c>
      <c r="B21" s="17">
        <v>730</v>
      </c>
      <c r="C21" s="17">
        <f>2390+400</f>
        <v>2790</v>
      </c>
      <c r="D21" s="18">
        <v>1320</v>
      </c>
      <c r="E21" s="18">
        <v>255</v>
      </c>
      <c r="F21" s="17">
        <f t="shared" si="0"/>
        <v>1575</v>
      </c>
      <c r="G21" s="17">
        <v>500</v>
      </c>
      <c r="H21" s="18"/>
      <c r="I21" s="18">
        <v>562</v>
      </c>
      <c r="J21" s="18"/>
      <c r="K21" s="46"/>
    </row>
    <row r="22" spans="1:11" x14ac:dyDescent="0.2">
      <c r="A22" s="16">
        <v>43340</v>
      </c>
      <c r="B22" s="17">
        <v>730</v>
      </c>
      <c r="C22" s="17">
        <f>2550+400</f>
        <v>2950</v>
      </c>
      <c r="D22" s="18">
        <v>1580</v>
      </c>
      <c r="E22" s="18">
        <v>257</v>
      </c>
      <c r="F22" s="17">
        <f t="shared" si="0"/>
        <v>1837</v>
      </c>
      <c r="G22" s="17">
        <v>575</v>
      </c>
      <c r="H22" s="18"/>
      <c r="I22" s="18">
        <v>45</v>
      </c>
      <c r="J22" s="18"/>
      <c r="K22" s="46"/>
    </row>
    <row r="23" spans="1:11" x14ac:dyDescent="0.2">
      <c r="A23" s="16">
        <v>43341</v>
      </c>
      <c r="B23" s="17">
        <v>730</v>
      </c>
      <c r="C23" s="17">
        <f>2500+598</f>
        <v>3098</v>
      </c>
      <c r="D23" s="18">
        <v>1750</v>
      </c>
      <c r="E23" s="18">
        <v>255</v>
      </c>
      <c r="F23" s="17">
        <f>SUM(D23:E23)</f>
        <v>2005</v>
      </c>
      <c r="G23" s="17">
        <v>580</v>
      </c>
      <c r="H23" s="18"/>
      <c r="I23" s="21">
        <v>45</v>
      </c>
      <c r="J23" s="18"/>
      <c r="K23" s="46"/>
    </row>
    <row r="24" spans="1:11" x14ac:dyDescent="0.2">
      <c r="A24" s="16">
        <v>43342</v>
      </c>
      <c r="B24" s="17">
        <v>730</v>
      </c>
      <c r="C24" s="17">
        <f>3650+478</f>
        <v>4128</v>
      </c>
      <c r="D24" s="18">
        <v>1910</v>
      </c>
      <c r="E24" s="18">
        <v>258</v>
      </c>
      <c r="F24" s="17">
        <f>SUM(D24:E24)</f>
        <v>2168</v>
      </c>
      <c r="G24" s="17">
        <v>570</v>
      </c>
      <c r="H24" s="18"/>
      <c r="I24" s="18">
        <v>38</v>
      </c>
      <c r="J24" s="18"/>
      <c r="K24" s="46"/>
    </row>
    <row r="25" spans="1:11" x14ac:dyDescent="0.2">
      <c r="A25" s="16">
        <v>43343</v>
      </c>
      <c r="B25" s="17">
        <v>730</v>
      </c>
      <c r="C25" s="17">
        <f>2570+588+500</f>
        <v>3658</v>
      </c>
      <c r="D25" s="18">
        <v>1900</v>
      </c>
      <c r="E25" s="18">
        <v>260</v>
      </c>
      <c r="F25" s="17">
        <f>SUM(D25:E25)</f>
        <v>2160</v>
      </c>
      <c r="G25" s="17">
        <v>540</v>
      </c>
      <c r="H25" s="18"/>
      <c r="I25" s="18">
        <v>60</v>
      </c>
      <c r="J25" s="18"/>
      <c r="K25" s="46"/>
    </row>
    <row r="26" spans="1:11" x14ac:dyDescent="0.2">
      <c r="A26" s="16"/>
      <c r="B26" s="17"/>
      <c r="C26" s="17"/>
      <c r="D26" s="18"/>
      <c r="E26" s="18"/>
      <c r="F26" s="17">
        <f>SUM(D26:E26)</f>
        <v>0</v>
      </c>
      <c r="G26" s="17"/>
      <c r="H26" s="18" t="s">
        <v>12</v>
      </c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>
        <v>0</v>
      </c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16300</v>
      </c>
      <c r="C28" s="18">
        <f>SUM(C4:C27)</f>
        <v>70865</v>
      </c>
      <c r="D28" s="18">
        <f>SUM(D4:D27)</f>
        <v>34189</v>
      </c>
      <c r="E28" s="18">
        <f>SUM(E4:E27)</f>
        <v>5691</v>
      </c>
      <c r="F28" s="17"/>
      <c r="G28" s="17"/>
      <c r="H28" s="17">
        <f>SUM(H4:H20)</f>
        <v>0</v>
      </c>
      <c r="I28" s="23">
        <f>SUM(I4:I27)</f>
        <v>2240</v>
      </c>
      <c r="J28" s="17">
        <f>SUM(J4:J27)</f>
        <v>0</v>
      </c>
      <c r="K28" s="47"/>
    </row>
    <row r="29" spans="1:11" x14ac:dyDescent="0.2">
      <c r="A29" s="16" t="s">
        <v>3</v>
      </c>
      <c r="B29" s="48">
        <f>B28+C28</f>
        <v>87165</v>
      </c>
      <c r="C29" s="48"/>
      <c r="D29" s="48">
        <f>D28+E28</f>
        <v>39880</v>
      </c>
      <c r="E29" s="48"/>
      <c r="F29" s="17"/>
      <c r="G29" s="18">
        <f>SUM(G4:G27)</f>
        <v>10746</v>
      </c>
      <c r="H29" s="49">
        <f>H28+I28+J28</f>
        <v>2240</v>
      </c>
      <c r="I29" s="49"/>
      <c r="J29" s="50"/>
      <c r="K29" s="24">
        <f>B29+D29+G29+H29</f>
        <v>140031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5691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44935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31:B31"/>
    <mergeCell ref="A32:B32"/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3"/>
  <sheetViews>
    <sheetView view="pageBreakPreview" zoomScaleNormal="100" workbookViewId="0">
      <selection activeCell="E6" sqref="E6"/>
    </sheetView>
  </sheetViews>
  <sheetFormatPr defaultRowHeight="12.75" x14ac:dyDescent="0.2"/>
  <cols>
    <col min="1" max="1" width="9.28515625" style="1" bestFit="1" customWidth="1"/>
    <col min="2" max="2" width="11.5703125" style="1" customWidth="1"/>
    <col min="3" max="3" width="10.42578125" style="1" customWidth="1"/>
    <col min="4" max="5" width="10.28515625" style="1" customWidth="1"/>
    <col min="6" max="6" width="7.5703125" style="1" customWidth="1"/>
    <col min="7" max="7" width="7.7109375" style="1" customWidth="1"/>
    <col min="8" max="8" width="8.28515625" style="1" customWidth="1"/>
    <col min="9" max="9" width="9.5703125" style="1" customWidth="1"/>
    <col min="10" max="10" width="11.42578125" style="1" customWidth="1"/>
    <col min="11" max="11" width="6.85546875" style="1" customWidth="1"/>
    <col min="12" max="16384" width="9.140625" style="1"/>
  </cols>
  <sheetData>
    <row r="1" spans="1:11" x14ac:dyDescent="0.2">
      <c r="A1" s="37">
        <v>43344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">
      <c r="A2" s="38" t="s">
        <v>0</v>
      </c>
      <c r="B2" s="15"/>
      <c r="C2" s="15"/>
      <c r="D2" s="38" t="s">
        <v>4</v>
      </c>
      <c r="E2" s="38"/>
      <c r="F2" s="38"/>
      <c r="G2" s="39" t="s">
        <v>5</v>
      </c>
      <c r="H2" s="41"/>
      <c r="I2" s="43" t="s">
        <v>11</v>
      </c>
      <c r="J2" s="44" t="s">
        <v>6</v>
      </c>
      <c r="K2" s="45"/>
    </row>
    <row r="3" spans="1:11" s="2" customFormat="1" x14ac:dyDescent="0.2">
      <c r="A3" s="38"/>
      <c r="B3" s="15" t="s">
        <v>1</v>
      </c>
      <c r="C3" s="15" t="s">
        <v>2</v>
      </c>
      <c r="D3" s="15" t="s">
        <v>7</v>
      </c>
      <c r="E3" s="15" t="s">
        <v>10</v>
      </c>
      <c r="F3" s="15" t="s">
        <v>3</v>
      </c>
      <c r="G3" s="40"/>
      <c r="H3" s="42"/>
      <c r="I3" s="43"/>
      <c r="J3" s="44"/>
      <c r="K3" s="46"/>
    </row>
    <row r="4" spans="1:11" x14ac:dyDescent="0.2">
      <c r="A4" s="16">
        <v>42981</v>
      </c>
      <c r="B4" s="17">
        <v>730</v>
      </c>
      <c r="C4" s="17">
        <f>2390+568</f>
        <v>2958</v>
      </c>
      <c r="D4" s="18">
        <f>160+1640</f>
        <v>1800</v>
      </c>
      <c r="E4" s="18">
        <v>265</v>
      </c>
      <c r="F4" s="17">
        <f>SUM(D4:E4)</f>
        <v>2065</v>
      </c>
      <c r="G4" s="17">
        <f>497+10</f>
        <v>507</v>
      </c>
      <c r="H4" s="18"/>
      <c r="I4" s="18">
        <f>188+28</f>
        <v>216</v>
      </c>
      <c r="J4" s="18"/>
      <c r="K4" s="46"/>
    </row>
    <row r="5" spans="1:11" x14ac:dyDescent="0.2">
      <c r="A5" s="16">
        <v>42982</v>
      </c>
      <c r="B5" s="17">
        <v>730</v>
      </c>
      <c r="C5" s="17">
        <f>2390+568</f>
        <v>2958</v>
      </c>
      <c r="D5" s="18">
        <v>1620</v>
      </c>
      <c r="E5" s="18">
        <v>262</v>
      </c>
      <c r="F5" s="17">
        <f t="shared" ref="F5:F22" si="0">SUM(D5:E5)</f>
        <v>1882</v>
      </c>
      <c r="G5" s="17">
        <v>515</v>
      </c>
      <c r="H5" s="18"/>
      <c r="I5" s="18">
        <f>26+90</f>
        <v>116</v>
      </c>
      <c r="J5" s="18"/>
      <c r="K5" s="46"/>
    </row>
    <row r="6" spans="1:11" x14ac:dyDescent="0.2">
      <c r="A6" s="16">
        <v>42983</v>
      </c>
      <c r="B6" s="17">
        <v>760</v>
      </c>
      <c r="C6" s="17">
        <f>2470+568</f>
        <v>3038</v>
      </c>
      <c r="D6" s="18">
        <v>1520</v>
      </c>
      <c r="E6" s="19">
        <v>255</v>
      </c>
      <c r="F6" s="17">
        <f t="shared" si="0"/>
        <v>1775</v>
      </c>
      <c r="G6" s="20">
        <v>488</v>
      </c>
      <c r="H6" s="18"/>
      <c r="I6" s="18">
        <v>91</v>
      </c>
      <c r="J6" s="18"/>
      <c r="K6" s="46"/>
    </row>
    <row r="7" spans="1:11" x14ac:dyDescent="0.2">
      <c r="A7" s="16">
        <v>43349</v>
      </c>
      <c r="B7" s="17">
        <v>760</v>
      </c>
      <c r="C7" s="17">
        <f>3685+403</f>
        <v>4088</v>
      </c>
      <c r="D7" s="18">
        <v>1500</v>
      </c>
      <c r="E7" s="18">
        <v>256</v>
      </c>
      <c r="F7" s="17">
        <f t="shared" si="0"/>
        <v>1756</v>
      </c>
      <c r="G7" s="17">
        <v>405</v>
      </c>
      <c r="H7" s="18"/>
      <c r="I7" s="18">
        <v>46</v>
      </c>
      <c r="J7" s="18"/>
      <c r="K7" s="46"/>
    </row>
    <row r="8" spans="1:11" x14ac:dyDescent="0.2">
      <c r="A8" s="16">
        <v>43353</v>
      </c>
      <c r="B8" s="17">
        <v>730</v>
      </c>
      <c r="C8" s="17">
        <f>2310+589</f>
        <v>2899</v>
      </c>
      <c r="D8" s="18">
        <v>1588</v>
      </c>
      <c r="E8" s="18">
        <v>260</v>
      </c>
      <c r="F8" s="17">
        <f t="shared" si="0"/>
        <v>1848</v>
      </c>
      <c r="G8" s="17">
        <v>500</v>
      </c>
      <c r="H8" s="18"/>
      <c r="I8" s="18">
        <v>116</v>
      </c>
      <c r="J8" s="18"/>
      <c r="K8" s="46"/>
    </row>
    <row r="9" spans="1:11" x14ac:dyDescent="0.2">
      <c r="A9" s="16">
        <v>43354</v>
      </c>
      <c r="B9" s="17">
        <v>730</v>
      </c>
      <c r="C9" s="17">
        <f>2370+568</f>
        <v>2938</v>
      </c>
      <c r="D9" s="18">
        <v>1682</v>
      </c>
      <c r="E9" s="18">
        <v>261</v>
      </c>
      <c r="F9" s="17">
        <f t="shared" si="0"/>
        <v>1943</v>
      </c>
      <c r="G9" s="17">
        <v>570</v>
      </c>
      <c r="H9" s="18"/>
      <c r="I9" s="18">
        <v>60</v>
      </c>
      <c r="J9" s="18"/>
      <c r="K9" s="46"/>
    </row>
    <row r="10" spans="1:11" x14ac:dyDescent="0.2">
      <c r="A10" s="16">
        <v>43355</v>
      </c>
      <c r="B10" s="17">
        <v>730</v>
      </c>
      <c r="C10" s="17">
        <f>2540+598</f>
        <v>3138</v>
      </c>
      <c r="D10" s="18">
        <v>1650</v>
      </c>
      <c r="E10" s="18">
        <v>258</v>
      </c>
      <c r="F10" s="17">
        <f t="shared" si="0"/>
        <v>1908</v>
      </c>
      <c r="G10" s="17">
        <v>550</v>
      </c>
      <c r="H10" s="18"/>
      <c r="I10" s="18">
        <v>90</v>
      </c>
      <c r="J10" s="18"/>
      <c r="K10" s="46"/>
    </row>
    <row r="11" spans="1:11" x14ac:dyDescent="0.2">
      <c r="A11" s="16">
        <v>43356</v>
      </c>
      <c r="B11" s="17">
        <v>50</v>
      </c>
      <c r="C11" s="17">
        <f>2780+478</f>
        <v>3258</v>
      </c>
      <c r="D11" s="18">
        <v>1440</v>
      </c>
      <c r="E11" s="18">
        <v>259</v>
      </c>
      <c r="F11" s="17">
        <f t="shared" si="0"/>
        <v>1699</v>
      </c>
      <c r="G11" s="17">
        <f>490+11</f>
        <v>501</v>
      </c>
      <c r="H11" s="18"/>
      <c r="I11" s="18">
        <v>64</v>
      </c>
      <c r="J11" s="18"/>
      <c r="K11" s="46"/>
    </row>
    <row r="12" spans="1:11" x14ac:dyDescent="0.2">
      <c r="A12" s="16">
        <v>43357</v>
      </c>
      <c r="B12" s="17">
        <v>750</v>
      </c>
      <c r="C12" s="17">
        <v>3608</v>
      </c>
      <c r="D12" s="18">
        <v>1840</v>
      </c>
      <c r="E12" s="18">
        <v>257</v>
      </c>
      <c r="F12" s="17">
        <f t="shared" si="0"/>
        <v>2097</v>
      </c>
      <c r="G12" s="17">
        <f>460+10</f>
        <v>470</v>
      </c>
      <c r="H12" s="18"/>
      <c r="I12" s="18"/>
      <c r="J12" s="18"/>
      <c r="K12" s="46"/>
    </row>
    <row r="13" spans="1:11" x14ac:dyDescent="0.2">
      <c r="A13" s="16">
        <v>43360</v>
      </c>
      <c r="B13" s="17">
        <v>730</v>
      </c>
      <c r="C13" s="17">
        <f>2390+558</f>
        <v>2948</v>
      </c>
      <c r="D13" s="18">
        <v>1570</v>
      </c>
      <c r="E13" s="18">
        <v>258</v>
      </c>
      <c r="F13" s="17">
        <f t="shared" si="0"/>
        <v>1828</v>
      </c>
      <c r="G13" s="17">
        <f>492+10</f>
        <v>502</v>
      </c>
      <c r="H13" s="18"/>
      <c r="I13" s="18">
        <v>24</v>
      </c>
      <c r="J13" s="18"/>
      <c r="K13" s="46"/>
    </row>
    <row r="14" spans="1:11" x14ac:dyDescent="0.2">
      <c r="A14" s="16">
        <v>43361</v>
      </c>
      <c r="B14" s="17">
        <v>730</v>
      </c>
      <c r="C14" s="17">
        <f>2330+598</f>
        <v>2928</v>
      </c>
      <c r="D14" s="18">
        <v>1750</v>
      </c>
      <c r="E14" s="18">
        <v>260</v>
      </c>
      <c r="F14" s="17">
        <f t="shared" si="0"/>
        <v>2010</v>
      </c>
      <c r="G14" s="17">
        <f>549+10</f>
        <v>559</v>
      </c>
      <c r="H14" s="18"/>
      <c r="I14" s="21">
        <f>95+7</f>
        <v>102</v>
      </c>
      <c r="J14" s="18"/>
      <c r="K14" s="46"/>
    </row>
    <row r="15" spans="1:11" x14ac:dyDescent="0.2">
      <c r="A15" s="16">
        <v>43362</v>
      </c>
      <c r="B15" s="17">
        <v>730</v>
      </c>
      <c r="C15" s="17">
        <f>2580+478</f>
        <v>3058</v>
      </c>
      <c r="D15" s="18">
        <v>1710</v>
      </c>
      <c r="E15" s="18">
        <v>261</v>
      </c>
      <c r="F15" s="17">
        <f t="shared" si="0"/>
        <v>1971</v>
      </c>
      <c r="G15" s="17">
        <v>539</v>
      </c>
      <c r="H15" s="18"/>
      <c r="I15" s="18">
        <v>40</v>
      </c>
      <c r="J15" s="18"/>
      <c r="K15" s="46"/>
    </row>
    <row r="16" spans="1:11" x14ac:dyDescent="0.2">
      <c r="A16" s="16">
        <v>43363</v>
      </c>
      <c r="B16" s="17">
        <v>730</v>
      </c>
      <c r="C16" s="17">
        <f>2590+648</f>
        <v>3238</v>
      </c>
      <c r="D16" s="18">
        <v>1729</v>
      </c>
      <c r="E16" s="19">
        <v>262</v>
      </c>
      <c r="F16" s="17">
        <f t="shared" si="0"/>
        <v>1991</v>
      </c>
      <c r="G16" s="20">
        <v>460</v>
      </c>
      <c r="H16" s="18"/>
      <c r="I16" s="18">
        <v>98</v>
      </c>
      <c r="J16" s="18"/>
      <c r="K16" s="46"/>
    </row>
    <row r="17" spans="1:11" x14ac:dyDescent="0.2">
      <c r="A17" s="16">
        <v>43364</v>
      </c>
      <c r="B17" s="17">
        <v>750</v>
      </c>
      <c r="C17" s="17">
        <f>3088+600</f>
        <v>3688</v>
      </c>
      <c r="D17" s="18">
        <v>1790</v>
      </c>
      <c r="E17" s="18">
        <v>258</v>
      </c>
      <c r="F17" s="17">
        <f t="shared" si="0"/>
        <v>2048</v>
      </c>
      <c r="G17" s="17">
        <v>530</v>
      </c>
      <c r="H17" s="18"/>
      <c r="I17" s="21">
        <f>74+40</f>
        <v>114</v>
      </c>
      <c r="J17" s="18"/>
      <c r="K17" s="46"/>
    </row>
    <row r="18" spans="1:11" x14ac:dyDescent="0.2">
      <c r="A18" s="16">
        <v>43367</v>
      </c>
      <c r="B18" s="17">
        <v>750</v>
      </c>
      <c r="C18" s="17">
        <f>2640+408</f>
        <v>3048</v>
      </c>
      <c r="D18" s="18">
        <v>1680</v>
      </c>
      <c r="E18" s="18">
        <v>257</v>
      </c>
      <c r="F18" s="17">
        <f t="shared" si="0"/>
        <v>1937</v>
      </c>
      <c r="G18" s="17">
        <v>520</v>
      </c>
      <c r="H18" s="18"/>
      <c r="I18" s="21">
        <v>49</v>
      </c>
      <c r="J18" s="18"/>
      <c r="K18" s="46"/>
    </row>
    <row r="19" spans="1:11" x14ac:dyDescent="0.2">
      <c r="A19" s="16">
        <v>43368</v>
      </c>
      <c r="B19" s="17">
        <v>750</v>
      </c>
      <c r="C19" s="17">
        <f>2390+598</f>
        <v>2988</v>
      </c>
      <c r="D19" s="18">
        <v>1600</v>
      </c>
      <c r="E19" s="18">
        <v>259</v>
      </c>
      <c r="F19" s="17">
        <f t="shared" si="0"/>
        <v>1859</v>
      </c>
      <c r="G19" s="17">
        <f>495+10</f>
        <v>505</v>
      </c>
      <c r="H19" s="18"/>
      <c r="I19" s="18">
        <f>75+60</f>
        <v>135</v>
      </c>
      <c r="J19" s="18"/>
      <c r="K19" s="46"/>
    </row>
    <row r="20" spans="1:11" x14ac:dyDescent="0.2">
      <c r="A20" s="16">
        <v>43369</v>
      </c>
      <c r="B20" s="17">
        <v>730</v>
      </c>
      <c r="C20" s="17">
        <f>2390+598</f>
        <v>2988</v>
      </c>
      <c r="D20" s="18">
        <v>1400</v>
      </c>
      <c r="E20" s="18">
        <v>259</v>
      </c>
      <c r="F20" s="17">
        <f t="shared" si="0"/>
        <v>1659</v>
      </c>
      <c r="G20" s="17">
        <v>570</v>
      </c>
      <c r="H20" s="18"/>
      <c r="I20" s="18">
        <v>25</v>
      </c>
      <c r="J20" s="18"/>
      <c r="K20" s="46"/>
    </row>
    <row r="21" spans="1:11" x14ac:dyDescent="0.2">
      <c r="A21" s="16">
        <v>43370</v>
      </c>
      <c r="B21" s="17">
        <v>750</v>
      </c>
      <c r="C21" s="17">
        <f>2900+568</f>
        <v>3468</v>
      </c>
      <c r="D21" s="18">
        <v>1635</v>
      </c>
      <c r="E21" s="18">
        <v>258</v>
      </c>
      <c r="F21" s="17">
        <f t="shared" si="0"/>
        <v>1893</v>
      </c>
      <c r="G21" s="17">
        <v>530</v>
      </c>
      <c r="H21" s="18"/>
      <c r="I21" s="18">
        <v>60</v>
      </c>
      <c r="J21" s="18"/>
      <c r="K21" s="46"/>
    </row>
    <row r="22" spans="1:11" x14ac:dyDescent="0.2">
      <c r="A22" s="16">
        <v>43371</v>
      </c>
      <c r="B22" s="17">
        <v>750</v>
      </c>
      <c r="C22" s="17">
        <f>2540+678+500</f>
        <v>3718</v>
      </c>
      <c r="D22" s="18">
        <v>1610</v>
      </c>
      <c r="E22" s="18">
        <v>260</v>
      </c>
      <c r="F22" s="17">
        <f t="shared" si="0"/>
        <v>1870</v>
      </c>
      <c r="G22" s="17">
        <v>520</v>
      </c>
      <c r="H22" s="18"/>
      <c r="I22" s="18">
        <v>55</v>
      </c>
      <c r="J22" s="18"/>
      <c r="K22" s="46"/>
    </row>
    <row r="23" spans="1:11" x14ac:dyDescent="0.2">
      <c r="A23" s="16"/>
      <c r="B23" s="17"/>
      <c r="C23" s="17"/>
      <c r="D23" s="18"/>
      <c r="E23" s="18"/>
      <c r="F23" s="17">
        <f>SUM(D23:E23)</f>
        <v>0</v>
      </c>
      <c r="G23" s="17"/>
      <c r="H23" s="18"/>
      <c r="I23" s="21"/>
      <c r="J23" s="18"/>
      <c r="K23" s="46"/>
    </row>
    <row r="24" spans="1:11" x14ac:dyDescent="0.2">
      <c r="A24" s="16"/>
      <c r="B24" s="17"/>
      <c r="C24" s="17"/>
      <c r="D24" s="18"/>
      <c r="E24" s="18"/>
      <c r="F24" s="17"/>
      <c r="G24" s="17"/>
      <c r="H24" s="18"/>
      <c r="I24" s="18"/>
      <c r="J24" s="18"/>
      <c r="K24" s="46"/>
    </row>
    <row r="25" spans="1:11" x14ac:dyDescent="0.2">
      <c r="A25" s="16"/>
      <c r="B25" s="17"/>
      <c r="C25" s="17"/>
      <c r="D25" s="18"/>
      <c r="E25" s="18"/>
      <c r="F25" s="17"/>
      <c r="G25" s="17"/>
      <c r="H25" s="18"/>
      <c r="I25" s="18"/>
      <c r="J25" s="18"/>
      <c r="K25" s="46"/>
    </row>
    <row r="26" spans="1:11" x14ac:dyDescent="0.2">
      <c r="A26" s="16"/>
      <c r="B26" s="17"/>
      <c r="C26" s="17"/>
      <c r="D26" s="18"/>
      <c r="E26" s="18"/>
      <c r="F26" s="17"/>
      <c r="G26" s="17"/>
      <c r="H26" s="18" t="s">
        <v>12</v>
      </c>
      <c r="I26" s="18"/>
      <c r="J26" s="18"/>
      <c r="K26" s="46"/>
    </row>
    <row r="27" spans="1:11" x14ac:dyDescent="0.2">
      <c r="A27" s="16"/>
      <c r="B27" s="17"/>
      <c r="C27" s="17"/>
      <c r="D27" s="18"/>
      <c r="E27" s="18"/>
      <c r="F27" s="17"/>
      <c r="G27" s="17"/>
      <c r="H27" s="18"/>
      <c r="I27" s="18"/>
      <c r="J27" s="18"/>
      <c r="K27" s="46"/>
    </row>
    <row r="28" spans="1:11" x14ac:dyDescent="0.2">
      <c r="A28" s="16" t="s">
        <v>3</v>
      </c>
      <c r="B28" s="18">
        <f>SUM(B4:B27)</f>
        <v>13370</v>
      </c>
      <c r="C28" s="18">
        <f>SUM(C4:C27)</f>
        <v>60953</v>
      </c>
      <c r="D28" s="18">
        <f>SUM(D4:D27)</f>
        <v>31114</v>
      </c>
      <c r="E28" s="18">
        <f>SUM(E4:E27)</f>
        <v>4925</v>
      </c>
      <c r="F28" s="17"/>
      <c r="G28" s="17"/>
      <c r="H28" s="17">
        <f>SUM(H4:H20)</f>
        <v>0</v>
      </c>
      <c r="I28" s="23">
        <f>SUM(I4:I27)</f>
        <v>1501</v>
      </c>
      <c r="J28" s="17">
        <f>SUM(J4:J27)</f>
        <v>0</v>
      </c>
      <c r="K28" s="47"/>
    </row>
    <row r="29" spans="1:11" x14ac:dyDescent="0.2">
      <c r="A29" s="16" t="s">
        <v>3</v>
      </c>
      <c r="B29" s="48">
        <f>B28+C28</f>
        <v>74323</v>
      </c>
      <c r="C29" s="48"/>
      <c r="D29" s="48">
        <f>D28+E28</f>
        <v>36039</v>
      </c>
      <c r="E29" s="48"/>
      <c r="F29" s="17"/>
      <c r="G29" s="18">
        <f>SUM(G4:G27)</f>
        <v>9741</v>
      </c>
      <c r="H29" s="49">
        <f>H28+I28+J28</f>
        <v>1501</v>
      </c>
      <c r="I29" s="49"/>
      <c r="J29" s="50"/>
      <c r="K29" s="24">
        <f>B29+D29+G29+H29</f>
        <v>121604</v>
      </c>
    </row>
    <row r="30" spans="1:11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">
      <c r="A31" s="29" t="s">
        <v>9</v>
      </c>
      <c r="B31" s="29"/>
      <c r="C31" s="12">
        <f>E28</f>
        <v>4925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29" t="s">
        <v>8</v>
      </c>
      <c r="B32" s="29"/>
      <c r="C32" s="12">
        <f>D28+G29</f>
        <v>40855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3"/>
    </row>
    <row r="35" spans="1:11" x14ac:dyDescent="0.2">
      <c r="A35" s="3"/>
      <c r="D35" s="1" t="s">
        <v>13</v>
      </c>
    </row>
    <row r="36" spans="1:11" x14ac:dyDescent="0.2">
      <c r="A36" s="3"/>
    </row>
    <row r="37" spans="1:11" x14ac:dyDescent="0.2">
      <c r="A37" s="3"/>
    </row>
    <row r="38" spans="1:11" x14ac:dyDescent="0.2">
      <c r="A38" s="3"/>
    </row>
    <row r="39" spans="1:11" x14ac:dyDescent="0.2">
      <c r="A39" s="3"/>
    </row>
    <row r="40" spans="1:11" x14ac:dyDescent="0.2">
      <c r="A40" s="3"/>
    </row>
    <row r="41" spans="1:11" x14ac:dyDescent="0.2">
      <c r="A41" s="3"/>
    </row>
    <row r="42" spans="1:11" x14ac:dyDescent="0.2">
      <c r="A42" s="3"/>
    </row>
    <row r="43" spans="1:11" x14ac:dyDescent="0.2">
      <c r="A43" s="3"/>
    </row>
    <row r="44" spans="1:11" x14ac:dyDescent="0.2">
      <c r="A44" s="3"/>
    </row>
    <row r="45" spans="1:11" x14ac:dyDescent="0.2">
      <c r="A45" s="3"/>
    </row>
    <row r="46" spans="1:11" x14ac:dyDescent="0.2">
      <c r="A46" s="3"/>
    </row>
    <row r="47" spans="1:11" x14ac:dyDescent="0.2">
      <c r="A47" s="3"/>
    </row>
    <row r="48" spans="1:1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</sheetData>
  <mergeCells count="13">
    <mergeCell ref="A31:B31"/>
    <mergeCell ref="A32:B32"/>
    <mergeCell ref="A1:K1"/>
    <mergeCell ref="A2:A3"/>
    <mergeCell ref="D2:F2"/>
    <mergeCell ref="G2:G3"/>
    <mergeCell ref="H2:H3"/>
    <mergeCell ref="I2:I3"/>
    <mergeCell ref="J2:J3"/>
    <mergeCell ref="K2:K28"/>
    <mergeCell ref="B29:C29"/>
    <mergeCell ref="D29:E29"/>
    <mergeCell ref="H29:J29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 DEZEMBRO </vt:lpstr>
      <vt:lpstr>' DEZEMBRO '!Area_de_impressao</vt:lpstr>
      <vt:lpstr>ABRIL!Area_de_impressao</vt:lpstr>
      <vt:lpstr>AGOSTO!Area_de_impressao</vt:lpstr>
      <vt:lpstr>FEVEREIRO!Area_de_impressao</vt:lpstr>
      <vt:lpstr>JANEIRO!Area_de_impressao</vt:lpstr>
      <vt:lpstr>JULHO!Area_de_impressao</vt:lpstr>
      <vt:lpstr>JUNHO!Area_de_impressao</vt:lpstr>
      <vt:lpstr>MAIO!Area_de_impressao</vt:lpstr>
      <vt:lpstr>MARÇO!Area_de_impressao</vt:lpstr>
      <vt:lpstr>NOVEMBRO!Area_de_impressao</vt:lpstr>
      <vt:lpstr>OUTUBRO!Area_de_impressao</vt:lpstr>
      <vt:lpstr>SETEMBRO!Area_de_impressao</vt:lpstr>
    </vt:vector>
  </TitlesOfParts>
  <Company>Fundação Salvador Arena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Fundação Salvador Arena</dc:creator>
  <cp:lastModifiedBy>Cassia Almeida dos Santos</cp:lastModifiedBy>
  <cp:lastPrinted>2018-11-30T16:05:48Z</cp:lastPrinted>
  <dcterms:created xsi:type="dcterms:W3CDTF">2007-01-04T14:38:41Z</dcterms:created>
  <dcterms:modified xsi:type="dcterms:W3CDTF">2018-12-28T09:25:13Z</dcterms:modified>
</cp:coreProperties>
</file>