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raka\Desktop\BYU\BUS 110\"/>
    </mc:Choice>
  </mc:AlternateContent>
  <xr:revisionPtr revIDLastSave="0" documentId="13_ncr:1_{BF1BD366-6155-4B61-8EDD-E18F2B6E3426}" xr6:coauthVersionLast="47" xr6:coauthVersionMax="47" xr10:uidLastSave="{00000000-0000-0000-0000-000000000000}"/>
  <bookViews>
    <workbookView xWindow="-120" yWindow="-120" windowWidth="20730" windowHeight="11160" activeTab="1" xr2:uid="{DD48EB59-D422-440A-B3D8-B7024E933AC0}"/>
  </bookViews>
  <sheets>
    <sheet name="Dashboard" sheetId="3" r:id="rId1"/>
    <sheet name="Orders" sheetId="2" r:id="rId2"/>
  </sheets>
  <definedNames>
    <definedName name="_xlnm._FilterDatabase" localSheetId="1" hidden="1">Orders!$A$1:$N$62</definedName>
    <definedName name="BUS_115_CID" hidden="1">"WINTER_2024"</definedName>
    <definedName name="category">Orders!$I$2:$I$62</definedName>
    <definedName name="central">Orders!$Q$4</definedName>
    <definedName name="central_cod">Orders!$R$4</definedName>
    <definedName name="central_code">Orders!$R$4</definedName>
    <definedName name="city">Orders!$G$2:$G$62</definedName>
    <definedName name="custom_name">Orders!$D$2:$D$62</definedName>
    <definedName name="data">Orders!$A$1:$O$62</definedName>
    <definedName name="discount">Orders!$L$2:$L$62</definedName>
    <definedName name="east">Orders!$Q$2</definedName>
    <definedName name="east_cod">Orders!$R$2</definedName>
    <definedName name="east_code">Orders!$R$2</definedName>
    <definedName name="FA22_BUS_115_CID" hidden="1">"FALL_2022"</definedName>
    <definedName name="FA23_BUS_115_CID" hidden="1">"FALL_2023"</definedName>
    <definedName name="n_order_num">Orders!$O$2:$O$62</definedName>
    <definedName name="new_city">Orders!$H$2:$H$62</definedName>
    <definedName name="order_date">Orders!$A$2:$A$62</definedName>
    <definedName name="order_numbers">Orders!$N$2:$N$62</definedName>
    <definedName name="quantity">Orders!$K$2:$K$62</definedName>
    <definedName name="region">Orders!$E$2:$E$62</definedName>
    <definedName name="ship_date">Orders!$B$2:$B$62</definedName>
    <definedName name="ship_mode">Orders!$C$2:$C$62</definedName>
    <definedName name="south">Orders!$Q$3</definedName>
    <definedName name="south_cod">Orders!$R$3</definedName>
    <definedName name="SP22_BUS_115_CID" hidden="1">"SPRING_2022"</definedName>
    <definedName name="SP23_BUS_115_CID" hidden="1">"SPRING_2023"</definedName>
    <definedName name="state">Orders!$F$2:$F$62</definedName>
    <definedName name="total_sales">Orders!$M$2</definedName>
    <definedName name="WI23_BUS_115_CID" hidden="1">"WINTER_2023"</definedName>
    <definedName name="WI24_BUS_115_CID" hidden="1">"WINTER_2024"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I6" i="3"/>
  <c r="H6" i="3"/>
  <c r="G6" i="3"/>
  <c r="F6" i="3"/>
  <c r="D6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L6" i="3" s="1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H21" i="2"/>
  <c r="H57" i="2"/>
  <c r="H29" i="2"/>
  <c r="H45" i="2"/>
  <c r="H3" i="2"/>
  <c r="H54" i="2"/>
  <c r="H11" i="2"/>
  <c r="H36" i="2"/>
  <c r="H10" i="2"/>
  <c r="H7" i="2"/>
  <c r="H43" i="2"/>
  <c r="H16" i="2"/>
  <c r="H47" i="2"/>
  <c r="H53" i="2"/>
  <c r="H23" i="2"/>
  <c r="H14" i="2"/>
  <c r="H28" i="2"/>
  <c r="H60" i="2"/>
  <c r="H20" i="2"/>
  <c r="H37" i="2"/>
  <c r="H56" i="2"/>
  <c r="H38" i="2"/>
  <c r="E6" i="3" s="1"/>
  <c r="H4" i="2"/>
  <c r="H39" i="2"/>
  <c r="H61" i="2"/>
  <c r="H48" i="2"/>
  <c r="H58" i="2"/>
  <c r="H30" i="2"/>
  <c r="H62" i="2"/>
  <c r="H13" i="2"/>
  <c r="H18" i="2"/>
  <c r="H24" i="2"/>
  <c r="H33" i="2"/>
  <c r="H8" i="2"/>
  <c r="H40" i="2"/>
  <c r="H25" i="2"/>
  <c r="H46" i="2"/>
  <c r="H19" i="2"/>
  <c r="H12" i="2"/>
  <c r="H41" i="2"/>
  <c r="H59" i="2"/>
  <c r="H15" i="2"/>
  <c r="H5" i="2"/>
  <c r="H9" i="2"/>
  <c r="H31" i="2"/>
  <c r="H2" i="2"/>
  <c r="H6" i="2"/>
  <c r="H55" i="2"/>
  <c r="H44" i="2"/>
  <c r="H32" i="2"/>
  <c r="H49" i="2"/>
  <c r="H17" i="2"/>
  <c r="H52" i="2"/>
  <c r="H26" i="2"/>
  <c r="H27" i="2"/>
  <c r="H34" i="2"/>
  <c r="H51" i="2"/>
  <c r="H42" i="2"/>
  <c r="H50" i="2"/>
  <c r="H35" i="2"/>
  <c r="H22" i="2"/>
  <c r="M21" i="2"/>
  <c r="M57" i="2"/>
  <c r="M29" i="2"/>
  <c r="M45" i="2"/>
  <c r="M3" i="2"/>
  <c r="M54" i="2"/>
  <c r="M11" i="2"/>
  <c r="M36" i="2"/>
  <c r="M10" i="2"/>
  <c r="M7" i="2"/>
  <c r="M43" i="2"/>
  <c r="M16" i="2"/>
  <c r="M47" i="2"/>
  <c r="M53" i="2"/>
  <c r="M23" i="2"/>
  <c r="M14" i="2"/>
  <c r="M28" i="2"/>
  <c r="M60" i="2"/>
  <c r="M20" i="2"/>
  <c r="M37" i="2"/>
  <c r="M56" i="2"/>
  <c r="M38" i="2"/>
  <c r="K6" i="3" s="1"/>
  <c r="M4" i="2"/>
  <c r="M39" i="2"/>
  <c r="M61" i="2"/>
  <c r="M48" i="2"/>
  <c r="M58" i="2"/>
  <c r="M30" i="2"/>
  <c r="M62" i="2"/>
  <c r="M13" i="2"/>
  <c r="M18" i="2"/>
  <c r="M24" i="2"/>
  <c r="M33" i="2"/>
  <c r="M8" i="2"/>
  <c r="M40" i="2"/>
  <c r="M25" i="2"/>
  <c r="M46" i="2"/>
  <c r="M19" i="2"/>
  <c r="M12" i="2"/>
  <c r="M41" i="2"/>
  <c r="M59" i="2"/>
  <c r="M15" i="2"/>
  <c r="M5" i="2"/>
  <c r="M9" i="2"/>
  <c r="M31" i="2"/>
  <c r="M2" i="2"/>
  <c r="M6" i="2"/>
  <c r="M55" i="2"/>
  <c r="M44" i="2"/>
  <c r="M32" i="2"/>
  <c r="M49" i="2"/>
  <c r="M17" i="2"/>
  <c r="M52" i="2"/>
  <c r="M26" i="2"/>
  <c r="M27" i="2"/>
  <c r="M34" i="2"/>
  <c r="M51" i="2"/>
  <c r="M42" i="2"/>
  <c r="M50" i="2"/>
  <c r="M35" i="2"/>
  <c r="M22" i="2"/>
  <c r="B35" i="2"/>
  <c r="B50" i="2"/>
  <c r="B42" i="2"/>
  <c r="B51" i="2"/>
  <c r="B34" i="2"/>
  <c r="B27" i="2"/>
  <c r="B26" i="2"/>
  <c r="B52" i="2"/>
  <c r="B17" i="2"/>
  <c r="B49" i="2"/>
  <c r="B32" i="2"/>
  <c r="B44" i="2"/>
  <c r="B55" i="2"/>
  <c r="B6" i="2"/>
  <c r="B2" i="2"/>
  <c r="B31" i="2"/>
  <c r="B9" i="2"/>
  <c r="B5" i="2"/>
  <c r="B15" i="2"/>
  <c r="B59" i="2"/>
  <c r="B41" i="2"/>
  <c r="B12" i="2"/>
  <c r="B19" i="2"/>
  <c r="B46" i="2"/>
  <c r="B25" i="2"/>
  <c r="B40" i="2"/>
  <c r="B8" i="2"/>
  <c r="B33" i="2"/>
  <c r="B24" i="2"/>
  <c r="B18" i="2"/>
  <c r="B13" i="2"/>
  <c r="B62" i="2"/>
  <c r="B30" i="2"/>
  <c r="B58" i="2"/>
  <c r="B48" i="2"/>
  <c r="B61" i="2"/>
  <c r="B39" i="2"/>
  <c r="B4" i="2"/>
  <c r="B38" i="2"/>
  <c r="B56" i="2"/>
  <c r="B37" i="2"/>
  <c r="B20" i="2"/>
  <c r="B60" i="2"/>
  <c r="B28" i="2"/>
  <c r="B14" i="2"/>
  <c r="B23" i="2"/>
  <c r="B53" i="2"/>
  <c r="B47" i="2"/>
  <c r="B16" i="2"/>
  <c r="B43" i="2"/>
  <c r="B7" i="2"/>
  <c r="B10" i="2"/>
  <c r="B36" i="2"/>
  <c r="B11" i="2"/>
  <c r="B54" i="2"/>
  <c r="B3" i="2"/>
  <c r="B45" i="2"/>
  <c r="B29" i="2"/>
  <c r="B57" i="2"/>
  <c r="B21" i="2"/>
  <c r="B22" i="2"/>
  <c r="A35" i="2"/>
  <c r="A50" i="2"/>
  <c r="A42" i="2"/>
  <c r="A51" i="2"/>
  <c r="A34" i="2"/>
  <c r="A27" i="2"/>
  <c r="A26" i="2"/>
  <c r="A52" i="2"/>
  <c r="A17" i="2"/>
  <c r="A49" i="2"/>
  <c r="A32" i="2"/>
  <c r="A44" i="2"/>
  <c r="A55" i="2"/>
  <c r="A6" i="2"/>
  <c r="A2" i="2"/>
  <c r="A31" i="2"/>
  <c r="A9" i="2"/>
  <c r="A5" i="2"/>
  <c r="A15" i="2"/>
  <c r="A59" i="2"/>
  <c r="A41" i="2"/>
  <c r="A12" i="2"/>
  <c r="A19" i="2"/>
  <c r="A46" i="2"/>
  <c r="A25" i="2"/>
  <c r="A40" i="2"/>
  <c r="A8" i="2"/>
  <c r="A33" i="2"/>
  <c r="A24" i="2"/>
  <c r="A18" i="2"/>
  <c r="A13" i="2"/>
  <c r="A62" i="2"/>
  <c r="A30" i="2"/>
  <c r="A58" i="2"/>
  <c r="A48" i="2"/>
  <c r="A61" i="2"/>
  <c r="A39" i="2"/>
  <c r="A4" i="2"/>
  <c r="A38" i="2"/>
  <c r="A56" i="2"/>
  <c r="A37" i="2"/>
  <c r="A20" i="2"/>
  <c r="A60" i="2"/>
  <c r="A28" i="2"/>
  <c r="A14" i="2"/>
  <c r="A23" i="2"/>
  <c r="A53" i="2"/>
  <c r="A47" i="2"/>
  <c r="A16" i="2"/>
  <c r="A43" i="2"/>
  <c r="A7" i="2"/>
  <c r="A10" i="2"/>
  <c r="A36" i="2"/>
  <c r="A11" i="2"/>
  <c r="A54" i="2"/>
  <c r="A3" i="2"/>
  <c r="A45" i="2"/>
  <c r="A29" i="2"/>
  <c r="A57" i="2"/>
  <c r="A21" i="2"/>
  <c r="A22" i="2"/>
  <c r="B6" i="3" l="1"/>
  <c r="C6" i="3"/>
</calcChain>
</file>

<file path=xl/sharedStrings.xml><?xml version="1.0" encoding="utf-8"?>
<sst xmlns="http://schemas.openxmlformats.org/spreadsheetml/2006/main" count="460" uniqueCount="214">
  <si>
    <t>Order Date</t>
  </si>
  <si>
    <t>Ship Date</t>
  </si>
  <si>
    <t>Ship Mode</t>
  </si>
  <si>
    <t>Customer Name</t>
  </si>
  <si>
    <t>City</t>
  </si>
  <si>
    <t>State</t>
  </si>
  <si>
    <t>Region</t>
  </si>
  <si>
    <t>Category</t>
  </si>
  <si>
    <t>Retail price per unit</t>
  </si>
  <si>
    <t>Quantity sold</t>
  </si>
  <si>
    <t>Discount percent</t>
  </si>
  <si>
    <t>Total Sales</t>
  </si>
  <si>
    <t>Order Number</t>
  </si>
  <si>
    <t>UPS</t>
  </si>
  <si>
    <t>Adela Neeley</t>
  </si>
  <si>
    <t>Houston</t>
  </si>
  <si>
    <t>Texas</t>
  </si>
  <si>
    <t>Central</t>
  </si>
  <si>
    <t>Furniture</t>
  </si>
  <si>
    <t>496-1850</t>
  </si>
  <si>
    <t>USPS</t>
  </si>
  <si>
    <t>Alycia Whitenack</t>
  </si>
  <si>
    <t>Grand Prairie</t>
  </si>
  <si>
    <t>Office Supplies</t>
  </si>
  <si>
    <t>496-1994</t>
  </si>
  <si>
    <t xml:space="preserve">Anitra Ketelsen </t>
  </si>
  <si>
    <t>Concord</t>
  </si>
  <si>
    <t>North Carolina</t>
  </si>
  <si>
    <t>South</t>
  </si>
  <si>
    <t>496-1872</t>
  </si>
  <si>
    <t>Annamae Cervantes</t>
  </si>
  <si>
    <t>San Antonio</t>
  </si>
  <si>
    <t>Technology</t>
  </si>
  <si>
    <t>598-2470</t>
  </si>
  <si>
    <t xml:space="preserve">Arielle Zartman </t>
  </si>
  <si>
    <t>Hamilton</t>
  </si>
  <si>
    <t>Ohio</t>
  </si>
  <si>
    <t>East</t>
  </si>
  <si>
    <t>496-1222</t>
  </si>
  <si>
    <t>FedEx</t>
  </si>
  <si>
    <t xml:space="preserve">Arletha Spindler </t>
  </si>
  <si>
    <t>Chicago</t>
  </si>
  <si>
    <t>Illinois</t>
  </si>
  <si>
    <t>598-2976</t>
  </si>
  <si>
    <t xml:space="preserve">Arnulfo Hutton </t>
  </si>
  <si>
    <t>Henderson</t>
  </si>
  <si>
    <t>Kentucky</t>
  </si>
  <si>
    <t>598-2747</t>
  </si>
  <si>
    <t>Ashley Smith 4</t>
  </si>
  <si>
    <t>Urbandale</t>
  </si>
  <si>
    <t>Iowa</t>
  </si>
  <si>
    <t>598-2426</t>
  </si>
  <si>
    <t>Babara Metheny</t>
  </si>
  <si>
    <t>New York City</t>
  </si>
  <si>
    <t>New York</t>
  </si>
  <si>
    <t>598-2796</t>
  </si>
  <si>
    <t xml:space="preserve">Boris Poirrier </t>
  </si>
  <si>
    <t>New Albany</t>
  </si>
  <si>
    <t>Indiana</t>
  </si>
  <si>
    <t>496-2551</t>
  </si>
  <si>
    <t>496-1722</t>
  </si>
  <si>
    <t>Cathy Gibby</t>
  </si>
  <si>
    <t>Decatur</t>
  </si>
  <si>
    <t>598-2192</t>
  </si>
  <si>
    <t xml:space="preserve">Celine Kahre </t>
  </si>
  <si>
    <t>Columbus</t>
  </si>
  <si>
    <t>496-1617</t>
  </si>
  <si>
    <t xml:space="preserve">Charmaine Zhang </t>
  </si>
  <si>
    <t>Saint Paul</t>
  </si>
  <si>
    <t>Minnesota</t>
  </si>
  <si>
    <t>598-2483</t>
  </si>
  <si>
    <t xml:space="preserve">Claude Darbonne </t>
  </si>
  <si>
    <t>Philadelphia</t>
  </si>
  <si>
    <t>Pennsylvania</t>
  </si>
  <si>
    <t>496-1770</t>
  </si>
  <si>
    <t>Clay Facemire</t>
  </si>
  <si>
    <t>Melbourne</t>
  </si>
  <si>
    <t>Florida</t>
  </si>
  <si>
    <t>496-1873</t>
  </si>
  <si>
    <t xml:space="preserve">Cuc Gillenwater </t>
  </si>
  <si>
    <t>496-1886</t>
  </si>
  <si>
    <t>Dara Culton</t>
  </si>
  <si>
    <t>Rochester</t>
  </si>
  <si>
    <t>598-2413</t>
  </si>
  <si>
    <t>Dong Malcomb</t>
  </si>
  <si>
    <t>Richardson</t>
  </si>
  <si>
    <t xml:space="preserve">Donovan Kelling </t>
  </si>
  <si>
    <t>Bristol</t>
  </si>
  <si>
    <t>Tennessee</t>
  </si>
  <si>
    <t>496-2099</t>
  </si>
  <si>
    <t xml:space="preserve">Edgardo Danner </t>
  </si>
  <si>
    <t>Fort Worth</t>
  </si>
  <si>
    <t>496-1150</t>
  </si>
  <si>
    <t>Elvina Kristensen</t>
  </si>
  <si>
    <t>496-1769</t>
  </si>
  <si>
    <t xml:space="preserve">Esperanza Comacho </t>
  </si>
  <si>
    <t>Charlotte</t>
  </si>
  <si>
    <t>598-2985</t>
  </si>
  <si>
    <t xml:space="preserve">Estella Magrath </t>
  </si>
  <si>
    <t>598-2333</t>
  </si>
  <si>
    <t>Fawn Bulloch</t>
  </si>
  <si>
    <t>598-2222</t>
  </si>
  <si>
    <t>Gabrielle Roach</t>
  </si>
  <si>
    <t>496-1378</t>
  </si>
  <si>
    <t>Gretta Nixon</t>
  </si>
  <si>
    <t>Memphis</t>
  </si>
  <si>
    <t>496-1243</t>
  </si>
  <si>
    <t>Halley Solari</t>
  </si>
  <si>
    <t>598-2243</t>
  </si>
  <si>
    <t>Henrietta Markowitz</t>
  </si>
  <si>
    <t>Durham</t>
  </si>
  <si>
    <t>598-5003</t>
  </si>
  <si>
    <t>Izola Mink</t>
  </si>
  <si>
    <t>Franklin</t>
  </si>
  <si>
    <t>Wisconsin</t>
  </si>
  <si>
    <t>496-1323</t>
  </si>
  <si>
    <t>Jacqualine Haskins</t>
  </si>
  <si>
    <t>Springfield</t>
  </si>
  <si>
    <t>Virginia</t>
  </si>
  <si>
    <t>598-5573</t>
  </si>
  <si>
    <t>Jaimee Janecek</t>
  </si>
  <si>
    <t>Minneapolis</t>
  </si>
  <si>
    <t>496-1430</t>
  </si>
  <si>
    <t>Jay Huffstetler</t>
  </si>
  <si>
    <t>Fremont</t>
  </si>
  <si>
    <t>Nebraska</t>
  </si>
  <si>
    <t>598-2410</t>
  </si>
  <si>
    <t xml:space="preserve">Jeanna Landrum </t>
  </si>
  <si>
    <t>496-2051</t>
  </si>
  <si>
    <t>Katie Giguere</t>
  </si>
  <si>
    <t>Dover</t>
  </si>
  <si>
    <t>Delaware</t>
  </si>
  <si>
    <t>496-1119</t>
  </si>
  <si>
    <t>Naperville</t>
  </si>
  <si>
    <t>598-2418</t>
  </si>
  <si>
    <t xml:space="preserve">Kristeen Silsby </t>
  </si>
  <si>
    <t>496-2770</t>
  </si>
  <si>
    <t>Larissa Herlihy</t>
  </si>
  <si>
    <t>598-2530</t>
  </si>
  <si>
    <t>Lavelle Hooton</t>
  </si>
  <si>
    <t>Newark</t>
  </si>
  <si>
    <t>496-1665</t>
  </si>
  <si>
    <t xml:space="preserve">Lenny Dierking </t>
  </si>
  <si>
    <t>Edmond</t>
  </si>
  <si>
    <t>Oklahoma</t>
  </si>
  <si>
    <t>598-2840</t>
  </si>
  <si>
    <t xml:space="preserve">Leonor Burton </t>
  </si>
  <si>
    <t>Eagan</t>
  </si>
  <si>
    <t>598-2622</t>
  </si>
  <si>
    <t xml:space="preserve">Leticia Odonnell </t>
  </si>
  <si>
    <t>496-1242</t>
  </si>
  <si>
    <t xml:space="preserve">Lloyd Plumley </t>
  </si>
  <si>
    <t>Columbia</t>
  </si>
  <si>
    <t>South Carolina</t>
  </si>
  <si>
    <t xml:space="preserve">Louvenia Tabon </t>
  </si>
  <si>
    <t>Maragret Lytle</t>
  </si>
  <si>
    <t>496-0001</t>
  </si>
  <si>
    <t>Marybeth Selvage</t>
  </si>
  <si>
    <t>Orland Park</t>
  </si>
  <si>
    <t>496-0002</t>
  </si>
  <si>
    <t xml:space="preserve">Mattie Nave </t>
  </si>
  <si>
    <t>Madison</t>
  </si>
  <si>
    <t>496-0003</t>
  </si>
  <si>
    <t xml:space="preserve">Monique Ulman </t>
  </si>
  <si>
    <t>Bloomington</t>
  </si>
  <si>
    <t>496-0004</t>
  </si>
  <si>
    <t>Moses Raynes</t>
  </si>
  <si>
    <t>496-0005</t>
  </si>
  <si>
    <t>Nickole Burell</t>
  </si>
  <si>
    <t>Monroe</t>
  </si>
  <si>
    <t>Louisiana</t>
  </si>
  <si>
    <t>496-0006</t>
  </si>
  <si>
    <t xml:space="preserve">Penni Haar </t>
  </si>
  <si>
    <t>496-0010</t>
  </si>
  <si>
    <t>Raymon Cassel</t>
  </si>
  <si>
    <t>Fairfield</t>
  </si>
  <si>
    <t>Connecticut</t>
  </si>
  <si>
    <t>496-0012</t>
  </si>
  <si>
    <t>Reyna Manthe</t>
  </si>
  <si>
    <t>496-0013</t>
  </si>
  <si>
    <t xml:space="preserve">Ricardo Tillison </t>
  </si>
  <si>
    <t>Independence</t>
  </si>
  <si>
    <t>Missouri</t>
  </si>
  <si>
    <t>496-0014</t>
  </si>
  <si>
    <t xml:space="preserve">Ricky Lisowski </t>
  </si>
  <si>
    <t>Fort Lauderdale</t>
  </si>
  <si>
    <t>496-0015</t>
  </si>
  <si>
    <t>Rosanne Gulotta</t>
  </si>
  <si>
    <t>496-0016</t>
  </si>
  <si>
    <t>Samatha Armentrout</t>
  </si>
  <si>
    <t>496-0018</t>
  </si>
  <si>
    <t>Serena Yelton</t>
  </si>
  <si>
    <t>Wilmington</t>
  </si>
  <si>
    <t>496-0019</t>
  </si>
  <si>
    <t>Alabama</t>
  </si>
  <si>
    <t>496-0020</t>
  </si>
  <si>
    <t xml:space="preserve">Theresa Nixon </t>
  </si>
  <si>
    <t>Troy</t>
  </si>
  <si>
    <t>496-0022</t>
  </si>
  <si>
    <t>Titus Oshea</t>
  </si>
  <si>
    <t>496-0024</t>
  </si>
  <si>
    <t xml:space="preserve">Verline Goin </t>
  </si>
  <si>
    <t>Westfield</t>
  </si>
  <si>
    <t>New Jersey</t>
  </si>
  <si>
    <t>496-0026</t>
  </si>
  <si>
    <t>Sparkle Justine</t>
  </si>
  <si>
    <t>Caio Murakami</t>
  </si>
  <si>
    <t>New City</t>
  </si>
  <si>
    <t>New Order Number</t>
  </si>
  <si>
    <t>Set Region Code</t>
  </si>
  <si>
    <t>Costumer</t>
  </si>
  <si>
    <t>Quantity</t>
  </si>
  <si>
    <t>Discount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</si>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</sst>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mm/dd/yy;@"/>
    <numFmt numFmtId="166" formatCode="_-[$$-409]* #,##0.00_ ;_-[$$-409]* \-#,##0.00\ ;_-[$$-409]* &quot;-&quot;??_ ;_-@_ 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3" fillId="2" borderId="1" xfId="1" applyAlignment="1" applyProtection="1">
      <alignment vertical="center"/>
      <protection locked="0"/>
    </xf>
    <xf numFmtId="0" fontId="0" fillId="0" borderId="0" xfId="0" applyAlignment="1">
      <alignment horizontal="centerContinuous"/>
    </xf>
    <xf numFmtId="14" fontId="4" fillId="3" borderId="2" xfId="2" applyNumberFormat="1"/>
    <xf numFmtId="0" fontId="4" fillId="3" borderId="2" xfId="2"/>
    <xf numFmtId="166" fontId="4" fillId="3" borderId="2" xfId="2" applyNumberFormat="1"/>
    <xf numFmtId="0" fontId="2" fillId="5" borderId="3" xfId="4" applyBorder="1" applyAlignment="1">
      <alignment wrapText="1"/>
    </xf>
    <xf numFmtId="0" fontId="2" fillId="4" borderId="3" xfId="3" applyBorder="1" applyAlignment="1">
      <alignment horizontal="center" vertical="center"/>
    </xf>
    <xf numFmtId="0" fontId="3" fillId="2" borderId="4" xfId="1" applyBorder="1" applyAlignment="1" applyProtection="1">
      <alignment horizontal="center" vertical="center"/>
      <protection locked="0" hidden="1"/>
    </xf>
    <xf numFmtId="0" fontId="3" fillId="2" borderId="5" xfId="1" applyBorder="1" applyAlignment="1" applyProtection="1">
      <alignment horizontal="center" vertical="center"/>
      <protection locked="0" hidden="1"/>
    </xf>
    <xf numFmtId="0" fontId="3" fillId="2" borderId="6" xfId="1" applyBorder="1" applyAlignment="1" applyProtection="1">
      <alignment horizontal="center" vertical="center"/>
      <protection locked="0" hidden="1"/>
    </xf>
  </cellXfs>
  <cellStyles count="5">
    <cellStyle name="20% - Accent1" xfId="3" builtinId="30"/>
    <cellStyle name="60% - Accent1" xfId="4" builtinId="32"/>
    <cellStyle name="Input" xfId="1" builtinId="20"/>
    <cellStyle name="Normal" xfId="0" builtinId="0"/>
    <cellStyle name="Output" xfId="2" builtinId="21"/>
  </cellStyles>
  <dxfs count="2">
    <dxf>
      <fill>
        <patternFill>
          <bgColor theme="8" tint="-0.2499465926084170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37BF-D8E0-42C6-AAC9-424ABFB93276}">
  <sheetPr>
    <tabColor theme="8" tint="0.39997558519241921"/>
  </sheetPr>
  <dimension ref="A1:M8"/>
  <sheetViews>
    <sheetView showGridLines="0" workbookViewId="0">
      <selection activeCell="C2" sqref="C2:L2"/>
    </sheetView>
  </sheetViews>
  <sheetFormatPr defaultColWidth="0" defaultRowHeight="14.25" zeroHeight="1" x14ac:dyDescent="0.2"/>
  <cols>
    <col min="1" max="1" width="10.625" customWidth="1"/>
    <col min="2" max="2" width="10" bestFit="1" customWidth="1"/>
    <col min="3" max="4" width="12.625" customWidth="1"/>
    <col min="5" max="5" width="15.125" customWidth="1"/>
    <col min="6" max="11" width="12.625" customWidth="1"/>
    <col min="12" max="12" width="13.75" customWidth="1"/>
    <col min="13" max="13" width="10.625" customWidth="1"/>
    <col min="14" max="16384" width="9" hidden="1"/>
  </cols>
  <sheetData>
    <row r="1" spans="2:12" x14ac:dyDescent="0.2"/>
    <row r="2" spans="2:12" ht="32.25" customHeight="1" x14ac:dyDescent="0.2">
      <c r="B2" s="18" t="s">
        <v>210</v>
      </c>
      <c r="C2" s="19" t="s">
        <v>163</v>
      </c>
      <c r="D2" s="20"/>
      <c r="E2" s="20"/>
      <c r="F2" s="20"/>
      <c r="G2" s="20"/>
      <c r="H2" s="20"/>
      <c r="I2" s="20"/>
      <c r="J2" s="20"/>
      <c r="K2" s="20"/>
      <c r="L2" s="21"/>
    </row>
    <row r="3" spans="2:12" x14ac:dyDescent="0.2"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9.25" customHeight="1" x14ac:dyDescent="0.2">
      <c r="B4" s="17" t="s">
        <v>0</v>
      </c>
      <c r="C4" s="17" t="s">
        <v>1</v>
      </c>
      <c r="D4" s="17" t="s">
        <v>2</v>
      </c>
      <c r="E4" s="17" t="s">
        <v>207</v>
      </c>
      <c r="F4" s="17" t="s">
        <v>5</v>
      </c>
      <c r="G4" s="17" t="s">
        <v>6</v>
      </c>
      <c r="H4" s="17" t="s">
        <v>7</v>
      </c>
      <c r="I4" s="17" t="s">
        <v>211</v>
      </c>
      <c r="J4" s="17" t="s">
        <v>212</v>
      </c>
      <c r="K4" s="17" t="s">
        <v>11</v>
      </c>
      <c r="L4" s="17" t="s">
        <v>208</v>
      </c>
    </row>
    <row r="5" spans="2:12" x14ac:dyDescent="0.2"/>
    <row r="6" spans="2:12" ht="15" x14ac:dyDescent="0.25">
      <c r="B6" s="14">
        <f ca="1">_xlfn.XLOOKUP($C$2,custom_name,order_date)</f>
        <v>44093</v>
      </c>
      <c r="C6" s="14">
        <f ca="1">_xlfn.XLOOKUP($C$2,custom_name,ship_date)</f>
        <v>44098</v>
      </c>
      <c r="D6" s="15" t="str">
        <f>_xlfn.XLOOKUP($C$2,custom_name,ship_mode)</f>
        <v>USPS</v>
      </c>
      <c r="E6" s="15" t="str">
        <f>_xlfn.XLOOKUP($C$2,custom_name,new_city)</f>
        <v>Bloomington</v>
      </c>
      <c r="F6" s="15" t="str">
        <f>_xlfn.XLOOKUP($C$2,custom_name,state)</f>
        <v>Illinois</v>
      </c>
      <c r="G6" s="15" t="str">
        <f>_xlfn.XLOOKUP($C$2,custom_name,region)</f>
        <v>Central</v>
      </c>
      <c r="H6" s="15" t="str">
        <f>_xlfn.XLOOKUP($C$2,custom_name,category)</f>
        <v>Furniture</v>
      </c>
      <c r="I6" s="15">
        <f>_xlfn.XLOOKUP($C$2,custom_name,quantity)</f>
        <v>6</v>
      </c>
      <c r="J6" s="15">
        <f>_xlfn.XLOOKUP($C$2,custom_name,discount)</f>
        <v>0.5</v>
      </c>
      <c r="K6" s="16">
        <f>_xlfn.XLOOKUP(Dashboard!C2,[0]!custom_name,Orders!M2:M62)</f>
        <v>1853.1000000000001</v>
      </c>
      <c r="L6" s="15" t="str">
        <f>_xlfn.XLOOKUP($C$2,custom_name,n_order_num)</f>
        <v>301-496-0004</v>
      </c>
    </row>
    <row r="7" spans="2:12" x14ac:dyDescent="0.2"/>
    <row r="8" spans="2:12" hidden="1" x14ac:dyDescent="0.2">
      <c r="C8" t="s">
        <v>213</v>
      </c>
    </row>
  </sheetData>
  <sheetProtection sheet="1" objects="1" scenarios="1" selectLockedCells="1"/>
  <mergeCells count="1">
    <mergeCell ref="C2:L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ion" error="Select a costumer of the list." promptTitle="Select a costumer" prompt="The costumer must be in the list." xr:uid="{2EBFEF1E-1396-4F62-8B0C-6FFF6F1ECED4}">
          <x14:formula1>
            <xm:f>Orders!$D$2:$D$62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>
    <tabColor theme="8" tint="0.59999389629810485"/>
  </sheetPr>
  <dimension ref="A1:R62"/>
  <sheetViews>
    <sheetView tabSelected="1" workbookViewId="0">
      <selection activeCell="E7" sqref="E7"/>
    </sheetView>
  </sheetViews>
  <sheetFormatPr defaultColWidth="10.75" defaultRowHeight="19.899999999999999" customHeight="1" x14ac:dyDescent="0.2"/>
  <cols>
    <col min="1" max="2" width="15.625" style="2" customWidth="1"/>
    <col min="3" max="3" width="15.75" style="2" customWidth="1"/>
    <col min="4" max="7" width="15.625" style="2" customWidth="1"/>
    <col min="8" max="8" width="15.625" style="1" customWidth="1"/>
    <col min="9" max="9" width="15.625" style="2" customWidth="1"/>
    <col min="10" max="10" width="15.625" style="4" customWidth="1"/>
    <col min="11" max="11" width="15.625" style="1" customWidth="1"/>
    <col min="12" max="12" width="15.625" style="3" customWidth="1"/>
    <col min="13" max="14" width="15.625" style="1" customWidth="1"/>
    <col min="15" max="16" width="15.25" style="1" customWidth="1"/>
    <col min="17" max="17" width="14.875" style="1" bestFit="1" customWidth="1"/>
    <col min="18" max="16384" width="10.75" style="1"/>
  </cols>
  <sheetData>
    <row r="1" spans="1:18" ht="32.2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5</v>
      </c>
      <c r="G1" s="6" t="s">
        <v>4</v>
      </c>
      <c r="H1" s="7" t="s">
        <v>207</v>
      </c>
      <c r="I1" s="6" t="s">
        <v>7</v>
      </c>
      <c r="J1" s="9" t="s">
        <v>8</v>
      </c>
      <c r="K1" s="7" t="s">
        <v>9</v>
      </c>
      <c r="L1" s="8" t="s">
        <v>10</v>
      </c>
      <c r="M1" s="7" t="s">
        <v>11</v>
      </c>
      <c r="N1" s="7" t="s">
        <v>12</v>
      </c>
      <c r="O1" s="7" t="s">
        <v>208</v>
      </c>
      <c r="P1" s="7"/>
      <c r="Q1" s="11" t="s">
        <v>209</v>
      </c>
      <c r="R1" s="10"/>
    </row>
    <row r="2" spans="1:18" ht="19.899999999999999" customHeight="1" x14ac:dyDescent="0.2">
      <c r="A2" s="5">
        <f ca="1">DATE(YEAR(TODAY())-4,9,19)</f>
        <v>44093</v>
      </c>
      <c r="B2" s="5">
        <f ca="1">DATE(YEAR(TODAY())-4,9,24)</f>
        <v>44098</v>
      </c>
      <c r="C2" s="2" t="s">
        <v>20</v>
      </c>
      <c r="D2" s="2" t="s">
        <v>163</v>
      </c>
      <c r="E2" s="2" t="s">
        <v>17</v>
      </c>
      <c r="F2" s="2" t="s">
        <v>42</v>
      </c>
      <c r="G2" s="2" t="s">
        <v>164</v>
      </c>
      <c r="H2" s="1" t="str">
        <f t="shared" ref="H2:H33" si="0">IF(G2="San Antonio","Ribeirão Preto",G2)</f>
        <v>Bloomington</v>
      </c>
      <c r="I2" s="2" t="s">
        <v>18</v>
      </c>
      <c r="J2" s="4">
        <v>617.70000000000005</v>
      </c>
      <c r="K2" s="1">
        <v>6</v>
      </c>
      <c r="L2" s="3">
        <v>0.5</v>
      </c>
      <c r="M2" s="4">
        <f t="shared" ref="M2:M33" si="1">J2*K2*(1-L2)</f>
        <v>1853.1000000000001</v>
      </c>
      <c r="N2" s="1" t="s">
        <v>165</v>
      </c>
      <c r="O2" s="1" t="str">
        <f t="shared" ref="O2:O33" si="2">IF(E2=$Q$2,$R$2&amp;"-"&amp;N2,IF(E2=$Q$3,$R$3&amp;"-"&amp;N2,IF(E2=$Q$4,$R$4&amp;"-"&amp;N2)))</f>
        <v>301-496-0004</v>
      </c>
      <c r="Q2" s="1" t="s">
        <v>37</v>
      </c>
      <c r="R2" s="12">
        <v>101</v>
      </c>
    </row>
    <row r="3" spans="1:18" ht="19.899999999999999" customHeight="1" x14ac:dyDescent="0.2">
      <c r="A3" s="5">
        <f ca="1">DATE(YEAR(TODAY())-1,11,12)</f>
        <v>45242</v>
      </c>
      <c r="B3" s="5">
        <f ca="1">DATE(YEAR(TODAY())-1,11,15)</f>
        <v>45245</v>
      </c>
      <c r="C3" s="2" t="s">
        <v>39</v>
      </c>
      <c r="D3" s="2" t="s">
        <v>40</v>
      </c>
      <c r="E3" s="2" t="s">
        <v>17</v>
      </c>
      <c r="F3" s="2" t="s">
        <v>42</v>
      </c>
      <c r="G3" s="2" t="s">
        <v>41</v>
      </c>
      <c r="H3" s="1" t="str">
        <f t="shared" si="0"/>
        <v>Chicago</v>
      </c>
      <c r="I3" s="2" t="s">
        <v>23</v>
      </c>
      <c r="J3" s="4">
        <v>230.38</v>
      </c>
      <c r="K3" s="1">
        <v>3</v>
      </c>
      <c r="L3" s="3">
        <v>0.2</v>
      </c>
      <c r="M3" s="4">
        <f t="shared" si="1"/>
        <v>552.91200000000003</v>
      </c>
      <c r="N3" s="1" t="s">
        <v>43</v>
      </c>
      <c r="O3" s="1" t="str">
        <f t="shared" si="2"/>
        <v>301-598-2976</v>
      </c>
      <c r="Q3" s="1" t="s">
        <v>28</v>
      </c>
      <c r="R3" s="12">
        <v>201</v>
      </c>
    </row>
    <row r="4" spans="1:18" ht="19.899999999999999" customHeight="1" x14ac:dyDescent="0.2">
      <c r="A4" s="5">
        <f ca="1">DATE(YEAR(TODAY())-4,9,13)</f>
        <v>44087</v>
      </c>
      <c r="B4" s="5">
        <f ca="1">DATE(YEAR(TODAY())-4,9,18)</f>
        <v>44092</v>
      </c>
      <c r="C4" s="2" t="s">
        <v>20</v>
      </c>
      <c r="D4" s="2" t="s">
        <v>100</v>
      </c>
      <c r="E4" s="2" t="s">
        <v>17</v>
      </c>
      <c r="F4" s="2" t="s">
        <v>42</v>
      </c>
      <c r="G4" s="2" t="s">
        <v>41</v>
      </c>
      <c r="H4" s="1" t="str">
        <f t="shared" si="0"/>
        <v>Chicago</v>
      </c>
      <c r="I4" s="2" t="s">
        <v>23</v>
      </c>
      <c r="J4" s="4">
        <v>52.45</v>
      </c>
      <c r="K4" s="1">
        <v>2</v>
      </c>
      <c r="L4" s="3">
        <v>0.8</v>
      </c>
      <c r="M4" s="4">
        <f t="shared" si="1"/>
        <v>20.979999999999997</v>
      </c>
      <c r="N4" s="1" t="s">
        <v>101</v>
      </c>
      <c r="O4" s="1" t="str">
        <f t="shared" si="2"/>
        <v>301-598-2222</v>
      </c>
      <c r="Q4" s="1" t="s">
        <v>17</v>
      </c>
      <c r="R4" s="12">
        <v>301</v>
      </c>
    </row>
    <row r="5" spans="1:18" ht="19.899999999999999" customHeight="1" x14ac:dyDescent="0.2">
      <c r="A5" s="5">
        <f ca="1">DATE(YEAR(TODAY())-3,4,28)</f>
        <v>44314</v>
      </c>
      <c r="B5" s="5">
        <f ca="1">DATE(YEAR(TODAY())-3,5,3)</f>
        <v>44319</v>
      </c>
      <c r="C5" s="2" t="s">
        <v>20</v>
      </c>
      <c r="D5" s="2" t="s">
        <v>155</v>
      </c>
      <c r="E5" s="2" t="s">
        <v>17</v>
      </c>
      <c r="F5" s="2" t="s">
        <v>42</v>
      </c>
      <c r="G5" s="2" t="s">
        <v>41</v>
      </c>
      <c r="H5" s="1" t="str">
        <f t="shared" si="0"/>
        <v>Chicago</v>
      </c>
      <c r="I5" s="2" t="s">
        <v>18</v>
      </c>
      <c r="J5" s="4">
        <v>213.12</v>
      </c>
      <c r="K5" s="1">
        <v>5</v>
      </c>
      <c r="L5" s="3">
        <v>0.3</v>
      </c>
      <c r="M5" s="4">
        <f t="shared" si="1"/>
        <v>745.91999999999985</v>
      </c>
      <c r="N5" s="1" t="s">
        <v>156</v>
      </c>
      <c r="O5" s="1" t="str">
        <f t="shared" si="2"/>
        <v>301-496-0001</v>
      </c>
    </row>
    <row r="6" spans="1:18" ht="19.899999999999999" customHeight="1" x14ac:dyDescent="0.2">
      <c r="A6" s="5">
        <f ca="1">DATE(YEAR(TODAY())-2,8,28)</f>
        <v>44801</v>
      </c>
      <c r="B6" s="5">
        <f ca="1">DATE(YEAR(TODAY())-2,9,1)</f>
        <v>44805</v>
      </c>
      <c r="C6" s="2" t="s">
        <v>20</v>
      </c>
      <c r="D6" s="2" t="s">
        <v>166</v>
      </c>
      <c r="E6" s="2" t="s">
        <v>17</v>
      </c>
      <c r="F6" s="2" t="s">
        <v>42</v>
      </c>
      <c r="G6" s="2" t="s">
        <v>41</v>
      </c>
      <c r="H6" s="1" t="str">
        <f t="shared" si="0"/>
        <v>Chicago</v>
      </c>
      <c r="I6" s="2" t="s">
        <v>32</v>
      </c>
      <c r="J6" s="4">
        <v>95.98</v>
      </c>
      <c r="K6" s="1">
        <v>3</v>
      </c>
      <c r="L6" s="3">
        <v>0.2</v>
      </c>
      <c r="M6" s="4">
        <f t="shared" si="1"/>
        <v>230.352</v>
      </c>
      <c r="N6" s="1" t="s">
        <v>167</v>
      </c>
      <c r="O6" s="1" t="str">
        <f t="shared" si="2"/>
        <v>301-496-0005</v>
      </c>
    </row>
    <row r="7" spans="1:18" ht="19.899999999999999" customHeight="1" x14ac:dyDescent="0.2">
      <c r="A7" s="5">
        <f ca="1">DATE(YEAR(TODAY())-4,12,4)</f>
        <v>44169</v>
      </c>
      <c r="B7" s="5">
        <f ca="1">DATE(YEAR(TODAY())-4,12,8)</f>
        <v>44173</v>
      </c>
      <c r="C7" s="2" t="s">
        <v>13</v>
      </c>
      <c r="D7" s="2" t="s">
        <v>61</v>
      </c>
      <c r="E7" s="2" t="s">
        <v>17</v>
      </c>
      <c r="F7" s="2" t="s">
        <v>42</v>
      </c>
      <c r="G7" s="2" t="s">
        <v>62</v>
      </c>
      <c r="H7" s="1" t="str">
        <f t="shared" si="0"/>
        <v>Decatur</v>
      </c>
      <c r="I7" s="2" t="s">
        <v>32</v>
      </c>
      <c r="J7" s="4">
        <v>408.74</v>
      </c>
      <c r="K7" s="1">
        <v>7</v>
      </c>
      <c r="L7" s="3">
        <v>0.2</v>
      </c>
      <c r="M7" s="4">
        <f t="shared" si="1"/>
        <v>2288.9440000000004</v>
      </c>
      <c r="N7" s="1" t="s">
        <v>63</v>
      </c>
      <c r="O7" s="1" t="str">
        <f t="shared" si="2"/>
        <v>301-598-2192</v>
      </c>
    </row>
    <row r="8" spans="1:18" ht="19.899999999999999" customHeight="1" x14ac:dyDescent="0.2">
      <c r="A8" s="5">
        <f ca="1">DATE(YEAR(TODAY())-1,9,9)</f>
        <v>45178</v>
      </c>
      <c r="B8" s="5">
        <f ca="1">DATE(YEAR(TODAY())-1,9,14)</f>
        <v>45183</v>
      </c>
      <c r="C8" s="2" t="s">
        <v>20</v>
      </c>
      <c r="D8" s="2" t="s">
        <v>206</v>
      </c>
      <c r="E8" s="2" t="s">
        <v>17</v>
      </c>
      <c r="F8" s="2" t="s">
        <v>42</v>
      </c>
      <c r="G8" s="2" t="s">
        <v>133</v>
      </c>
      <c r="H8" s="1" t="str">
        <f t="shared" si="0"/>
        <v>Naperville</v>
      </c>
      <c r="I8" s="2" t="s">
        <v>32</v>
      </c>
      <c r="J8" s="4">
        <v>147.16999999999999</v>
      </c>
      <c r="K8" s="1">
        <v>4</v>
      </c>
      <c r="L8" s="3">
        <v>0.2</v>
      </c>
      <c r="M8" s="4">
        <f t="shared" si="1"/>
        <v>470.94399999999996</v>
      </c>
      <c r="N8" s="1" t="s">
        <v>134</v>
      </c>
      <c r="O8" s="1" t="str">
        <f t="shared" si="2"/>
        <v>301-598-2418</v>
      </c>
    </row>
    <row r="9" spans="1:18" ht="19.899999999999999" customHeight="1" x14ac:dyDescent="0.2">
      <c r="A9" s="5">
        <f ca="1">DATE(YEAR(TODAY())-3,10,13)</f>
        <v>44482</v>
      </c>
      <c r="B9" s="5">
        <f ca="1">DATE(YEAR(TODAY())-3,10,18)</f>
        <v>44487</v>
      </c>
      <c r="C9" s="2" t="s">
        <v>20</v>
      </c>
      <c r="D9" s="2" t="s">
        <v>157</v>
      </c>
      <c r="E9" s="2" t="s">
        <v>17</v>
      </c>
      <c r="F9" s="2" t="s">
        <v>42</v>
      </c>
      <c r="G9" s="2" t="s">
        <v>158</v>
      </c>
      <c r="H9" s="1" t="str">
        <f t="shared" si="0"/>
        <v>Orland Park</v>
      </c>
      <c r="I9" s="2" t="s">
        <v>32</v>
      </c>
      <c r="J9" s="4">
        <v>339.96</v>
      </c>
      <c r="K9" s="1">
        <v>5</v>
      </c>
      <c r="L9" s="3">
        <v>0.2</v>
      </c>
      <c r="M9" s="4">
        <f t="shared" si="1"/>
        <v>1359.8400000000001</v>
      </c>
      <c r="N9" s="1" t="s">
        <v>159</v>
      </c>
      <c r="O9" s="1" t="str">
        <f t="shared" si="2"/>
        <v>301-496-0002</v>
      </c>
    </row>
    <row r="10" spans="1:18" ht="19.899999999999999" customHeight="1" x14ac:dyDescent="0.2">
      <c r="A10" s="5">
        <f ca="1">DATE(YEAR(TODAY())-3,4,16)</f>
        <v>44302</v>
      </c>
      <c r="B10" s="5">
        <f ca="1">DATE(YEAR(TODAY())-3,4,20)</f>
        <v>44306</v>
      </c>
      <c r="C10" s="2" t="s">
        <v>20</v>
      </c>
      <c r="D10" s="2" t="s">
        <v>56</v>
      </c>
      <c r="E10" s="2" t="s">
        <v>17</v>
      </c>
      <c r="F10" s="2" t="s">
        <v>58</v>
      </c>
      <c r="G10" s="2" t="s">
        <v>57</v>
      </c>
      <c r="H10" s="1" t="str">
        <f t="shared" si="0"/>
        <v>New Albany</v>
      </c>
      <c r="I10" s="2" t="s">
        <v>18</v>
      </c>
      <c r="J10" s="4">
        <v>89.99</v>
      </c>
      <c r="K10" s="1">
        <v>1</v>
      </c>
      <c r="L10" s="3">
        <v>0</v>
      </c>
      <c r="M10" s="4">
        <f t="shared" si="1"/>
        <v>89.99</v>
      </c>
      <c r="N10" s="1" t="s">
        <v>59</v>
      </c>
      <c r="O10" s="1" t="str">
        <f t="shared" si="2"/>
        <v>301-496-2551</v>
      </c>
    </row>
    <row r="11" spans="1:18" ht="19.899999999999999" customHeight="1" x14ac:dyDescent="0.2">
      <c r="A11" s="5">
        <f ca="1">DATE(YEAR(TODAY())-2,11,2)</f>
        <v>44867</v>
      </c>
      <c r="B11" s="5">
        <f ca="1">DATE(YEAR(TODAY())-2,11,9)</f>
        <v>44874</v>
      </c>
      <c r="C11" s="2" t="s">
        <v>20</v>
      </c>
      <c r="D11" s="2" t="s">
        <v>48</v>
      </c>
      <c r="E11" s="2" t="s">
        <v>17</v>
      </c>
      <c r="F11" s="2" t="s">
        <v>50</v>
      </c>
      <c r="G11" s="2" t="s">
        <v>49</v>
      </c>
      <c r="H11" s="1" t="str">
        <f t="shared" si="0"/>
        <v>Urbandale</v>
      </c>
      <c r="I11" s="2" t="s">
        <v>23</v>
      </c>
      <c r="J11" s="4">
        <v>27.24</v>
      </c>
      <c r="K11" s="1">
        <v>6</v>
      </c>
      <c r="L11" s="3">
        <v>0</v>
      </c>
      <c r="M11" s="4">
        <f t="shared" si="1"/>
        <v>163.44</v>
      </c>
      <c r="N11" s="1" t="s">
        <v>51</v>
      </c>
      <c r="O11" s="1" t="str">
        <f t="shared" si="2"/>
        <v>301-598-2426</v>
      </c>
    </row>
    <row r="12" spans="1:18" ht="19.899999999999999" customHeight="1" x14ac:dyDescent="0.2">
      <c r="A12" s="5">
        <f ca="1">DATE(YEAR(TODAY())-2,3,10)</f>
        <v>44630</v>
      </c>
      <c r="B12" s="5">
        <f ca="1">DATE(YEAR(TODAY())-2,3,12)</f>
        <v>44632</v>
      </c>
      <c r="C12" s="2" t="s">
        <v>39</v>
      </c>
      <c r="D12" s="2" t="s">
        <v>146</v>
      </c>
      <c r="E12" s="2" t="s">
        <v>17</v>
      </c>
      <c r="F12" s="2" t="s">
        <v>69</v>
      </c>
      <c r="G12" s="2" t="s">
        <v>147</v>
      </c>
      <c r="H12" s="1" t="str">
        <f t="shared" si="0"/>
        <v>Eagan</v>
      </c>
      <c r="I12" s="2" t="s">
        <v>32</v>
      </c>
      <c r="J12" s="4">
        <v>45.98</v>
      </c>
      <c r="K12" s="1">
        <v>2</v>
      </c>
      <c r="L12" s="3">
        <v>0</v>
      </c>
      <c r="M12" s="4">
        <f t="shared" si="1"/>
        <v>91.96</v>
      </c>
      <c r="N12" s="1" t="s">
        <v>148</v>
      </c>
      <c r="O12" s="1" t="str">
        <f t="shared" si="2"/>
        <v>301-598-2622</v>
      </c>
    </row>
    <row r="13" spans="1:18" ht="19.899999999999999" customHeight="1" x14ac:dyDescent="0.2">
      <c r="A13" s="5">
        <f ca="1">DATE(YEAR(TODAY())-3,1,30)</f>
        <v>44226</v>
      </c>
      <c r="B13" s="5">
        <f ca="1">DATE(YEAR(TODAY())-3,2,4)</f>
        <v>44231</v>
      </c>
      <c r="C13" s="2" t="s">
        <v>13</v>
      </c>
      <c r="D13" s="2" t="s">
        <v>120</v>
      </c>
      <c r="E13" s="2" t="s">
        <v>17</v>
      </c>
      <c r="F13" s="2" t="s">
        <v>69</v>
      </c>
      <c r="G13" s="2" t="s">
        <v>121</v>
      </c>
      <c r="H13" s="1" t="str">
        <f t="shared" si="0"/>
        <v>Minneapolis</v>
      </c>
      <c r="I13" s="2" t="s">
        <v>18</v>
      </c>
      <c r="J13" s="4">
        <v>53.34</v>
      </c>
      <c r="K13" s="1">
        <v>3</v>
      </c>
      <c r="L13" s="3">
        <v>0</v>
      </c>
      <c r="M13" s="4">
        <f t="shared" si="1"/>
        <v>160.02000000000001</v>
      </c>
      <c r="N13" s="1" t="s">
        <v>122</v>
      </c>
      <c r="O13" s="1" t="str">
        <f t="shared" si="2"/>
        <v>301-496-1430</v>
      </c>
    </row>
    <row r="14" spans="1:18" ht="19.899999999999999" customHeight="1" x14ac:dyDescent="0.2">
      <c r="A14" s="5">
        <f ca="1">DATE(YEAR(TODAY())-2,11,30)</f>
        <v>44895</v>
      </c>
      <c r="B14" s="5">
        <f ca="1">DATE(YEAR(TODAY())-2,12,3)</f>
        <v>44898</v>
      </c>
      <c r="C14" s="2" t="s">
        <v>13</v>
      </c>
      <c r="D14" s="2" t="s">
        <v>81</v>
      </c>
      <c r="E14" s="2" t="s">
        <v>17</v>
      </c>
      <c r="F14" s="2" t="s">
        <v>69</v>
      </c>
      <c r="G14" s="2" t="s">
        <v>82</v>
      </c>
      <c r="H14" s="1" t="str">
        <f t="shared" si="0"/>
        <v>Rochester</v>
      </c>
      <c r="I14" s="2" t="s">
        <v>23</v>
      </c>
      <c r="J14" s="4">
        <v>23.92</v>
      </c>
      <c r="K14" s="1">
        <v>4</v>
      </c>
      <c r="L14" s="3">
        <v>0</v>
      </c>
      <c r="M14" s="4">
        <f t="shared" si="1"/>
        <v>95.68</v>
      </c>
      <c r="N14" s="1" t="s">
        <v>83</v>
      </c>
      <c r="O14" s="1" t="str">
        <f t="shared" si="2"/>
        <v>301-598-2413</v>
      </c>
    </row>
    <row r="15" spans="1:18" ht="19.899999999999999" customHeight="1" x14ac:dyDescent="0.2">
      <c r="A15" s="5">
        <f ca="1">DATE(YEAR(TODAY())-1,10,25)</f>
        <v>45224</v>
      </c>
      <c r="B15" s="5">
        <f ca="1">DATE(YEAR(TODAY())-1,11,1)</f>
        <v>45231</v>
      </c>
      <c r="C15" s="2" t="s">
        <v>20</v>
      </c>
      <c r="D15" s="2" t="s">
        <v>154</v>
      </c>
      <c r="E15" s="2" t="s">
        <v>17</v>
      </c>
      <c r="F15" s="2" t="s">
        <v>69</v>
      </c>
      <c r="G15" s="2" t="s">
        <v>82</v>
      </c>
      <c r="H15" s="1" t="str">
        <f t="shared" si="0"/>
        <v>Rochester</v>
      </c>
      <c r="I15" s="2" t="s">
        <v>32</v>
      </c>
      <c r="J15" s="4">
        <v>19.989999999999998</v>
      </c>
      <c r="K15" s="1">
        <v>1</v>
      </c>
      <c r="L15" s="3">
        <v>0</v>
      </c>
      <c r="M15" s="4">
        <f t="shared" si="1"/>
        <v>19.989999999999998</v>
      </c>
      <c r="N15" s="1" t="s">
        <v>78</v>
      </c>
      <c r="O15" s="1" t="str">
        <f t="shared" si="2"/>
        <v>301-496-1873</v>
      </c>
    </row>
    <row r="16" spans="1:18" ht="19.899999999999999" customHeight="1" x14ac:dyDescent="0.2">
      <c r="A16" s="5">
        <f ca="1">DATE(YEAR(TODAY())-2,9,5)</f>
        <v>44809</v>
      </c>
      <c r="B16" s="5">
        <f ca="1">DATE(YEAR(TODAY())-2,9,10)</f>
        <v>44814</v>
      </c>
      <c r="C16" s="2" t="s">
        <v>20</v>
      </c>
      <c r="D16" s="2" t="s">
        <v>67</v>
      </c>
      <c r="E16" s="2" t="s">
        <v>17</v>
      </c>
      <c r="F16" s="2" t="s">
        <v>69</v>
      </c>
      <c r="G16" s="2" t="s">
        <v>68</v>
      </c>
      <c r="H16" s="1" t="str">
        <f t="shared" si="0"/>
        <v>Saint Paul</v>
      </c>
      <c r="I16" s="2" t="s">
        <v>23</v>
      </c>
      <c r="J16" s="4">
        <v>77.88</v>
      </c>
      <c r="K16" s="1">
        <v>6</v>
      </c>
      <c r="L16" s="3">
        <v>0</v>
      </c>
      <c r="M16" s="4">
        <f t="shared" si="1"/>
        <v>467.28</v>
      </c>
      <c r="N16" s="1" t="s">
        <v>70</v>
      </c>
      <c r="O16" s="1" t="str">
        <f t="shared" si="2"/>
        <v>301-598-2483</v>
      </c>
    </row>
    <row r="17" spans="1:15" ht="19.899999999999999" customHeight="1" x14ac:dyDescent="0.2">
      <c r="A17" s="5">
        <f ca="1">DATE(YEAR(TODAY())-1,12,21)</f>
        <v>45281</v>
      </c>
      <c r="B17" s="5">
        <f ca="1">DATE(YEAR(TODAY())-1,12,26)</f>
        <v>45286</v>
      </c>
      <c r="C17" s="2" t="s">
        <v>20</v>
      </c>
      <c r="D17" s="2" t="s">
        <v>180</v>
      </c>
      <c r="E17" s="2" t="s">
        <v>17</v>
      </c>
      <c r="F17" s="2" t="s">
        <v>182</v>
      </c>
      <c r="G17" s="2" t="s">
        <v>181</v>
      </c>
      <c r="H17" s="1" t="str">
        <f t="shared" si="0"/>
        <v>Independence</v>
      </c>
      <c r="I17" s="2" t="s">
        <v>23</v>
      </c>
      <c r="J17" s="4">
        <v>839.43</v>
      </c>
      <c r="K17" s="1">
        <v>3</v>
      </c>
      <c r="L17" s="3">
        <v>0</v>
      </c>
      <c r="M17" s="4">
        <f t="shared" si="1"/>
        <v>2518.29</v>
      </c>
      <c r="N17" s="1" t="s">
        <v>183</v>
      </c>
      <c r="O17" s="1" t="str">
        <f t="shared" si="2"/>
        <v>301-496-0014</v>
      </c>
    </row>
    <row r="18" spans="1:15" ht="19.899999999999999" customHeight="1" x14ac:dyDescent="0.2">
      <c r="A18" s="5">
        <f ca="1">DATE(YEAR(TODAY())-2,12,8)</f>
        <v>44903</v>
      </c>
      <c r="B18" s="5">
        <f ca="1">DATE(YEAR(TODAY())-2,12,12)</f>
        <v>44907</v>
      </c>
      <c r="C18" s="2" t="s">
        <v>20</v>
      </c>
      <c r="D18" s="2" t="s">
        <v>123</v>
      </c>
      <c r="E18" s="2" t="s">
        <v>17</v>
      </c>
      <c r="F18" s="2" t="s">
        <v>125</v>
      </c>
      <c r="G18" s="2" t="s">
        <v>124</v>
      </c>
      <c r="H18" s="1" t="str">
        <f t="shared" si="0"/>
        <v>Fremont</v>
      </c>
      <c r="I18" s="2" t="s">
        <v>23</v>
      </c>
      <c r="J18" s="4">
        <v>60.34</v>
      </c>
      <c r="K18" s="1">
        <v>7</v>
      </c>
      <c r="L18" s="3">
        <v>0</v>
      </c>
      <c r="M18" s="4">
        <f t="shared" si="1"/>
        <v>422.38</v>
      </c>
      <c r="N18" s="1" t="s">
        <v>126</v>
      </c>
      <c r="O18" s="1" t="str">
        <f t="shared" si="2"/>
        <v>301-598-2410</v>
      </c>
    </row>
    <row r="19" spans="1:15" ht="19.899999999999999" customHeight="1" x14ac:dyDescent="0.2">
      <c r="A19" s="5">
        <f ca="1">DATE(YEAR(TODAY())-2,11,19)</f>
        <v>44884</v>
      </c>
      <c r="B19" s="5">
        <f ca="1">DATE(YEAR(TODAY())-2,11,23)</f>
        <v>44888</v>
      </c>
      <c r="C19" s="2" t="s">
        <v>20</v>
      </c>
      <c r="D19" s="2" t="s">
        <v>142</v>
      </c>
      <c r="E19" s="2" t="s">
        <v>17</v>
      </c>
      <c r="F19" s="2" t="s">
        <v>144</v>
      </c>
      <c r="G19" s="2" t="s">
        <v>143</v>
      </c>
      <c r="H19" s="1" t="str">
        <f t="shared" si="0"/>
        <v>Edmond</v>
      </c>
      <c r="I19" s="2" t="s">
        <v>32</v>
      </c>
      <c r="J19" s="4">
        <v>944.93</v>
      </c>
      <c r="K19" s="1">
        <v>7</v>
      </c>
      <c r="L19" s="3">
        <v>0</v>
      </c>
      <c r="M19" s="4">
        <f t="shared" si="1"/>
        <v>6614.5099999999993</v>
      </c>
      <c r="N19" s="1" t="s">
        <v>145</v>
      </c>
      <c r="O19" s="1" t="str">
        <f t="shared" si="2"/>
        <v>301-598-2840</v>
      </c>
    </row>
    <row r="20" spans="1:15" ht="19.899999999999999" customHeight="1" x14ac:dyDescent="0.2">
      <c r="A20" s="5">
        <f ca="1">DATE(YEAR(TODAY())-3,11,20)</f>
        <v>44520</v>
      </c>
      <c r="B20" s="5">
        <f ca="1">DATE(YEAR(TODAY())-3,11,24)</f>
        <v>44524</v>
      </c>
      <c r="C20" s="2" t="s">
        <v>20</v>
      </c>
      <c r="D20" s="2" t="s">
        <v>90</v>
      </c>
      <c r="E20" s="2" t="s">
        <v>17</v>
      </c>
      <c r="F20" s="2" t="s">
        <v>16</v>
      </c>
      <c r="G20" s="2" t="s">
        <v>91</v>
      </c>
      <c r="H20" s="1" t="str">
        <f t="shared" si="0"/>
        <v>Fort Worth</v>
      </c>
      <c r="I20" s="2" t="s">
        <v>23</v>
      </c>
      <c r="J20" s="4">
        <v>68.81</v>
      </c>
      <c r="K20" s="1">
        <v>5</v>
      </c>
      <c r="L20" s="3">
        <v>0.8</v>
      </c>
      <c r="M20" s="4">
        <f t="shared" si="1"/>
        <v>68.809999999999988</v>
      </c>
      <c r="N20" s="1" t="s">
        <v>92</v>
      </c>
      <c r="O20" s="1" t="str">
        <f t="shared" si="2"/>
        <v>301-496-1150</v>
      </c>
    </row>
    <row r="21" spans="1:15" ht="19.899999999999999" customHeight="1" x14ac:dyDescent="0.2">
      <c r="A21" s="5">
        <f ca="1">DATE(YEAR(TODAY())-2,7,15)</f>
        <v>44757</v>
      </c>
      <c r="B21" s="5">
        <f ca="1">DATE(YEAR(TODAY())-2,7,21)</f>
        <v>44763</v>
      </c>
      <c r="C21" s="2" t="s">
        <v>20</v>
      </c>
      <c r="D21" s="2" t="s">
        <v>21</v>
      </c>
      <c r="E21" s="2" t="s">
        <v>17</v>
      </c>
      <c r="F21" s="2" t="s">
        <v>16</v>
      </c>
      <c r="G21" s="2" t="s">
        <v>22</v>
      </c>
      <c r="H21" s="1" t="str">
        <f t="shared" si="0"/>
        <v>Grand Prairie</v>
      </c>
      <c r="I21" s="2" t="s">
        <v>23</v>
      </c>
      <c r="J21" s="4">
        <v>37.22</v>
      </c>
      <c r="K21" s="1">
        <v>3</v>
      </c>
      <c r="L21" s="3">
        <v>0.2</v>
      </c>
      <c r="M21" s="4">
        <f t="shared" si="1"/>
        <v>89.328000000000003</v>
      </c>
      <c r="N21" s="1" t="s">
        <v>24</v>
      </c>
      <c r="O21" s="1" t="str">
        <f t="shared" si="2"/>
        <v>301-496-1994</v>
      </c>
    </row>
    <row r="22" spans="1:15" ht="19.899999999999999" customHeight="1" x14ac:dyDescent="0.2">
      <c r="A22" s="5">
        <f ca="1">DATE(YEAR(TODAY())-4,12,25)</f>
        <v>44190</v>
      </c>
      <c r="B22" s="5">
        <f ca="1">DATE(YEAR(TODAY())-4,12,27)</f>
        <v>44192</v>
      </c>
      <c r="C22" s="2" t="s">
        <v>13</v>
      </c>
      <c r="D22" s="2" t="s">
        <v>14</v>
      </c>
      <c r="E22" s="2" t="s">
        <v>17</v>
      </c>
      <c r="F22" s="2" t="s">
        <v>16</v>
      </c>
      <c r="G22" s="2" t="s">
        <v>15</v>
      </c>
      <c r="H22" s="1" t="str">
        <f t="shared" si="0"/>
        <v>Houston</v>
      </c>
      <c r="I22" s="2" t="s">
        <v>18</v>
      </c>
      <c r="J22" s="4">
        <v>600.55999999999995</v>
      </c>
      <c r="K22" s="1">
        <v>3</v>
      </c>
      <c r="L22" s="3">
        <v>0.3</v>
      </c>
      <c r="M22" s="4">
        <f t="shared" si="1"/>
        <v>1261.1759999999997</v>
      </c>
      <c r="N22" s="1" t="s">
        <v>19</v>
      </c>
      <c r="O22" s="1" t="str">
        <f t="shared" si="2"/>
        <v>301-496-1850</v>
      </c>
    </row>
    <row r="23" spans="1:15" ht="19.899999999999999" customHeight="1" x14ac:dyDescent="0.2">
      <c r="A23" s="5">
        <f ca="1">DATE(YEAR(TODAY())-2,4,4)</f>
        <v>44655</v>
      </c>
      <c r="B23" s="5">
        <f ca="1">DATE(YEAR(TODAY())-2,4,9)</f>
        <v>44660</v>
      </c>
      <c r="C23" s="2" t="s">
        <v>13</v>
      </c>
      <c r="D23" s="2" t="s">
        <v>79</v>
      </c>
      <c r="E23" s="2" t="s">
        <v>17</v>
      </c>
      <c r="F23" s="2" t="s">
        <v>16</v>
      </c>
      <c r="G23" s="2" t="s">
        <v>15</v>
      </c>
      <c r="H23" s="1" t="str">
        <f t="shared" si="0"/>
        <v>Houston</v>
      </c>
      <c r="I23" s="2" t="s">
        <v>23</v>
      </c>
      <c r="J23" s="4">
        <v>158.37</v>
      </c>
      <c r="K23" s="1">
        <v>7</v>
      </c>
      <c r="L23" s="3">
        <v>0.2</v>
      </c>
      <c r="M23" s="4">
        <f t="shared" si="1"/>
        <v>886.87200000000018</v>
      </c>
      <c r="N23" s="1" t="s">
        <v>80</v>
      </c>
      <c r="O23" s="1" t="str">
        <f t="shared" si="2"/>
        <v>301-496-1886</v>
      </c>
    </row>
    <row r="24" spans="1:15" ht="19.899999999999999" customHeight="1" x14ac:dyDescent="0.2">
      <c r="A24" s="5">
        <f ca="1">DATE(YEAR(TODAY())-1,12,8)</f>
        <v>45268</v>
      </c>
      <c r="B24" s="5">
        <f ca="1">DATE(YEAR(TODAY())-1,12,10)</f>
        <v>45270</v>
      </c>
      <c r="C24" s="2" t="s">
        <v>39</v>
      </c>
      <c r="D24" s="2" t="s">
        <v>127</v>
      </c>
      <c r="E24" s="2" t="s">
        <v>17</v>
      </c>
      <c r="F24" s="2" t="s">
        <v>16</v>
      </c>
      <c r="G24" s="2" t="s">
        <v>15</v>
      </c>
      <c r="H24" s="1" t="str">
        <f t="shared" si="0"/>
        <v>Houston</v>
      </c>
      <c r="I24" s="2" t="s">
        <v>23</v>
      </c>
      <c r="J24" s="4">
        <v>27.24</v>
      </c>
      <c r="K24" s="1">
        <v>3</v>
      </c>
      <c r="L24" s="3">
        <v>0.2</v>
      </c>
      <c r="M24" s="4">
        <f t="shared" si="1"/>
        <v>65.376000000000005</v>
      </c>
      <c r="N24" s="1" t="s">
        <v>128</v>
      </c>
      <c r="O24" s="1" t="str">
        <f t="shared" si="2"/>
        <v>301-496-2051</v>
      </c>
    </row>
    <row r="25" spans="1:15" ht="19.899999999999999" customHeight="1" x14ac:dyDescent="0.2">
      <c r="A25" s="5">
        <f ca="1">DATE(YEAR(TODAY())-1,10,18)</f>
        <v>45217</v>
      </c>
      <c r="B25" s="5">
        <f ca="1">DATE(YEAR(TODAY())-1,10,22)</f>
        <v>45221</v>
      </c>
      <c r="C25" s="2" t="s">
        <v>13</v>
      </c>
      <c r="D25" s="2" t="s">
        <v>137</v>
      </c>
      <c r="E25" s="2" t="s">
        <v>17</v>
      </c>
      <c r="F25" s="2" t="s">
        <v>16</v>
      </c>
      <c r="G25" s="2" t="s">
        <v>15</v>
      </c>
      <c r="H25" s="1" t="str">
        <f t="shared" si="0"/>
        <v>Houston</v>
      </c>
      <c r="I25" s="2" t="s">
        <v>23</v>
      </c>
      <c r="J25" s="4">
        <v>29.47</v>
      </c>
      <c r="K25" s="1">
        <v>3</v>
      </c>
      <c r="L25" s="3">
        <v>0.2</v>
      </c>
      <c r="M25" s="4">
        <f t="shared" si="1"/>
        <v>70.727999999999994</v>
      </c>
      <c r="N25" s="1" t="s">
        <v>138</v>
      </c>
      <c r="O25" s="1" t="str">
        <f t="shared" si="2"/>
        <v>301-598-2530</v>
      </c>
    </row>
    <row r="26" spans="1:15" ht="19.899999999999999" customHeight="1" x14ac:dyDescent="0.2">
      <c r="A26" s="5">
        <f ca="1">DATE(YEAR(TODAY())-1,4,20)</f>
        <v>45036</v>
      </c>
      <c r="B26" s="5">
        <f ca="1">DATE(YEAR(TODAY())-1,4,24)</f>
        <v>45040</v>
      </c>
      <c r="C26" s="2" t="s">
        <v>13</v>
      </c>
      <c r="D26" s="2" t="s">
        <v>187</v>
      </c>
      <c r="E26" s="2" t="s">
        <v>17</v>
      </c>
      <c r="F26" s="2" t="s">
        <v>16</v>
      </c>
      <c r="G26" s="2" t="s">
        <v>15</v>
      </c>
      <c r="H26" s="1" t="str">
        <f t="shared" si="0"/>
        <v>Houston</v>
      </c>
      <c r="I26" s="2" t="s">
        <v>23</v>
      </c>
      <c r="J26" s="4">
        <v>97.26</v>
      </c>
      <c r="K26" s="1">
        <v>4</v>
      </c>
      <c r="L26" s="3">
        <v>0.8</v>
      </c>
      <c r="M26" s="4">
        <f t="shared" si="1"/>
        <v>77.807999999999993</v>
      </c>
      <c r="N26" s="1" t="s">
        <v>188</v>
      </c>
      <c r="O26" s="1" t="str">
        <f t="shared" si="2"/>
        <v>301-496-0016</v>
      </c>
    </row>
    <row r="27" spans="1:15" ht="19.899999999999999" customHeight="1" x14ac:dyDescent="0.2">
      <c r="A27" s="5">
        <f ca="1">DATE(YEAR(TODAY())-3,12,25)</f>
        <v>44555</v>
      </c>
      <c r="B27" s="5">
        <f ca="1">DATE(YEAR(TODAY())-3,12,29)</f>
        <v>44559</v>
      </c>
      <c r="C27" s="2" t="s">
        <v>20</v>
      </c>
      <c r="D27" s="2" t="s">
        <v>189</v>
      </c>
      <c r="E27" s="2" t="s">
        <v>17</v>
      </c>
      <c r="F27" s="2" t="s">
        <v>16</v>
      </c>
      <c r="G27" s="2" t="s">
        <v>15</v>
      </c>
      <c r="H27" s="1" t="str">
        <f t="shared" si="0"/>
        <v>Houston</v>
      </c>
      <c r="I27" s="2" t="s">
        <v>18</v>
      </c>
      <c r="J27" s="4">
        <v>532.4</v>
      </c>
      <c r="K27" s="1">
        <v>3</v>
      </c>
      <c r="L27" s="3">
        <v>0.32</v>
      </c>
      <c r="M27" s="4">
        <f t="shared" si="1"/>
        <v>1086.0959999999998</v>
      </c>
      <c r="N27" s="1" t="s">
        <v>190</v>
      </c>
      <c r="O27" s="1" t="str">
        <f t="shared" si="2"/>
        <v>301-496-0018</v>
      </c>
    </row>
    <row r="28" spans="1:15" ht="19.899999999999999" customHeight="1" x14ac:dyDescent="0.2">
      <c r="A28" s="5">
        <f ca="1">DATE(YEAR(TODAY())-2,12,7)</f>
        <v>44902</v>
      </c>
      <c r="B28" s="5">
        <f ca="1">DATE(YEAR(TODAY())-2,12,9)</f>
        <v>44904</v>
      </c>
      <c r="C28" s="2" t="s">
        <v>39</v>
      </c>
      <c r="D28" s="2" t="s">
        <v>84</v>
      </c>
      <c r="E28" s="2" t="s">
        <v>17</v>
      </c>
      <c r="F28" s="2" t="s">
        <v>16</v>
      </c>
      <c r="G28" s="2" t="s">
        <v>85</v>
      </c>
      <c r="H28" s="1" t="str">
        <f t="shared" si="0"/>
        <v>Richardson</v>
      </c>
      <c r="I28" s="2" t="s">
        <v>32</v>
      </c>
      <c r="J28" s="4">
        <v>1097.54</v>
      </c>
      <c r="K28" s="1">
        <v>7</v>
      </c>
      <c r="L28" s="3">
        <v>0.2</v>
      </c>
      <c r="M28" s="4">
        <f t="shared" si="1"/>
        <v>6146.2240000000002</v>
      </c>
      <c r="N28" s="1" t="s">
        <v>60</v>
      </c>
      <c r="O28" s="1" t="str">
        <f t="shared" si="2"/>
        <v>301-496-1722</v>
      </c>
    </row>
    <row r="29" spans="1:15" ht="19.899999999999999" customHeight="1" x14ac:dyDescent="0.2">
      <c r="A29" s="5">
        <f ca="1">DATE(YEAR(TODAY())-4,9,7)</f>
        <v>44081</v>
      </c>
      <c r="B29" s="5">
        <f ca="1">DATE(YEAR(TODAY())-4,9,11)</f>
        <v>44085</v>
      </c>
      <c r="C29" s="2" t="s">
        <v>20</v>
      </c>
      <c r="D29" s="2" t="s">
        <v>30</v>
      </c>
      <c r="E29" s="2" t="s">
        <v>17</v>
      </c>
      <c r="F29" s="2" t="s">
        <v>16</v>
      </c>
      <c r="G29" s="2" t="s">
        <v>31</v>
      </c>
      <c r="H29" s="1" t="str">
        <f t="shared" si="0"/>
        <v>Ribeirão Preto</v>
      </c>
      <c r="I29" s="2" t="s">
        <v>32</v>
      </c>
      <c r="J29" s="4">
        <v>8159.95</v>
      </c>
      <c r="K29" s="1">
        <v>8</v>
      </c>
      <c r="L29" s="3">
        <v>0.4</v>
      </c>
      <c r="M29" s="4">
        <f t="shared" si="1"/>
        <v>39167.759999999995</v>
      </c>
      <c r="N29" s="1" t="s">
        <v>33</v>
      </c>
      <c r="O29" s="1" t="str">
        <f t="shared" si="2"/>
        <v>301-598-2470</v>
      </c>
    </row>
    <row r="30" spans="1:15" ht="19.899999999999999" customHeight="1" x14ac:dyDescent="0.2">
      <c r="A30" s="5">
        <f ca="1">DATE(YEAR(TODAY())-2,12,4)</f>
        <v>44899</v>
      </c>
      <c r="B30" s="5">
        <f ca="1">DATE(YEAR(TODAY())-2,12,8)</f>
        <v>44903</v>
      </c>
      <c r="C30" s="2" t="s">
        <v>20</v>
      </c>
      <c r="D30" s="2" t="s">
        <v>112</v>
      </c>
      <c r="E30" s="2" t="s">
        <v>17</v>
      </c>
      <c r="F30" s="2" t="s">
        <v>114</v>
      </c>
      <c r="G30" s="2" t="s">
        <v>113</v>
      </c>
      <c r="H30" s="1" t="str">
        <f t="shared" si="0"/>
        <v>Franklin</v>
      </c>
      <c r="I30" s="2" t="s">
        <v>18</v>
      </c>
      <c r="J30" s="4">
        <v>213</v>
      </c>
      <c r="K30" s="1">
        <v>8</v>
      </c>
      <c r="L30" s="3">
        <v>0</v>
      </c>
      <c r="M30" s="4">
        <f t="shared" si="1"/>
        <v>1704</v>
      </c>
      <c r="N30" s="1" t="s">
        <v>115</v>
      </c>
      <c r="O30" s="1" t="str">
        <f t="shared" si="2"/>
        <v>301-496-1323</v>
      </c>
    </row>
    <row r="31" spans="1:15" ht="19.899999999999999" customHeight="1" x14ac:dyDescent="0.2">
      <c r="A31" s="5">
        <f ca="1">DATE(YEAR(TODAY())-4,11,10)</f>
        <v>44145</v>
      </c>
      <c r="B31" s="5">
        <f ca="1">DATE(YEAR(TODAY())-4,11,17)</f>
        <v>44152</v>
      </c>
      <c r="C31" s="2" t="s">
        <v>20</v>
      </c>
      <c r="D31" s="2" t="s">
        <v>160</v>
      </c>
      <c r="E31" s="2" t="s">
        <v>17</v>
      </c>
      <c r="F31" s="2" t="s">
        <v>114</v>
      </c>
      <c r="G31" s="2" t="s">
        <v>161</v>
      </c>
      <c r="H31" s="1" t="str">
        <f t="shared" si="0"/>
        <v>Madison</v>
      </c>
      <c r="I31" s="2" t="s">
        <v>23</v>
      </c>
      <c r="J31" s="4">
        <v>665.88</v>
      </c>
      <c r="K31" s="1">
        <v>6</v>
      </c>
      <c r="L31" s="3">
        <v>0</v>
      </c>
      <c r="M31" s="4">
        <f t="shared" si="1"/>
        <v>3995.2799999999997</v>
      </c>
      <c r="N31" s="1" t="s">
        <v>162</v>
      </c>
      <c r="O31" s="1" t="str">
        <f t="shared" si="2"/>
        <v>301-496-0003</v>
      </c>
    </row>
    <row r="32" spans="1:15" ht="19.899999999999999" customHeight="1" x14ac:dyDescent="0.2">
      <c r="A32" s="5">
        <f ca="1">DATE(YEAR(TODAY())-2,11,27)</f>
        <v>44892</v>
      </c>
      <c r="B32" s="5">
        <f ca="1">DATE(YEAR(TODAY())-2,12,1)</f>
        <v>44896</v>
      </c>
      <c r="C32" s="2" t="s">
        <v>20</v>
      </c>
      <c r="D32" s="2" t="s">
        <v>174</v>
      </c>
      <c r="E32" s="2" t="s">
        <v>37</v>
      </c>
      <c r="F32" s="2" t="s">
        <v>176</v>
      </c>
      <c r="G32" s="2" t="s">
        <v>175</v>
      </c>
      <c r="H32" s="1" t="str">
        <f t="shared" si="0"/>
        <v>Fairfield</v>
      </c>
      <c r="I32" s="2" t="s">
        <v>23</v>
      </c>
      <c r="J32" s="4">
        <v>7.16</v>
      </c>
      <c r="K32" s="1">
        <v>2</v>
      </c>
      <c r="L32" s="3">
        <v>0</v>
      </c>
      <c r="M32" s="4">
        <f t="shared" si="1"/>
        <v>14.32</v>
      </c>
      <c r="N32" s="1" t="s">
        <v>177</v>
      </c>
      <c r="O32" s="1" t="str">
        <f t="shared" si="2"/>
        <v>101-496-0012</v>
      </c>
    </row>
    <row r="33" spans="1:15" ht="19.899999999999999" customHeight="1" x14ac:dyDescent="0.2">
      <c r="A33" s="5">
        <f ca="1">DATE(YEAR(TODAY())-2,6,19)</f>
        <v>44731</v>
      </c>
      <c r="B33" s="5">
        <f ca="1">DATE(YEAR(TODAY())-2,6,24)</f>
        <v>44736</v>
      </c>
      <c r="C33" s="2" t="s">
        <v>20</v>
      </c>
      <c r="D33" s="2" t="s">
        <v>129</v>
      </c>
      <c r="E33" s="2" t="s">
        <v>37</v>
      </c>
      <c r="F33" s="2" t="s">
        <v>131</v>
      </c>
      <c r="G33" s="2" t="s">
        <v>130</v>
      </c>
      <c r="H33" s="1" t="str">
        <f t="shared" si="0"/>
        <v>Dover</v>
      </c>
      <c r="I33" s="2" t="s">
        <v>32</v>
      </c>
      <c r="J33" s="4">
        <v>45</v>
      </c>
      <c r="K33" s="1">
        <v>3</v>
      </c>
      <c r="L33" s="3">
        <v>0</v>
      </c>
      <c r="M33" s="4">
        <f t="shared" si="1"/>
        <v>135</v>
      </c>
      <c r="N33" s="1" t="s">
        <v>132</v>
      </c>
      <c r="O33" s="1" t="str">
        <f t="shared" si="2"/>
        <v>101-496-1119</v>
      </c>
    </row>
    <row r="34" spans="1:15" ht="19.899999999999999" customHeight="1" x14ac:dyDescent="0.2">
      <c r="A34" s="5">
        <f ca="1">DATE(YEAR(TODAY())-2,6,11)</f>
        <v>44723</v>
      </c>
      <c r="B34" s="5">
        <f ca="1">DATE(YEAR(TODAY())-2,6,14)</f>
        <v>44726</v>
      </c>
      <c r="C34" s="2" t="s">
        <v>39</v>
      </c>
      <c r="D34" s="2" t="s">
        <v>191</v>
      </c>
      <c r="E34" s="2" t="s">
        <v>37</v>
      </c>
      <c r="F34" s="2" t="s">
        <v>131</v>
      </c>
      <c r="G34" s="2" t="s">
        <v>192</v>
      </c>
      <c r="H34" s="1" t="str">
        <f t="shared" ref="H34:H65" si="3">IF(G34="San Antonio","Ribeirão Preto",G34)</f>
        <v>Wilmington</v>
      </c>
      <c r="I34" s="2" t="s">
        <v>23</v>
      </c>
      <c r="J34" s="4">
        <v>226.56</v>
      </c>
      <c r="K34" s="1">
        <v>6</v>
      </c>
      <c r="L34" s="3">
        <v>0</v>
      </c>
      <c r="M34" s="4">
        <f t="shared" ref="M34:M62" si="4">J34*K34*(1-L34)</f>
        <v>1359.3600000000001</v>
      </c>
      <c r="N34" s="1" t="s">
        <v>193</v>
      </c>
      <c r="O34" s="1" t="str">
        <f t="shared" ref="O34:O65" si="5">IF(E34=$Q$2,$R$2&amp;"-"&amp;N34,IF(E34=$Q$3,$R$3&amp;"-"&amp;N34,IF(E34=$Q$4,$R$4&amp;"-"&amp;N34)))</f>
        <v>101-496-0019</v>
      </c>
    </row>
    <row r="35" spans="1:15" ht="19.899999999999999" customHeight="1" x14ac:dyDescent="0.2">
      <c r="A35" s="5">
        <f ca="1">DATE(YEAR(TODAY())-1,11,5)</f>
        <v>45235</v>
      </c>
      <c r="B35" s="5">
        <f ca="1">DATE(YEAR(TODAY())-1,11,12)</f>
        <v>45242</v>
      </c>
      <c r="C35" s="2" t="s">
        <v>20</v>
      </c>
      <c r="D35" s="2" t="s">
        <v>201</v>
      </c>
      <c r="E35" s="2" t="s">
        <v>37</v>
      </c>
      <c r="F35" s="2" t="s">
        <v>203</v>
      </c>
      <c r="G35" s="2" t="s">
        <v>202</v>
      </c>
      <c r="H35" s="1" t="str">
        <f t="shared" si="3"/>
        <v>Westfield</v>
      </c>
      <c r="I35" s="2" t="s">
        <v>23</v>
      </c>
      <c r="J35" s="4">
        <v>46.26</v>
      </c>
      <c r="K35" s="1">
        <v>3</v>
      </c>
      <c r="L35" s="3">
        <v>0</v>
      </c>
      <c r="M35" s="4">
        <f t="shared" si="4"/>
        <v>138.78</v>
      </c>
      <c r="N35" s="1" t="s">
        <v>204</v>
      </c>
      <c r="O35" s="1" t="str">
        <f t="shared" si="5"/>
        <v>101-496-0026</v>
      </c>
    </row>
    <row r="36" spans="1:15" ht="19.899999999999999" customHeight="1" x14ac:dyDescent="0.2">
      <c r="A36" s="5">
        <f ca="1">DATE(YEAR(TODAY())-1,12,24)</f>
        <v>45284</v>
      </c>
      <c r="B36" s="5">
        <f ca="1">DATE(YEAR(TODAY())-1,12,29)</f>
        <v>45289</v>
      </c>
      <c r="C36" s="2" t="s">
        <v>20</v>
      </c>
      <c r="D36" s="2" t="s">
        <v>52</v>
      </c>
      <c r="E36" s="2" t="s">
        <v>37</v>
      </c>
      <c r="F36" s="2" t="s">
        <v>54</v>
      </c>
      <c r="G36" s="2" t="s">
        <v>53</v>
      </c>
      <c r="H36" s="1" t="str">
        <f t="shared" si="3"/>
        <v>New York City</v>
      </c>
      <c r="I36" s="2" t="s">
        <v>18</v>
      </c>
      <c r="J36" s="4">
        <v>41.96</v>
      </c>
      <c r="K36" s="1">
        <v>2</v>
      </c>
      <c r="L36" s="3">
        <v>0</v>
      </c>
      <c r="M36" s="4">
        <f t="shared" si="4"/>
        <v>83.92</v>
      </c>
      <c r="N36" s="1" t="s">
        <v>55</v>
      </c>
      <c r="O36" s="1" t="str">
        <f t="shared" si="5"/>
        <v>101-598-2796</v>
      </c>
    </row>
    <row r="37" spans="1:15" ht="19.899999999999999" customHeight="1" x14ac:dyDescent="0.2">
      <c r="A37" s="5">
        <f ca="1">DATE(YEAR(TODAY())-2,9,17)</f>
        <v>44821</v>
      </c>
      <c r="B37" s="5">
        <f ca="1">DATE(YEAR(TODAY())-2,9,22)</f>
        <v>44826</v>
      </c>
      <c r="C37" s="2" t="s">
        <v>20</v>
      </c>
      <c r="D37" s="2" t="s">
        <v>93</v>
      </c>
      <c r="E37" s="2" t="s">
        <v>37</v>
      </c>
      <c r="F37" s="2" t="s">
        <v>54</v>
      </c>
      <c r="G37" s="2" t="s">
        <v>53</v>
      </c>
      <c r="H37" s="1" t="str">
        <f t="shared" si="3"/>
        <v>New York City</v>
      </c>
      <c r="I37" s="2" t="s">
        <v>23</v>
      </c>
      <c r="J37" s="4">
        <v>4.62</v>
      </c>
      <c r="K37" s="1">
        <v>1</v>
      </c>
      <c r="L37" s="3">
        <v>0.2</v>
      </c>
      <c r="M37" s="4">
        <f t="shared" si="4"/>
        <v>3.6960000000000002</v>
      </c>
      <c r="N37" s="1" t="s">
        <v>94</v>
      </c>
      <c r="O37" s="1" t="str">
        <f t="shared" si="5"/>
        <v>101-496-1769</v>
      </c>
    </row>
    <row r="38" spans="1:15" ht="19.899999999999999" customHeight="1" x14ac:dyDescent="0.2">
      <c r="A38" s="5">
        <f ca="1">DATE(YEAR(TODAY())-2,12,10)</f>
        <v>44905</v>
      </c>
      <c r="B38" s="5">
        <f ca="1">DATE(YEAR(TODAY())-2,12,16)</f>
        <v>44911</v>
      </c>
      <c r="C38" s="2" t="s">
        <v>20</v>
      </c>
      <c r="D38" s="2" t="s">
        <v>98</v>
      </c>
      <c r="E38" s="2" t="s">
        <v>37</v>
      </c>
      <c r="F38" s="2" t="s">
        <v>54</v>
      </c>
      <c r="G38" s="2" t="s">
        <v>53</v>
      </c>
      <c r="H38" s="1" t="str">
        <f t="shared" si="3"/>
        <v>New York City</v>
      </c>
      <c r="I38" s="2" t="s">
        <v>32</v>
      </c>
      <c r="J38" s="4">
        <v>1029.95</v>
      </c>
      <c r="K38" s="1">
        <v>5</v>
      </c>
      <c r="L38" s="3">
        <v>0</v>
      </c>
      <c r="M38" s="4">
        <f t="shared" si="4"/>
        <v>5149.75</v>
      </c>
      <c r="N38" s="1" t="s">
        <v>99</v>
      </c>
      <c r="O38" s="1" t="str">
        <f t="shared" si="5"/>
        <v>101-598-2333</v>
      </c>
    </row>
    <row r="39" spans="1:15" ht="19.899999999999999" customHeight="1" x14ac:dyDescent="0.2">
      <c r="A39" s="5">
        <f ca="1">DATE(YEAR(TODAY())-3,12,13)</f>
        <v>44543</v>
      </c>
      <c r="B39" s="5">
        <f ca="1">DATE(YEAR(TODAY())-3,12,17)</f>
        <v>44547</v>
      </c>
      <c r="C39" s="2" t="s">
        <v>20</v>
      </c>
      <c r="D39" s="2" t="s">
        <v>102</v>
      </c>
      <c r="E39" s="2" t="s">
        <v>37</v>
      </c>
      <c r="F39" s="2" t="s">
        <v>54</v>
      </c>
      <c r="G39" s="2" t="s">
        <v>53</v>
      </c>
      <c r="H39" s="1" t="str">
        <f t="shared" si="3"/>
        <v>New York City</v>
      </c>
      <c r="I39" s="2" t="s">
        <v>23</v>
      </c>
      <c r="J39" s="4">
        <v>3.28</v>
      </c>
      <c r="K39" s="1">
        <v>1</v>
      </c>
      <c r="L39" s="3">
        <v>0</v>
      </c>
      <c r="M39" s="4">
        <f t="shared" si="4"/>
        <v>3.28</v>
      </c>
      <c r="N39" s="1" t="s">
        <v>103</v>
      </c>
      <c r="O39" s="1" t="str">
        <f t="shared" si="5"/>
        <v>101-496-1378</v>
      </c>
    </row>
    <row r="40" spans="1:15" ht="19.899999999999999" customHeight="1" x14ac:dyDescent="0.2">
      <c r="A40" s="5">
        <f ca="1">DATE(YEAR(TODAY())-3,10,10)</f>
        <v>44479</v>
      </c>
      <c r="B40" s="5">
        <f ca="1">DATE(YEAR(TODAY())-3,10,12)</f>
        <v>44481</v>
      </c>
      <c r="C40" s="2" t="s">
        <v>39</v>
      </c>
      <c r="D40" s="2" t="s">
        <v>135</v>
      </c>
      <c r="E40" s="2" t="s">
        <v>37</v>
      </c>
      <c r="F40" s="2" t="s">
        <v>54</v>
      </c>
      <c r="G40" s="2" t="s">
        <v>53</v>
      </c>
      <c r="H40" s="1" t="str">
        <f t="shared" si="3"/>
        <v>New York City</v>
      </c>
      <c r="I40" s="2" t="s">
        <v>18</v>
      </c>
      <c r="J40" s="4">
        <v>899.14</v>
      </c>
      <c r="K40" s="1">
        <v>4</v>
      </c>
      <c r="L40" s="3">
        <v>0.2</v>
      </c>
      <c r="M40" s="4">
        <f t="shared" si="4"/>
        <v>2877.248</v>
      </c>
      <c r="N40" s="1" t="s">
        <v>136</v>
      </c>
      <c r="O40" s="1" t="str">
        <f t="shared" si="5"/>
        <v>101-496-2770</v>
      </c>
    </row>
    <row r="41" spans="1:15" ht="19.899999999999999" customHeight="1" x14ac:dyDescent="0.2">
      <c r="A41" s="5">
        <f ca="1">DATE(YEAR(TODAY())-1,11,8)</f>
        <v>45238</v>
      </c>
      <c r="B41" s="5">
        <f ca="1">DATE(YEAR(TODAY())-1,11,10)</f>
        <v>45240</v>
      </c>
      <c r="C41" s="2" t="s">
        <v>13</v>
      </c>
      <c r="D41" s="2" t="s">
        <v>149</v>
      </c>
      <c r="E41" s="2" t="s">
        <v>37</v>
      </c>
      <c r="F41" s="2" t="s">
        <v>54</v>
      </c>
      <c r="G41" s="2" t="s">
        <v>53</v>
      </c>
      <c r="H41" s="1" t="str">
        <f t="shared" si="3"/>
        <v>New York City</v>
      </c>
      <c r="I41" s="2" t="s">
        <v>18</v>
      </c>
      <c r="J41" s="4">
        <v>96.53</v>
      </c>
      <c r="K41" s="1">
        <v>7</v>
      </c>
      <c r="L41" s="3">
        <v>0</v>
      </c>
      <c r="M41" s="4">
        <f t="shared" si="4"/>
        <v>675.71</v>
      </c>
      <c r="N41" s="1" t="s">
        <v>150</v>
      </c>
      <c r="O41" s="1" t="str">
        <f t="shared" si="5"/>
        <v>101-496-1242</v>
      </c>
    </row>
    <row r="42" spans="1:15" ht="19.899999999999999" customHeight="1" x14ac:dyDescent="0.2">
      <c r="A42" s="5">
        <f ca="1">DATE(YEAR(TODAY())-2,6,16)</f>
        <v>44728</v>
      </c>
      <c r="B42" s="5">
        <f ca="1">DATE(YEAR(TODAY())-2,6,17)</f>
        <v>44729</v>
      </c>
      <c r="C42" s="2" t="s">
        <v>39</v>
      </c>
      <c r="D42" s="2" t="s">
        <v>196</v>
      </c>
      <c r="E42" s="2" t="s">
        <v>37</v>
      </c>
      <c r="F42" s="2" t="s">
        <v>54</v>
      </c>
      <c r="G42" s="2" t="s">
        <v>197</v>
      </c>
      <c r="H42" s="1" t="str">
        <f t="shared" si="3"/>
        <v>Troy</v>
      </c>
      <c r="I42" s="2" t="s">
        <v>18</v>
      </c>
      <c r="J42" s="4">
        <v>319.41000000000003</v>
      </c>
      <c r="K42" s="1">
        <v>5</v>
      </c>
      <c r="L42" s="3">
        <v>0.1</v>
      </c>
      <c r="M42" s="4">
        <f t="shared" si="4"/>
        <v>1437.3450000000003</v>
      </c>
      <c r="N42" s="1" t="s">
        <v>198</v>
      </c>
      <c r="O42" s="1" t="str">
        <f t="shared" si="5"/>
        <v>101-496-0022</v>
      </c>
    </row>
    <row r="43" spans="1:15" ht="19.899999999999999" customHeight="1" x14ac:dyDescent="0.2">
      <c r="A43" s="5">
        <f ca="1">DATE(YEAR(TODAY())-1,2,1)</f>
        <v>44958</v>
      </c>
      <c r="B43" s="5">
        <f ca="1">DATE(YEAR(TODAY())-1,2,4)</f>
        <v>44961</v>
      </c>
      <c r="C43" s="2" t="s">
        <v>39</v>
      </c>
      <c r="D43" s="2" t="s">
        <v>64</v>
      </c>
      <c r="E43" s="2" t="s">
        <v>37</v>
      </c>
      <c r="F43" s="2" t="s">
        <v>36</v>
      </c>
      <c r="G43" s="2" t="s">
        <v>65</v>
      </c>
      <c r="H43" s="1" t="str">
        <f t="shared" si="3"/>
        <v>Columbus</v>
      </c>
      <c r="I43" s="2" t="s">
        <v>23</v>
      </c>
      <c r="J43" s="4">
        <v>78.3</v>
      </c>
      <c r="K43" s="1">
        <v>2</v>
      </c>
      <c r="L43" s="3">
        <v>0.2</v>
      </c>
      <c r="M43" s="4">
        <f t="shared" si="4"/>
        <v>125.28</v>
      </c>
      <c r="N43" s="1" t="s">
        <v>66</v>
      </c>
      <c r="O43" s="1" t="str">
        <f t="shared" si="5"/>
        <v>101-496-1617</v>
      </c>
    </row>
    <row r="44" spans="1:15" ht="19.899999999999999" customHeight="1" x14ac:dyDescent="0.2">
      <c r="A44" s="5">
        <f ca="1">DATE(YEAR(TODAY())-4,8,24)</f>
        <v>44067</v>
      </c>
      <c r="B44" s="5">
        <f ca="1">DATE(YEAR(TODAY())-4,8,26)</f>
        <v>44069</v>
      </c>
      <c r="C44" s="2" t="s">
        <v>13</v>
      </c>
      <c r="D44" s="2" t="s">
        <v>172</v>
      </c>
      <c r="E44" s="2" t="s">
        <v>37</v>
      </c>
      <c r="F44" s="2" t="s">
        <v>36</v>
      </c>
      <c r="G44" s="2" t="s">
        <v>65</v>
      </c>
      <c r="H44" s="1" t="str">
        <f t="shared" si="3"/>
        <v>Columbus</v>
      </c>
      <c r="I44" s="2" t="s">
        <v>23</v>
      </c>
      <c r="J44" s="4">
        <v>130.46</v>
      </c>
      <c r="K44" s="1">
        <v>6</v>
      </c>
      <c r="L44" s="3">
        <v>0.2</v>
      </c>
      <c r="M44" s="4">
        <f t="shared" si="4"/>
        <v>626.20800000000008</v>
      </c>
      <c r="N44" s="1" t="s">
        <v>173</v>
      </c>
      <c r="O44" s="1" t="str">
        <f t="shared" si="5"/>
        <v>101-496-0010</v>
      </c>
    </row>
    <row r="45" spans="1:15" ht="19.899999999999999" customHeight="1" x14ac:dyDescent="0.2">
      <c r="A45" s="5">
        <f ca="1">DATE(YEAR(TODAY())-4,3,20)</f>
        <v>43910</v>
      </c>
      <c r="B45" s="5">
        <f ca="1">DATE(YEAR(TODAY())-4,3,24)</f>
        <v>43914</v>
      </c>
      <c r="C45" s="2" t="s">
        <v>20</v>
      </c>
      <c r="D45" s="2" t="s">
        <v>34</v>
      </c>
      <c r="E45" s="2" t="s">
        <v>37</v>
      </c>
      <c r="F45" s="2" t="s">
        <v>36</v>
      </c>
      <c r="G45" s="2" t="s">
        <v>35</v>
      </c>
      <c r="H45" s="1" t="str">
        <f t="shared" si="3"/>
        <v>Hamilton</v>
      </c>
      <c r="I45" s="2" t="s">
        <v>23</v>
      </c>
      <c r="J45" s="4">
        <v>7.41</v>
      </c>
      <c r="K45" s="1">
        <v>2</v>
      </c>
      <c r="L45" s="3">
        <v>0.2</v>
      </c>
      <c r="M45" s="4">
        <f t="shared" si="4"/>
        <v>11.856000000000002</v>
      </c>
      <c r="N45" s="1" t="s">
        <v>38</v>
      </c>
      <c r="O45" s="1" t="str">
        <f t="shared" si="5"/>
        <v>101-496-1222</v>
      </c>
    </row>
    <row r="46" spans="1:15" ht="19.899999999999999" customHeight="1" x14ac:dyDescent="0.2">
      <c r="A46" s="5">
        <f ca="1">DATE(YEAR(TODAY())-4,10,21)</f>
        <v>44125</v>
      </c>
      <c r="B46" s="5">
        <f ca="1">DATE(YEAR(TODAY())-4,10,27)</f>
        <v>44131</v>
      </c>
      <c r="C46" s="2" t="s">
        <v>20</v>
      </c>
      <c r="D46" s="2" t="s">
        <v>139</v>
      </c>
      <c r="E46" s="2" t="s">
        <v>37</v>
      </c>
      <c r="F46" s="2" t="s">
        <v>36</v>
      </c>
      <c r="G46" s="2" t="s">
        <v>140</v>
      </c>
      <c r="H46" s="1" t="str">
        <f t="shared" si="3"/>
        <v>Newark</v>
      </c>
      <c r="I46" s="2" t="s">
        <v>18</v>
      </c>
      <c r="J46" s="4">
        <v>93.89</v>
      </c>
      <c r="K46" s="1">
        <v>4</v>
      </c>
      <c r="L46" s="3">
        <v>0.2</v>
      </c>
      <c r="M46" s="4">
        <f t="shared" si="4"/>
        <v>300.44800000000004</v>
      </c>
      <c r="N46" s="1" t="s">
        <v>141</v>
      </c>
      <c r="O46" s="1" t="str">
        <f t="shared" si="5"/>
        <v>101-496-1665</v>
      </c>
    </row>
    <row r="47" spans="1:15" ht="19.899999999999999" customHeight="1" x14ac:dyDescent="0.2">
      <c r="A47" s="5">
        <f ca="1">DATE(YEAR(TODAY())-3,12,26)</f>
        <v>44556</v>
      </c>
      <c r="B47" s="5">
        <f ca="1">DATE(YEAR(TODAY())-3,12,29)</f>
        <v>44559</v>
      </c>
      <c r="C47" s="2" t="s">
        <v>13</v>
      </c>
      <c r="D47" s="2" t="s">
        <v>71</v>
      </c>
      <c r="E47" s="2" t="s">
        <v>37</v>
      </c>
      <c r="F47" s="2" t="s">
        <v>73</v>
      </c>
      <c r="G47" s="2" t="s">
        <v>72</v>
      </c>
      <c r="H47" s="1" t="str">
        <f t="shared" si="3"/>
        <v>Philadelphia</v>
      </c>
      <c r="I47" s="2" t="s">
        <v>32</v>
      </c>
      <c r="J47" s="4">
        <v>54.38</v>
      </c>
      <c r="K47" s="1">
        <v>2</v>
      </c>
      <c r="L47" s="3">
        <v>0.2</v>
      </c>
      <c r="M47" s="4">
        <f t="shared" si="4"/>
        <v>87.00800000000001</v>
      </c>
      <c r="N47" s="1" t="s">
        <v>74</v>
      </c>
      <c r="O47" s="1" t="str">
        <f t="shared" si="5"/>
        <v>101-496-1770</v>
      </c>
    </row>
    <row r="48" spans="1:15" ht="19.899999999999999" customHeight="1" x14ac:dyDescent="0.2">
      <c r="A48" s="5">
        <f ca="1">DATE(YEAR(TODAY())-2,9,4)</f>
        <v>44808</v>
      </c>
      <c r="B48" s="5">
        <f ca="1">DATE(YEAR(TODAY())-2,9,6)</f>
        <v>44810</v>
      </c>
      <c r="C48" s="2" t="s">
        <v>13</v>
      </c>
      <c r="D48" s="2" t="s">
        <v>107</v>
      </c>
      <c r="E48" s="2" t="s">
        <v>37</v>
      </c>
      <c r="F48" s="2" t="s">
        <v>73</v>
      </c>
      <c r="G48" s="2" t="s">
        <v>72</v>
      </c>
      <c r="H48" s="1" t="str">
        <f t="shared" si="3"/>
        <v>Philadelphia</v>
      </c>
      <c r="I48" s="2" t="s">
        <v>18</v>
      </c>
      <c r="J48" s="4">
        <v>82.8</v>
      </c>
      <c r="K48" s="1">
        <v>2</v>
      </c>
      <c r="L48" s="3">
        <v>0.2</v>
      </c>
      <c r="M48" s="4">
        <f t="shared" si="4"/>
        <v>132.47999999999999</v>
      </c>
      <c r="N48" s="1" t="s">
        <v>108</v>
      </c>
      <c r="O48" s="1" t="str">
        <f t="shared" si="5"/>
        <v>101-598-2243</v>
      </c>
    </row>
    <row r="49" spans="1:15" ht="19.899999999999999" customHeight="1" x14ac:dyDescent="0.2">
      <c r="A49" s="5">
        <f ca="1">DATE(YEAR(TODAY())-1,7,15)</f>
        <v>45122</v>
      </c>
      <c r="B49" s="5">
        <f ca="1">DATE(YEAR(TODAY())-1,7,17)</f>
        <v>45124</v>
      </c>
      <c r="C49" s="2" t="s">
        <v>13</v>
      </c>
      <c r="D49" s="2" t="s">
        <v>178</v>
      </c>
      <c r="E49" s="2" t="s">
        <v>37</v>
      </c>
      <c r="F49" s="2" t="s">
        <v>73</v>
      </c>
      <c r="G49" s="2" t="s">
        <v>72</v>
      </c>
      <c r="H49" s="1" t="str">
        <f t="shared" si="3"/>
        <v>Philadelphia</v>
      </c>
      <c r="I49" s="2" t="s">
        <v>18</v>
      </c>
      <c r="J49" s="4">
        <v>71.37</v>
      </c>
      <c r="K49" s="1">
        <v>2</v>
      </c>
      <c r="L49" s="3">
        <v>0.3</v>
      </c>
      <c r="M49" s="4">
        <f t="shared" si="4"/>
        <v>99.918000000000006</v>
      </c>
      <c r="N49" s="1" t="s">
        <v>179</v>
      </c>
      <c r="O49" s="1" t="str">
        <f t="shared" si="5"/>
        <v>101-496-0013</v>
      </c>
    </row>
    <row r="50" spans="1:15" ht="19.899999999999999" customHeight="1" x14ac:dyDescent="0.2">
      <c r="A50" s="5">
        <f ca="1">DATE(YEAR(TODAY())-3,9,15)</f>
        <v>44454</v>
      </c>
      <c r="B50" s="5">
        <f ca="1">DATE(YEAR(TODAY())-3,9,19)</f>
        <v>44458</v>
      </c>
      <c r="C50" s="2" t="s">
        <v>20</v>
      </c>
      <c r="D50" s="2" t="s">
        <v>199</v>
      </c>
      <c r="E50" s="2" t="s">
        <v>37</v>
      </c>
      <c r="F50" s="2" t="s">
        <v>73</v>
      </c>
      <c r="G50" s="2" t="s">
        <v>72</v>
      </c>
      <c r="H50" s="1" t="str">
        <f t="shared" si="3"/>
        <v>Philadelphia</v>
      </c>
      <c r="I50" s="2" t="s">
        <v>18</v>
      </c>
      <c r="J50" s="4">
        <v>3083.43</v>
      </c>
      <c r="K50" s="1">
        <v>7</v>
      </c>
      <c r="L50" s="3">
        <v>0.5</v>
      </c>
      <c r="M50" s="4">
        <f t="shared" si="4"/>
        <v>10792.004999999999</v>
      </c>
      <c r="N50" s="1" t="s">
        <v>200</v>
      </c>
      <c r="O50" s="1" t="str">
        <f t="shared" si="5"/>
        <v>101-496-0024</v>
      </c>
    </row>
    <row r="51" spans="1:15" ht="19.899999999999999" customHeight="1" x14ac:dyDescent="0.2">
      <c r="A51" s="5">
        <f ca="1">DATE(YEAR(TODAY())-2,6,11)</f>
        <v>44723</v>
      </c>
      <c r="B51" s="5">
        <f ca="1">DATE(YEAR(TODAY())-2,6,14)</f>
        <v>44726</v>
      </c>
      <c r="C51" s="2" t="s">
        <v>39</v>
      </c>
      <c r="D51" s="2" t="s">
        <v>205</v>
      </c>
      <c r="E51" s="2" t="s">
        <v>28</v>
      </c>
      <c r="F51" s="2" t="s">
        <v>194</v>
      </c>
      <c r="G51" s="2" t="s">
        <v>62</v>
      </c>
      <c r="H51" s="1" t="str">
        <f t="shared" si="3"/>
        <v>Decatur</v>
      </c>
      <c r="I51" s="2" t="s">
        <v>23</v>
      </c>
      <c r="J51" s="4">
        <v>208.16</v>
      </c>
      <c r="K51" s="1">
        <v>1</v>
      </c>
      <c r="L51" s="3">
        <v>0</v>
      </c>
      <c r="M51" s="4">
        <f t="shared" si="4"/>
        <v>208.16</v>
      </c>
      <c r="N51" s="1" t="s">
        <v>195</v>
      </c>
      <c r="O51" s="1" t="str">
        <f t="shared" si="5"/>
        <v>201-496-0020</v>
      </c>
    </row>
    <row r="52" spans="1:15" ht="19.899999999999999" customHeight="1" x14ac:dyDescent="0.2">
      <c r="A52" s="5">
        <f ca="1">DATE(YEAR(TODAY())-3,10,9)</f>
        <v>44478</v>
      </c>
      <c r="B52" s="5">
        <f ca="1">DATE(YEAR(TODAY())-3,10,16)</f>
        <v>44485</v>
      </c>
      <c r="C52" s="2" t="s">
        <v>20</v>
      </c>
      <c r="D52" s="2" t="s">
        <v>184</v>
      </c>
      <c r="E52" s="2" t="s">
        <v>28</v>
      </c>
      <c r="F52" s="2" t="s">
        <v>77</v>
      </c>
      <c r="G52" s="2" t="s">
        <v>185</v>
      </c>
      <c r="H52" s="1" t="str">
        <f t="shared" si="3"/>
        <v>Fort Lauderdale</v>
      </c>
      <c r="I52" s="2" t="s">
        <v>18</v>
      </c>
      <c r="J52" s="4">
        <v>957.58</v>
      </c>
      <c r="K52" s="1">
        <v>5</v>
      </c>
      <c r="L52" s="3">
        <v>0.45</v>
      </c>
      <c r="M52" s="4">
        <f t="shared" si="4"/>
        <v>2633.3450000000007</v>
      </c>
      <c r="N52" s="1" t="s">
        <v>186</v>
      </c>
      <c r="O52" s="1" t="str">
        <f t="shared" si="5"/>
        <v>201-496-0015</v>
      </c>
    </row>
    <row r="53" spans="1:15" ht="19.899999999999999" customHeight="1" x14ac:dyDescent="0.2">
      <c r="A53" s="5">
        <f ca="1">DATE(YEAR(TODAY())-1,9,18)</f>
        <v>45187</v>
      </c>
      <c r="B53" s="5">
        <f ca="1">DATE(YEAR(TODAY())-1,9,22)</f>
        <v>45191</v>
      </c>
      <c r="C53" s="2" t="s">
        <v>20</v>
      </c>
      <c r="D53" s="2" t="s">
        <v>75</v>
      </c>
      <c r="E53" s="2" t="s">
        <v>28</v>
      </c>
      <c r="F53" s="2" t="s">
        <v>77</v>
      </c>
      <c r="G53" s="2" t="s">
        <v>76</v>
      </c>
      <c r="H53" s="1" t="str">
        <f t="shared" si="3"/>
        <v>Melbourne</v>
      </c>
      <c r="I53" s="2" t="s">
        <v>23</v>
      </c>
      <c r="J53" s="4">
        <v>95.62</v>
      </c>
      <c r="K53" s="1">
        <v>2</v>
      </c>
      <c r="L53" s="3">
        <v>0.2</v>
      </c>
      <c r="M53" s="4">
        <f t="shared" si="4"/>
        <v>152.99200000000002</v>
      </c>
      <c r="N53" s="1" t="s">
        <v>78</v>
      </c>
      <c r="O53" s="1" t="str">
        <f t="shared" si="5"/>
        <v>201-496-1873</v>
      </c>
    </row>
    <row r="54" spans="1:15" ht="19.899999999999999" customHeight="1" x14ac:dyDescent="0.2">
      <c r="A54" s="5">
        <f ca="1">DATE(YEAR(TODAY())-2,11,7)</f>
        <v>44872</v>
      </c>
      <c r="B54" s="5">
        <f ca="1">DATE(YEAR(TODAY())-2,11,10)</f>
        <v>44875</v>
      </c>
      <c r="C54" s="2" t="s">
        <v>13</v>
      </c>
      <c r="D54" s="2" t="s">
        <v>44</v>
      </c>
      <c r="E54" s="2" t="s">
        <v>28</v>
      </c>
      <c r="F54" s="2" t="s">
        <v>46</v>
      </c>
      <c r="G54" s="2" t="s">
        <v>45</v>
      </c>
      <c r="H54" s="1" t="str">
        <f t="shared" si="3"/>
        <v>Henderson</v>
      </c>
      <c r="I54" s="2" t="s">
        <v>18</v>
      </c>
      <c r="J54" s="4">
        <v>731.94</v>
      </c>
      <c r="K54" s="1">
        <v>3</v>
      </c>
      <c r="L54" s="3">
        <v>0</v>
      </c>
      <c r="M54" s="4">
        <f t="shared" si="4"/>
        <v>2195.8200000000002</v>
      </c>
      <c r="N54" s="1" t="s">
        <v>47</v>
      </c>
      <c r="O54" s="1" t="str">
        <f t="shared" si="5"/>
        <v>201-598-2747</v>
      </c>
    </row>
    <row r="55" spans="1:15" ht="19.899999999999999" customHeight="1" x14ac:dyDescent="0.2">
      <c r="A55" s="5">
        <f ca="1">DATE(YEAR(TODAY())-4,11,18)</f>
        <v>44153</v>
      </c>
      <c r="B55" s="5">
        <f ca="1">DATE(YEAR(TODAY())-4,11,23)</f>
        <v>44158</v>
      </c>
      <c r="C55" s="2" t="s">
        <v>13</v>
      </c>
      <c r="D55" s="2" t="s">
        <v>168</v>
      </c>
      <c r="E55" s="2" t="s">
        <v>28</v>
      </c>
      <c r="F55" s="2" t="s">
        <v>170</v>
      </c>
      <c r="G55" s="2" t="s">
        <v>169</v>
      </c>
      <c r="H55" s="1" t="str">
        <f t="shared" si="3"/>
        <v>Monroe</v>
      </c>
      <c r="I55" s="2" t="s">
        <v>32</v>
      </c>
      <c r="J55" s="4">
        <v>503.96</v>
      </c>
      <c r="K55" s="1">
        <v>4</v>
      </c>
      <c r="L55" s="3">
        <v>0</v>
      </c>
      <c r="M55" s="4">
        <f t="shared" si="4"/>
        <v>2015.84</v>
      </c>
      <c r="N55" s="1" t="s">
        <v>171</v>
      </c>
      <c r="O55" s="1" t="str">
        <f t="shared" si="5"/>
        <v>201-496-0006</v>
      </c>
    </row>
    <row r="56" spans="1:15" ht="19.899999999999999" customHeight="1" x14ac:dyDescent="0.2">
      <c r="A56" s="5">
        <f ca="1">DATE(YEAR(TODAY())-1,11,22)</f>
        <v>45252</v>
      </c>
      <c r="B56" s="5">
        <f ca="1">DATE(YEAR(TODAY())-1,11,27)</f>
        <v>45257</v>
      </c>
      <c r="C56" s="2" t="s">
        <v>20</v>
      </c>
      <c r="D56" s="2" t="s">
        <v>95</v>
      </c>
      <c r="E56" s="2" t="s">
        <v>28</v>
      </c>
      <c r="F56" s="2" t="s">
        <v>27</v>
      </c>
      <c r="G56" s="2" t="s">
        <v>96</v>
      </c>
      <c r="H56" s="1" t="str">
        <f t="shared" si="3"/>
        <v>Charlotte</v>
      </c>
      <c r="I56" s="2" t="s">
        <v>32</v>
      </c>
      <c r="J56" s="4">
        <v>74.11</v>
      </c>
      <c r="K56" s="1">
        <v>8</v>
      </c>
      <c r="L56" s="3">
        <v>0.2</v>
      </c>
      <c r="M56" s="4">
        <f t="shared" si="4"/>
        <v>474.30400000000003</v>
      </c>
      <c r="N56" s="1" t="s">
        <v>97</v>
      </c>
      <c r="O56" s="1" t="str">
        <f t="shared" si="5"/>
        <v>201-598-2985</v>
      </c>
    </row>
    <row r="57" spans="1:15" ht="19.899999999999999" customHeight="1" x14ac:dyDescent="0.2">
      <c r="A57" s="5">
        <f ca="1">DATE(YEAR(TODAY())-1,4,14)</f>
        <v>45030</v>
      </c>
      <c r="B57" s="5">
        <f ca="1">DATE(YEAR(TODAY())-1,4,19)</f>
        <v>45035</v>
      </c>
      <c r="C57" s="2" t="s">
        <v>20</v>
      </c>
      <c r="D57" s="2" t="s">
        <v>25</v>
      </c>
      <c r="E57" s="2" t="s">
        <v>28</v>
      </c>
      <c r="F57" s="2" t="s">
        <v>27</v>
      </c>
      <c r="G57" s="2" t="s">
        <v>26</v>
      </c>
      <c r="H57" s="1" t="str">
        <f t="shared" si="3"/>
        <v>Concord</v>
      </c>
      <c r="I57" s="2" t="s">
        <v>23</v>
      </c>
      <c r="J57" s="4">
        <v>15.55</v>
      </c>
      <c r="K57" s="1">
        <v>3</v>
      </c>
      <c r="L57" s="3">
        <v>0.2</v>
      </c>
      <c r="M57" s="4">
        <f t="shared" si="4"/>
        <v>37.320000000000007</v>
      </c>
      <c r="N57" s="1" t="s">
        <v>29</v>
      </c>
      <c r="O57" s="1" t="str">
        <f t="shared" si="5"/>
        <v>201-496-1872</v>
      </c>
    </row>
    <row r="58" spans="1:15" ht="19.899999999999999" customHeight="1" x14ac:dyDescent="0.2">
      <c r="A58" s="5">
        <f ca="1">DATE(YEAR(TODAY())-3,9,1)</f>
        <v>44440</v>
      </c>
      <c r="B58" s="5">
        <f ca="1">DATE(YEAR(TODAY())-3,9,6)</f>
        <v>44445</v>
      </c>
      <c r="C58" s="2" t="s">
        <v>20</v>
      </c>
      <c r="D58" s="2" t="s">
        <v>109</v>
      </c>
      <c r="E58" s="2" t="s">
        <v>28</v>
      </c>
      <c r="F58" s="2" t="s">
        <v>27</v>
      </c>
      <c r="G58" s="2" t="s">
        <v>110</v>
      </c>
      <c r="H58" s="1" t="str">
        <f t="shared" si="3"/>
        <v>Durham</v>
      </c>
      <c r="I58" s="2" t="s">
        <v>23</v>
      </c>
      <c r="J58" s="4">
        <v>200.98</v>
      </c>
      <c r="K58" s="1">
        <v>7</v>
      </c>
      <c r="L58" s="3">
        <v>0.2</v>
      </c>
      <c r="M58" s="4">
        <f t="shared" si="4"/>
        <v>1125.4880000000001</v>
      </c>
      <c r="N58" s="1" t="s">
        <v>111</v>
      </c>
      <c r="O58" s="1" t="str">
        <f t="shared" si="5"/>
        <v>201-598-5003</v>
      </c>
    </row>
    <row r="59" spans="1:15" ht="19.899999999999999" customHeight="1" x14ac:dyDescent="0.2">
      <c r="A59" s="5">
        <f ca="1">DATE(YEAR(TODAY())-1,5,27)</f>
        <v>45073</v>
      </c>
      <c r="B59" s="5">
        <f ca="1">DATE(YEAR(TODAY())-1,5,29)</f>
        <v>45075</v>
      </c>
      <c r="C59" s="2" t="s">
        <v>13</v>
      </c>
      <c r="D59" s="2" t="s">
        <v>151</v>
      </c>
      <c r="E59" s="2" t="s">
        <v>28</v>
      </c>
      <c r="F59" s="2" t="s">
        <v>153</v>
      </c>
      <c r="G59" s="2" t="s">
        <v>152</v>
      </c>
      <c r="H59" s="1" t="str">
        <f t="shared" si="3"/>
        <v>Columbia</v>
      </c>
      <c r="I59" s="2" t="s">
        <v>18</v>
      </c>
      <c r="J59" s="4">
        <v>301.95999999999998</v>
      </c>
      <c r="K59" s="1">
        <v>2</v>
      </c>
      <c r="L59" s="3">
        <v>0</v>
      </c>
      <c r="M59" s="4">
        <f t="shared" si="4"/>
        <v>603.91999999999996</v>
      </c>
      <c r="N59" s="1" t="s">
        <v>60</v>
      </c>
      <c r="O59" s="1" t="str">
        <f t="shared" si="5"/>
        <v>201-496-1722</v>
      </c>
    </row>
    <row r="60" spans="1:15" ht="19.899999999999999" customHeight="1" x14ac:dyDescent="0.2">
      <c r="A60" s="5">
        <f ca="1">DATE(YEAR(TODAY())-3,4,3)</f>
        <v>44289</v>
      </c>
      <c r="B60" s="5">
        <f ca="1">DATE(YEAR(TODAY())-3,4,8)</f>
        <v>44294</v>
      </c>
      <c r="C60" s="2" t="s">
        <v>20</v>
      </c>
      <c r="D60" s="2" t="s">
        <v>86</v>
      </c>
      <c r="E60" s="2" t="s">
        <v>28</v>
      </c>
      <c r="F60" s="2" t="s">
        <v>88</v>
      </c>
      <c r="G60" s="2" t="s">
        <v>87</v>
      </c>
      <c r="H60" s="1" t="str">
        <f t="shared" si="3"/>
        <v>Bristol</v>
      </c>
      <c r="I60" s="2" t="s">
        <v>23</v>
      </c>
      <c r="J60" s="4">
        <v>289</v>
      </c>
      <c r="K60" s="1">
        <v>1</v>
      </c>
      <c r="L60" s="3">
        <v>0.7</v>
      </c>
      <c r="M60" s="4">
        <f t="shared" si="4"/>
        <v>86.700000000000017</v>
      </c>
      <c r="N60" s="1" t="s">
        <v>89</v>
      </c>
      <c r="O60" s="1" t="str">
        <f t="shared" si="5"/>
        <v>201-496-2099</v>
      </c>
    </row>
    <row r="61" spans="1:15" ht="19.899999999999999" customHeight="1" x14ac:dyDescent="0.2">
      <c r="A61" s="5">
        <f ca="1">DATE(YEAR(TODAY())-3,4,24)</f>
        <v>44310</v>
      </c>
      <c r="B61" s="5">
        <f ca="1">DATE(YEAR(TODAY())-3,4,30)</f>
        <v>44316</v>
      </c>
      <c r="C61" s="2" t="s">
        <v>20</v>
      </c>
      <c r="D61" s="2" t="s">
        <v>104</v>
      </c>
      <c r="E61" s="2" t="s">
        <v>28</v>
      </c>
      <c r="F61" s="2" t="s">
        <v>88</v>
      </c>
      <c r="G61" s="2" t="s">
        <v>105</v>
      </c>
      <c r="H61" s="1" t="str">
        <f t="shared" si="3"/>
        <v>Memphis</v>
      </c>
      <c r="I61" s="2" t="s">
        <v>18</v>
      </c>
      <c r="J61" s="4">
        <v>831.94</v>
      </c>
      <c r="K61" s="1">
        <v>8</v>
      </c>
      <c r="L61" s="3">
        <v>0.2</v>
      </c>
      <c r="M61" s="4">
        <f t="shared" si="4"/>
        <v>5324.4160000000011</v>
      </c>
      <c r="N61" s="1" t="s">
        <v>106</v>
      </c>
      <c r="O61" s="1" t="str">
        <f t="shared" si="5"/>
        <v>201-496-1243</v>
      </c>
    </row>
    <row r="62" spans="1:15" ht="19.899999999999999" customHeight="1" x14ac:dyDescent="0.2">
      <c r="A62" s="5">
        <f ca="1">DATE(YEAR(TODAY())-2,6,3)</f>
        <v>44715</v>
      </c>
      <c r="B62" s="5">
        <f ca="1">DATE(YEAR(TODAY())-2,6,5)</f>
        <v>44717</v>
      </c>
      <c r="C62" s="2" t="s">
        <v>39</v>
      </c>
      <c r="D62" s="2" t="s">
        <v>116</v>
      </c>
      <c r="E62" s="2" t="s">
        <v>28</v>
      </c>
      <c r="F62" s="2" t="s">
        <v>118</v>
      </c>
      <c r="G62" s="2" t="s">
        <v>117</v>
      </c>
      <c r="H62" s="1" t="str">
        <f t="shared" si="3"/>
        <v>Springfield</v>
      </c>
      <c r="I62" s="2" t="s">
        <v>23</v>
      </c>
      <c r="J62" s="4">
        <v>75.88</v>
      </c>
      <c r="K62" s="1">
        <v>2</v>
      </c>
      <c r="L62" s="3">
        <v>0</v>
      </c>
      <c r="M62" s="4">
        <f t="shared" si="4"/>
        <v>151.76</v>
      </c>
      <c r="N62" s="1" t="s">
        <v>119</v>
      </c>
      <c r="O62" s="1" t="str">
        <f t="shared" si="5"/>
        <v>201-598-5573</v>
      </c>
    </row>
  </sheetData>
  <sheetProtection selectLockedCells="1"/>
  <sortState xmlns:xlrd2="http://schemas.microsoft.com/office/spreadsheetml/2017/richdata2" ref="A2:N66">
    <sortCondition ref="H1:H66"/>
  </sortState>
  <conditionalFormatting sqref="A1:N62">
    <cfRule type="expression" dxfId="1" priority="3">
      <formula>$I1="Technology"</formula>
    </cfRule>
  </conditionalFormatting>
  <conditionalFormatting sqref="M2:M62">
    <cfRule type="top10" dxfId="0" priority="1" percent="1" rank="10"/>
  </conditionalFormatting>
  <dataValidations count="1">
    <dataValidation type="whole" errorStyle="warning" allowBlank="1" showInputMessage="1" showErrorMessage="1" errorTitle="Error" error="Ònly numbers with 3 digits are acceptable_x000a_" sqref="R3:R4 R2" xr:uid="{BCB9DDD9-FC84-4658-AF67-E1E09600FF2B}">
      <formula1>0</formula1>
      <formula2>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37EB219-FD4E-4E47-A04D-EC57392E3B6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5</xm:f>
              </x14:cfvo>
              <x14:cfIcon iconSet="NoIcons" iconId="0"/>
              <x14:cfIcon iconSet="NoIcons" iconId="0"/>
              <x14:cfIcon iconSet="3Symbols2" iconId="2"/>
            </x14:iconSet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Dashboard</vt:lpstr>
      <vt:lpstr>Orders</vt:lpstr>
      <vt:lpstr>category</vt:lpstr>
      <vt:lpstr>central</vt:lpstr>
      <vt:lpstr>central_cod</vt:lpstr>
      <vt:lpstr>central_code</vt:lpstr>
      <vt:lpstr>city</vt:lpstr>
      <vt:lpstr>custom_name</vt:lpstr>
      <vt:lpstr>data</vt:lpstr>
      <vt:lpstr>discount</vt:lpstr>
      <vt:lpstr>east</vt:lpstr>
      <vt:lpstr>east_cod</vt:lpstr>
      <vt:lpstr>east_code</vt:lpstr>
      <vt:lpstr>n_order_num</vt:lpstr>
      <vt:lpstr>new_city</vt:lpstr>
      <vt:lpstr>order_date</vt:lpstr>
      <vt:lpstr>order_numbers</vt:lpstr>
      <vt:lpstr>quantity</vt:lpstr>
      <vt:lpstr>region</vt:lpstr>
      <vt:lpstr>ship_date</vt:lpstr>
      <vt:lpstr>ship_mode</vt:lpstr>
      <vt:lpstr>south</vt:lpstr>
      <vt:lpstr>south_cod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Murakami, Caio Murakami</cp:lastModifiedBy>
  <dcterms:created xsi:type="dcterms:W3CDTF">2021-09-16T13:34:01Z</dcterms:created>
  <dcterms:modified xsi:type="dcterms:W3CDTF">2024-04-06T04:48:09Z</dcterms:modified>
</cp:coreProperties>
</file>