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samuel_rodriguez12_utp_ac_pa/Documents/MAESTRIA AD/2024 04 - MODELOS PREDICTIVOS/DATASETS PARA PROYECTO FINAL/"/>
    </mc:Choice>
  </mc:AlternateContent>
  <xr:revisionPtr revIDLastSave="169018" documentId="8_{43DF6555-AF9B-4375-9F62-C3F83FEE3563}" xr6:coauthVersionLast="47" xr6:coauthVersionMax="47" xr10:uidLastSave="{D31046BD-755C-4DCC-B797-46FB793332E7}"/>
  <bookViews>
    <workbookView xWindow="-120" yWindow="-120" windowWidth="20730" windowHeight="11160" xr2:uid="{F3E563DE-2802-48A6-AA3E-0E90EC8D2892}"/>
  </bookViews>
  <sheets>
    <sheet name="RESUMEN" sheetId="6" r:id="rId1"/>
    <sheet name="DATABASE - POLIZAS (2021-2023)" sheetId="13" r:id="rId2"/>
    <sheet name="RegresiónLineal" sheetId="8" r:id="rId3"/>
    <sheet name="RegresiónPolinomialG3" sheetId="18" r:id="rId4"/>
    <sheet name="PromediosMoviles" sheetId="1" r:id="rId5"/>
    <sheet name="Suav Expo" sheetId="2" r:id="rId6"/>
    <sheet name="Holt" sheetId="3" r:id="rId7"/>
    <sheet name="ARIMA(313)" sheetId="16" r:id="rId8"/>
  </sheets>
  <externalReferences>
    <externalReference r:id="rId9"/>
  </externalReferences>
  <definedNames>
    <definedName name="solver_adj" localSheetId="7" hidden="1">'ARIMA(313)'!$N$7:$N$12</definedName>
    <definedName name="solver_adj" localSheetId="6" hidden="1">Holt!$A$5,Holt!$B$5</definedName>
    <definedName name="solver_adj" localSheetId="5" hidden="1">'Suav Expo'!$B$5</definedName>
    <definedName name="solver_cvg" localSheetId="7" hidden="1">0.0001</definedName>
    <definedName name="solver_cvg" localSheetId="6" hidden="1">0.0001</definedName>
    <definedName name="solver_cvg" localSheetId="5" hidden="1">0.0001</definedName>
    <definedName name="solver_drv" localSheetId="7" hidden="1">1</definedName>
    <definedName name="solver_drv" localSheetId="6" hidden="1">1</definedName>
    <definedName name="solver_drv" localSheetId="5" hidden="1">2</definedName>
    <definedName name="solver_eng" localSheetId="7" hidden="1">3</definedName>
    <definedName name="solver_eng" localSheetId="6" hidden="1">3</definedName>
    <definedName name="solver_eng" localSheetId="5" hidden="1">3</definedName>
    <definedName name="solver_est" localSheetId="7" hidden="1">1</definedName>
    <definedName name="solver_est" localSheetId="6" hidden="1">1</definedName>
    <definedName name="solver_est" localSheetId="5" hidden="1">1</definedName>
    <definedName name="solver_itr" localSheetId="7" hidden="1">2147483647</definedName>
    <definedName name="solver_itr" localSheetId="6" hidden="1">2147483647</definedName>
    <definedName name="solver_itr" localSheetId="5" hidden="1">2147483647</definedName>
    <definedName name="solver_lhs1" localSheetId="7" hidden="1">'ARIMA(313)'!$N$7</definedName>
    <definedName name="solver_lhs1" localSheetId="6" hidden="1">Holt!$A$5</definedName>
    <definedName name="solver_lhs1" localSheetId="5" hidden="1">'Suav Expo'!$B$5</definedName>
    <definedName name="solver_lhs10" localSheetId="7" hidden="1">'ARIMA(313)'!$N$11</definedName>
    <definedName name="solver_lhs11" localSheetId="7" hidden="1">'ARIMA(313)'!$N$12</definedName>
    <definedName name="solver_lhs12" localSheetId="7" hidden="1">'ARIMA(313)'!$N$12</definedName>
    <definedName name="solver_lhs2" localSheetId="7" hidden="1">'ARIMA(313)'!$N$7</definedName>
    <definedName name="solver_lhs2" localSheetId="6" hidden="1">Holt!$A$5</definedName>
    <definedName name="solver_lhs2" localSheetId="5" hidden="1">'Suav Expo'!$B$5</definedName>
    <definedName name="solver_lhs3" localSheetId="7" hidden="1">'ARIMA(313)'!$N$8</definedName>
    <definedName name="solver_lhs3" localSheetId="6" hidden="1">Holt!$B$5</definedName>
    <definedName name="solver_lhs4" localSheetId="7" hidden="1">'ARIMA(313)'!$N$8</definedName>
    <definedName name="solver_lhs4" localSheetId="6" hidden="1">Holt!$B$5</definedName>
    <definedName name="solver_lhs5" localSheetId="7" hidden="1">'ARIMA(313)'!$N$9</definedName>
    <definedName name="solver_lhs6" localSheetId="7" hidden="1">'ARIMA(313)'!$N$9</definedName>
    <definedName name="solver_lhs7" localSheetId="7" hidden="1">'ARIMA(313)'!$N$10</definedName>
    <definedName name="solver_lhs8" localSheetId="7" hidden="1">'ARIMA(313)'!$N$10</definedName>
    <definedName name="solver_lhs9" localSheetId="7" hidden="1">'ARIMA(313)'!$N$11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rt" localSheetId="7" hidden="1">0.075</definedName>
    <definedName name="solver_mrt" localSheetId="6" hidden="1">0.075</definedName>
    <definedName name="solver_mrt" localSheetId="5" hidden="1">0.075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um" localSheetId="7" hidden="1">12</definedName>
    <definedName name="solver_num" localSheetId="6" hidden="1">4</definedName>
    <definedName name="solver_num" localSheetId="5" hidden="1">2</definedName>
    <definedName name="solver_nwt" localSheetId="7" hidden="1">1</definedName>
    <definedName name="solver_nwt" localSheetId="6" hidden="1">1</definedName>
    <definedName name="solver_nwt" localSheetId="5" hidden="1">1</definedName>
    <definedName name="solver_opt" localSheetId="7" hidden="1">'ARIMA(313)'!$K$40</definedName>
    <definedName name="solver_opt" localSheetId="6" hidden="1">Holt!$N$41</definedName>
    <definedName name="solver_opt" localSheetId="5" hidden="1">'Suav Expo'!$L$41</definedName>
    <definedName name="solver_pre" localSheetId="7" hidden="1">0.000001</definedName>
    <definedName name="solver_pre" localSheetId="6" hidden="1">0.000001</definedName>
    <definedName name="solver_pre" localSheetId="5" hidden="1">0.000001</definedName>
    <definedName name="solver_rbv" localSheetId="7" hidden="1">1</definedName>
    <definedName name="solver_rbv" localSheetId="6" hidden="1">1</definedName>
    <definedName name="solver_rbv" localSheetId="5" hidden="1">2</definedName>
    <definedName name="solver_rel1" localSheetId="7" hidden="1">1</definedName>
    <definedName name="solver_rel1" localSheetId="6" hidden="1">1</definedName>
    <definedName name="solver_rel1" localSheetId="5" hidden="1">1</definedName>
    <definedName name="solver_rel10" localSheetId="7" hidden="1">3</definedName>
    <definedName name="solver_rel11" localSheetId="7" hidden="1">1</definedName>
    <definedName name="solver_rel12" localSheetId="7" hidden="1">3</definedName>
    <definedName name="solver_rel2" localSheetId="7" hidden="1">3</definedName>
    <definedName name="solver_rel2" localSheetId="6" hidden="1">3</definedName>
    <definedName name="solver_rel2" localSheetId="5" hidden="1">3</definedName>
    <definedName name="solver_rel3" localSheetId="7" hidden="1">1</definedName>
    <definedName name="solver_rel3" localSheetId="6" hidden="1">1</definedName>
    <definedName name="solver_rel4" localSheetId="7" hidden="1">3</definedName>
    <definedName name="solver_rel4" localSheetId="6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el9" localSheetId="7" hidden="1">1</definedName>
    <definedName name="solver_rhs1" localSheetId="7" hidden="1">1</definedName>
    <definedName name="solver_rhs1" localSheetId="6" hidden="1">1</definedName>
    <definedName name="solver_rhs1" localSheetId="5" hidden="1">1</definedName>
    <definedName name="solver_rhs10" localSheetId="7" hidden="1">0</definedName>
    <definedName name="solver_rhs11" localSheetId="7" hidden="1">1</definedName>
    <definedName name="solver_rhs12" localSheetId="7" hidden="1">0</definedName>
    <definedName name="solver_rhs2" localSheetId="7" hidden="1">0</definedName>
    <definedName name="solver_rhs2" localSheetId="6" hidden="1">0</definedName>
    <definedName name="solver_rhs2" localSheetId="5" hidden="1">0</definedName>
    <definedName name="solver_rhs3" localSheetId="7" hidden="1">1</definedName>
    <definedName name="solver_rhs3" localSheetId="6" hidden="1">1</definedName>
    <definedName name="solver_rhs4" localSheetId="7" hidden="1">0</definedName>
    <definedName name="solver_rhs4" localSheetId="6" hidden="1">0</definedName>
    <definedName name="solver_rhs5" localSheetId="7" hidden="1">1</definedName>
    <definedName name="solver_rhs6" localSheetId="7" hidden="1">1</definedName>
    <definedName name="solver_rhs7" localSheetId="7" hidden="1">1</definedName>
    <definedName name="solver_rhs8" localSheetId="7" hidden="1">0</definedName>
    <definedName name="solver_rhs9" localSheetId="7" hidden="1">1</definedName>
    <definedName name="solver_rlx" localSheetId="7" hidden="1">2</definedName>
    <definedName name="solver_rlx" localSheetId="6" hidden="1">2</definedName>
    <definedName name="solver_rlx" localSheetId="5" hidden="1">2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scl" localSheetId="7" hidden="1">1</definedName>
    <definedName name="solver_scl" localSheetId="6" hidden="1">1</definedName>
    <definedName name="solver_scl" localSheetId="5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tim" localSheetId="7" hidden="1">2147483647</definedName>
    <definedName name="solver_tim" localSheetId="6" hidden="1">2147483647</definedName>
    <definedName name="solver_tim" localSheetId="5" hidden="1">2147483647</definedName>
    <definedName name="solver_tol" localSheetId="7" hidden="1">0.01</definedName>
    <definedName name="solver_tol" localSheetId="6" hidden="1">0.01</definedName>
    <definedName name="solver_tol" localSheetId="5" hidden="1">0.01</definedName>
    <definedName name="solver_typ" localSheetId="7" hidden="1">2</definedName>
    <definedName name="solver_typ" localSheetId="6" hidden="1">2</definedName>
    <definedName name="solver_typ" localSheetId="5" hidden="1">2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er" localSheetId="7" hidden="1">3</definedName>
    <definedName name="solver_ver" localSheetId="6" hidden="1">3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3" l="1"/>
  <c r="R9" i="3"/>
  <c r="F5" i="3"/>
  <c r="K5" i="13"/>
  <c r="K4" i="13"/>
  <c r="K3" i="13"/>
  <c r="H6" i="3" l="1"/>
  <c r="G4" i="6"/>
  <c r="F4" i="6"/>
  <c r="E4" i="6"/>
  <c r="D4" i="6"/>
  <c r="C4" i="6"/>
  <c r="B4" i="6"/>
  <c r="G5" i="3" l="1"/>
  <c r="R6" i="3"/>
  <c r="E3" i="6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5" i="18"/>
  <c r="N5" i="18" l="1"/>
  <c r="E38" i="18"/>
  <c r="F38" i="18" s="1"/>
  <c r="I38" i="18" s="1"/>
  <c r="E36" i="18"/>
  <c r="F36" i="18" s="1"/>
  <c r="I36" i="18" s="1"/>
  <c r="E34" i="18"/>
  <c r="F34" i="18" s="1"/>
  <c r="I34" i="18" s="1"/>
  <c r="E32" i="18"/>
  <c r="F32" i="18" s="1"/>
  <c r="I32" i="18" s="1"/>
  <c r="E30" i="18"/>
  <c r="F30" i="18" s="1"/>
  <c r="I30" i="18" s="1"/>
  <c r="E28" i="18"/>
  <c r="F28" i="18" s="1"/>
  <c r="I28" i="18" s="1"/>
  <c r="E26" i="18"/>
  <c r="F26" i="18" s="1"/>
  <c r="I26" i="18" s="1"/>
  <c r="E24" i="18"/>
  <c r="F24" i="18" s="1"/>
  <c r="I24" i="18" s="1"/>
  <c r="E22" i="18"/>
  <c r="F22" i="18" s="1"/>
  <c r="I22" i="18" s="1"/>
  <c r="E20" i="18"/>
  <c r="F20" i="18" s="1"/>
  <c r="I20" i="18" s="1"/>
  <c r="E18" i="18"/>
  <c r="F18" i="18" s="1"/>
  <c r="I18" i="18" s="1"/>
  <c r="E16" i="18"/>
  <c r="F16" i="18" s="1"/>
  <c r="I16" i="18" s="1"/>
  <c r="E14" i="18"/>
  <c r="F14" i="18" s="1"/>
  <c r="I14" i="18" s="1"/>
  <c r="E12" i="18"/>
  <c r="F12" i="18" s="1"/>
  <c r="I12" i="18" s="1"/>
  <c r="E10" i="18"/>
  <c r="F10" i="18" s="1"/>
  <c r="I10" i="18" s="1"/>
  <c r="E8" i="18"/>
  <c r="F8" i="18" s="1"/>
  <c r="I8" i="18" s="1"/>
  <c r="E6" i="18"/>
  <c r="F6" i="18" s="1"/>
  <c r="I6" i="18" s="1"/>
  <c r="E40" i="18"/>
  <c r="F40" i="18" s="1"/>
  <c r="I40" i="18" s="1"/>
  <c r="E39" i="18"/>
  <c r="F39" i="18" s="1"/>
  <c r="I39" i="18" s="1"/>
  <c r="E37" i="18"/>
  <c r="F37" i="18" s="1"/>
  <c r="I37" i="18" s="1"/>
  <c r="E35" i="18"/>
  <c r="F35" i="18" s="1"/>
  <c r="I35" i="18" s="1"/>
  <c r="E33" i="18"/>
  <c r="F33" i="18" s="1"/>
  <c r="I33" i="18" s="1"/>
  <c r="E31" i="18"/>
  <c r="F31" i="18" s="1"/>
  <c r="I31" i="18" s="1"/>
  <c r="E29" i="18"/>
  <c r="F29" i="18" s="1"/>
  <c r="I29" i="18" s="1"/>
  <c r="E27" i="18"/>
  <c r="F27" i="18" s="1"/>
  <c r="I27" i="18" s="1"/>
  <c r="E25" i="18"/>
  <c r="F25" i="18" s="1"/>
  <c r="I25" i="18" s="1"/>
  <c r="E23" i="18"/>
  <c r="F23" i="18" s="1"/>
  <c r="I23" i="18" s="1"/>
  <c r="E21" i="18"/>
  <c r="F21" i="18" s="1"/>
  <c r="I21" i="18" s="1"/>
  <c r="E19" i="18"/>
  <c r="F19" i="18" s="1"/>
  <c r="I19" i="18" s="1"/>
  <c r="E17" i="18"/>
  <c r="F17" i="18" s="1"/>
  <c r="I17" i="18" s="1"/>
  <c r="E15" i="18"/>
  <c r="F15" i="18" s="1"/>
  <c r="I15" i="18" s="1"/>
  <c r="E13" i="18"/>
  <c r="F13" i="18" s="1"/>
  <c r="I13" i="18" s="1"/>
  <c r="E11" i="18"/>
  <c r="F11" i="18" s="1"/>
  <c r="I11" i="18" s="1"/>
  <c r="E9" i="18"/>
  <c r="F9" i="18" s="1"/>
  <c r="I9" i="18" s="1"/>
  <c r="E7" i="18"/>
  <c r="F7" i="18" s="1"/>
  <c r="I7" i="18" s="1"/>
  <c r="E5" i="18"/>
  <c r="F5" i="18" l="1"/>
  <c r="G40" i="18"/>
  <c r="N8" i="18" s="1"/>
  <c r="G38" i="18"/>
  <c r="G36" i="18"/>
  <c r="G34" i="18"/>
  <c r="G32" i="18"/>
  <c r="G30" i="18"/>
  <c r="G28" i="18"/>
  <c r="G26" i="18"/>
  <c r="G24" i="18"/>
  <c r="G22" i="18"/>
  <c r="G20" i="18"/>
  <c r="G18" i="18"/>
  <c r="G16" i="18"/>
  <c r="G14" i="18"/>
  <c r="G6" i="18"/>
  <c r="G21" i="18"/>
  <c r="G17" i="18"/>
  <c r="G13" i="18"/>
  <c r="G9" i="18"/>
  <c r="G11" i="18"/>
  <c r="G12" i="18"/>
  <c r="G7" i="18"/>
  <c r="G39" i="18"/>
  <c r="G37" i="18"/>
  <c r="G35" i="18"/>
  <c r="G33" i="18"/>
  <c r="G31" i="18"/>
  <c r="G29" i="18"/>
  <c r="G27" i="18"/>
  <c r="G25" i="18"/>
  <c r="G23" i="18"/>
  <c r="G19" i="18"/>
  <c r="G15" i="18"/>
  <c r="G10" i="18"/>
  <c r="G5" i="18"/>
  <c r="G8" i="18"/>
  <c r="C6" i="16"/>
  <c r="C24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28" i="16"/>
  <c r="C25" i="16"/>
  <c r="C27" i="16"/>
  <c r="C26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F41" i="18" l="1"/>
  <c r="H9" i="18"/>
  <c r="K9" i="18" s="1"/>
  <c r="H13" i="18"/>
  <c r="K13" i="18" s="1"/>
  <c r="H5" i="18"/>
  <c r="K5" i="18" s="1"/>
  <c r="H8" i="18"/>
  <c r="K8" i="18" s="1"/>
  <c r="H40" i="18"/>
  <c r="H34" i="18"/>
  <c r="K34" i="18" s="1"/>
  <c r="H26" i="18"/>
  <c r="K26" i="18" s="1"/>
  <c r="H20" i="18"/>
  <c r="K20" i="18" s="1"/>
  <c r="H14" i="18"/>
  <c r="K14" i="18" s="1"/>
  <c r="H12" i="18"/>
  <c r="K12" i="18" s="1"/>
  <c r="H37" i="18"/>
  <c r="K37" i="18" s="1"/>
  <c r="H35" i="18"/>
  <c r="K35" i="18" s="1"/>
  <c r="H29" i="18"/>
  <c r="K29" i="18" s="1"/>
  <c r="H25" i="18"/>
  <c r="K25" i="18" s="1"/>
  <c r="H19" i="18"/>
  <c r="K19" i="18" s="1"/>
  <c r="H15" i="18"/>
  <c r="K15" i="18" s="1"/>
  <c r="H10" i="18"/>
  <c r="K10" i="18" s="1"/>
  <c r="I5" i="18"/>
  <c r="H30" i="18"/>
  <c r="K30" i="18" s="1"/>
  <c r="H22" i="18"/>
  <c r="K22" i="18" s="1"/>
  <c r="H16" i="18"/>
  <c r="K16" i="18" s="1"/>
  <c r="H7" i="18"/>
  <c r="K7" i="18" s="1"/>
  <c r="H39" i="18"/>
  <c r="K39" i="18" s="1"/>
  <c r="H33" i="18"/>
  <c r="K33" i="18" s="1"/>
  <c r="H31" i="18"/>
  <c r="K31" i="18" s="1"/>
  <c r="H27" i="18"/>
  <c r="K27" i="18" s="1"/>
  <c r="H23" i="18"/>
  <c r="K23" i="18" s="1"/>
  <c r="H21" i="18"/>
  <c r="K21" i="18" s="1"/>
  <c r="H17" i="18"/>
  <c r="K17" i="18" s="1"/>
  <c r="H11" i="18"/>
  <c r="K11" i="18" s="1"/>
  <c r="H38" i="18"/>
  <c r="K38" i="18" s="1"/>
  <c r="H36" i="18"/>
  <c r="K36" i="18" s="1"/>
  <c r="H32" i="18"/>
  <c r="K32" i="18" s="1"/>
  <c r="H28" i="18"/>
  <c r="K28" i="18" s="1"/>
  <c r="H24" i="18"/>
  <c r="K24" i="18" s="1"/>
  <c r="H18" i="18"/>
  <c r="K18" i="18" s="1"/>
  <c r="H6" i="18"/>
  <c r="K6" i="18" s="1"/>
  <c r="D7" i="16"/>
  <c r="F7" i="16" s="1"/>
  <c r="D6" i="16"/>
  <c r="F6" i="16" s="1"/>
  <c r="D8" i="16"/>
  <c r="F8" i="16" s="1"/>
  <c r="R7" i="3"/>
  <c r="K40" i="18" l="1"/>
  <c r="N9" i="18" s="1"/>
  <c r="N6" i="18"/>
  <c r="I41" i="18"/>
  <c r="J7" i="18"/>
  <c r="J38" i="18"/>
  <c r="J32" i="18"/>
  <c r="J28" i="18"/>
  <c r="J24" i="18"/>
  <c r="J18" i="18"/>
  <c r="J16" i="18"/>
  <c r="J9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0" i="18"/>
  <c r="J13" i="18"/>
  <c r="J5" i="18"/>
  <c r="J8" i="18"/>
  <c r="J11" i="18"/>
  <c r="J40" i="18"/>
  <c r="N7" i="18" s="1"/>
  <c r="J36" i="18"/>
  <c r="J34" i="18"/>
  <c r="J30" i="18"/>
  <c r="J26" i="18"/>
  <c r="J22" i="18"/>
  <c r="J20" i="18"/>
  <c r="J14" i="18"/>
  <c r="J6" i="18"/>
  <c r="J12" i="18"/>
  <c r="E8" i="16"/>
  <c r="G8" i="16" s="1"/>
  <c r="J8" i="16" s="1"/>
  <c r="E6" i="16"/>
  <c r="E7" i="16"/>
  <c r="G7" i="16" s="1"/>
  <c r="J7" i="16" s="1"/>
  <c r="E5" i="2"/>
  <c r="J21" i="1"/>
  <c r="J27" i="1"/>
  <c r="J36" i="1"/>
  <c r="J37" i="1"/>
  <c r="G23" i="1"/>
  <c r="J23" i="1" s="1"/>
  <c r="G38" i="1"/>
  <c r="J38" i="1" s="1"/>
  <c r="F17" i="1"/>
  <c r="G17" i="1" s="1"/>
  <c r="J17" i="1" s="1"/>
  <c r="F18" i="1"/>
  <c r="G18" i="1" s="1"/>
  <c r="J18" i="1" s="1"/>
  <c r="F19" i="1"/>
  <c r="G19" i="1" s="1"/>
  <c r="J19" i="1" s="1"/>
  <c r="F27" i="1"/>
  <c r="G27" i="1" s="1"/>
  <c r="F31" i="1"/>
  <c r="G31" i="1" s="1"/>
  <c r="J31" i="1" s="1"/>
  <c r="F32" i="1"/>
  <c r="G32" i="1" s="1"/>
  <c r="J32" i="1" s="1"/>
  <c r="F33" i="1"/>
  <c r="G33" i="1" s="1"/>
  <c r="J33" i="1" s="1"/>
  <c r="F36" i="1"/>
  <c r="G36" i="1" s="1"/>
  <c r="F16" i="1"/>
  <c r="G16" i="1" s="1"/>
  <c r="J16" i="1" s="1"/>
  <c r="D40" i="1"/>
  <c r="E41" i="1" s="1"/>
  <c r="D17" i="1"/>
  <c r="E18" i="1" s="1"/>
  <c r="D18" i="1"/>
  <c r="E19" i="1" s="1"/>
  <c r="D19" i="1"/>
  <c r="E20" i="1" s="1"/>
  <c r="F20" i="1" s="1"/>
  <c r="G20" i="1" s="1"/>
  <c r="J20" i="1" s="1"/>
  <c r="D20" i="1"/>
  <c r="D21" i="1"/>
  <c r="E21" i="1"/>
  <c r="F21" i="1" s="1"/>
  <c r="G21" i="1" s="1"/>
  <c r="D22" i="1"/>
  <c r="E23" i="1" s="1"/>
  <c r="F23" i="1" s="1"/>
  <c r="E22" i="1"/>
  <c r="F22" i="1" s="1"/>
  <c r="G22" i="1" s="1"/>
  <c r="J22" i="1" s="1"/>
  <c r="D23" i="1"/>
  <c r="D24" i="1"/>
  <c r="E24" i="1"/>
  <c r="F24" i="1" s="1"/>
  <c r="G24" i="1" s="1"/>
  <c r="J24" i="1" s="1"/>
  <c r="D25" i="1"/>
  <c r="E25" i="1"/>
  <c r="F25" i="1" s="1"/>
  <c r="G25" i="1" s="1"/>
  <c r="J25" i="1" s="1"/>
  <c r="D26" i="1"/>
  <c r="E27" i="1" s="1"/>
  <c r="E26" i="1"/>
  <c r="F26" i="1" s="1"/>
  <c r="G26" i="1" s="1"/>
  <c r="J26" i="1" s="1"/>
  <c r="D27" i="1"/>
  <c r="E28" i="1" s="1"/>
  <c r="F28" i="1" s="1"/>
  <c r="G28" i="1" s="1"/>
  <c r="J28" i="1" s="1"/>
  <c r="D28" i="1"/>
  <c r="D29" i="1"/>
  <c r="E29" i="1"/>
  <c r="F29" i="1" s="1"/>
  <c r="G29" i="1" s="1"/>
  <c r="J29" i="1" s="1"/>
  <c r="D30" i="1"/>
  <c r="E30" i="1"/>
  <c r="F30" i="1" s="1"/>
  <c r="G30" i="1" s="1"/>
  <c r="J30" i="1" s="1"/>
  <c r="D31" i="1"/>
  <c r="E32" i="1" s="1"/>
  <c r="E31" i="1"/>
  <c r="D32" i="1"/>
  <c r="D33" i="1"/>
  <c r="E33" i="1"/>
  <c r="D34" i="1"/>
  <c r="E35" i="1" s="1"/>
  <c r="F35" i="1" s="1"/>
  <c r="G35" i="1" s="1"/>
  <c r="J35" i="1" s="1"/>
  <c r="E34" i="1"/>
  <c r="F34" i="1" s="1"/>
  <c r="G34" i="1" s="1"/>
  <c r="J34" i="1" s="1"/>
  <c r="D35" i="1"/>
  <c r="E36" i="1" s="1"/>
  <c r="D36" i="1"/>
  <c r="E37" i="1" s="1"/>
  <c r="F37" i="1" s="1"/>
  <c r="G37" i="1" s="1"/>
  <c r="D37" i="1"/>
  <c r="E38" i="1" s="1"/>
  <c r="F38" i="1" s="1"/>
  <c r="D38" i="1"/>
  <c r="E39" i="1" s="1"/>
  <c r="F39" i="1" s="1"/>
  <c r="G39" i="1" s="1"/>
  <c r="J39" i="1" s="1"/>
  <c r="D39" i="1"/>
  <c r="E40" i="1" s="1"/>
  <c r="D14" i="1"/>
  <c r="E15" i="1" s="1"/>
  <c r="F15" i="1" s="1"/>
  <c r="G15" i="1" s="1"/>
  <c r="J15" i="1" s="1"/>
  <c r="D15" i="1"/>
  <c r="E16" i="1" s="1"/>
  <c r="D16" i="1"/>
  <c r="E17" i="1" s="1"/>
  <c r="D12" i="1"/>
  <c r="D13" i="1"/>
  <c r="E14" i="1" s="1"/>
  <c r="F14" i="1" s="1"/>
  <c r="G14" i="1" s="1"/>
  <c r="J14" i="1" s="1"/>
  <c r="E13" i="1"/>
  <c r="F13" i="1" s="1"/>
  <c r="G13" i="1" s="1"/>
  <c r="J13" i="1" s="1"/>
  <c r="D10" i="1"/>
  <c r="E11" i="1" s="1"/>
  <c r="F11" i="1" s="1"/>
  <c r="G11" i="1" s="1"/>
  <c r="J11" i="1" s="1"/>
  <c r="D11" i="1"/>
  <c r="E12" i="1" s="1"/>
  <c r="F12" i="1" s="1"/>
  <c r="G12" i="1" s="1"/>
  <c r="J12" i="1" s="1"/>
  <c r="N10" i="18" l="1"/>
  <c r="H6" i="16"/>
  <c r="G6" i="16"/>
  <c r="H7" i="16"/>
  <c r="H8" i="16"/>
  <c r="I7" i="16" l="1"/>
  <c r="L7" i="16" s="1"/>
  <c r="I8" i="16"/>
  <c r="L8" i="16" s="1"/>
  <c r="J6" i="16"/>
  <c r="I6" i="16"/>
  <c r="L6" i="16" s="1"/>
  <c r="K7" i="16" l="1"/>
  <c r="K8" i="16"/>
  <c r="K6" i="16"/>
  <c r="N8" i="8" l="1"/>
  <c r="N6" i="8"/>
  <c r="R8" i="3" l="1"/>
  <c r="N7" i="8" l="1"/>
  <c r="D8" i="1"/>
  <c r="E9" i="1" s="1"/>
  <c r="F9" i="1" s="1"/>
  <c r="D9" i="1"/>
  <c r="E10" i="1" s="1"/>
  <c r="F10" i="1" s="1"/>
  <c r="G10" i="1" s="1"/>
  <c r="J10" i="1" s="1"/>
  <c r="O5" i="1"/>
  <c r="B5" i="6" s="1"/>
  <c r="A6" i="3"/>
  <c r="H18" i="1" l="1"/>
  <c r="H26" i="1"/>
  <c r="H34" i="1"/>
  <c r="H16" i="1"/>
  <c r="H19" i="1"/>
  <c r="H27" i="1"/>
  <c r="H35" i="1"/>
  <c r="H12" i="1"/>
  <c r="H20" i="1"/>
  <c r="H28" i="1"/>
  <c r="H36" i="1"/>
  <c r="H13" i="1"/>
  <c r="H21" i="1"/>
  <c r="H32" i="1"/>
  <c r="H11" i="1"/>
  <c r="H22" i="1"/>
  <c r="H33" i="1"/>
  <c r="H23" i="1"/>
  <c r="H37" i="1"/>
  <c r="H24" i="1"/>
  <c r="H38" i="1"/>
  <c r="H40" i="1"/>
  <c r="O8" i="1" s="1"/>
  <c r="H25" i="1"/>
  <c r="H30" i="1"/>
  <c r="H17" i="1"/>
  <c r="H10" i="1"/>
  <c r="H39" i="1"/>
  <c r="H29" i="1"/>
  <c r="H14" i="1"/>
  <c r="H15" i="1"/>
  <c r="H31" i="1"/>
  <c r="D41" i="8"/>
  <c r="N12" i="8" s="1"/>
  <c r="D23" i="8"/>
  <c r="E23" i="8" s="1"/>
  <c r="F23" i="8" s="1"/>
  <c r="I23" i="8" s="1"/>
  <c r="D7" i="8"/>
  <c r="E7" i="8" s="1"/>
  <c r="F7" i="8" s="1"/>
  <c r="I7" i="8" s="1"/>
  <c r="D24" i="8"/>
  <c r="E24" i="8" s="1"/>
  <c r="F24" i="8" s="1"/>
  <c r="I24" i="8" s="1"/>
  <c r="D13" i="8"/>
  <c r="E13" i="8" s="1"/>
  <c r="F13" i="8" s="1"/>
  <c r="I13" i="8" s="1"/>
  <c r="D25" i="8"/>
  <c r="E25" i="8" s="1"/>
  <c r="F25" i="8" s="1"/>
  <c r="I25" i="8" s="1"/>
  <c r="D15" i="8"/>
  <c r="E15" i="8" s="1"/>
  <c r="F15" i="8" s="1"/>
  <c r="I15" i="8" s="1"/>
  <c r="D6" i="8"/>
  <c r="E6" i="8" s="1"/>
  <c r="F6" i="8" s="1"/>
  <c r="I6" i="8" s="1"/>
  <c r="D14" i="8"/>
  <c r="E14" i="8" s="1"/>
  <c r="F14" i="8" s="1"/>
  <c r="I14" i="8" s="1"/>
  <c r="D31" i="8"/>
  <c r="E31" i="8" s="1"/>
  <c r="F31" i="8" s="1"/>
  <c r="I31" i="8" s="1"/>
  <c r="D33" i="8"/>
  <c r="E33" i="8" s="1"/>
  <c r="F33" i="8" s="1"/>
  <c r="I33" i="8" s="1"/>
  <c r="D40" i="8"/>
  <c r="E40" i="8" s="1"/>
  <c r="F40" i="8" s="1"/>
  <c r="I40" i="8" s="1"/>
  <c r="D32" i="8"/>
  <c r="E32" i="8" s="1"/>
  <c r="F32" i="8" s="1"/>
  <c r="I32" i="8" s="1"/>
  <c r="D39" i="8"/>
  <c r="E39" i="8" s="1"/>
  <c r="F39" i="8" s="1"/>
  <c r="I39" i="8" s="1"/>
  <c r="D17" i="8"/>
  <c r="E17" i="8" s="1"/>
  <c r="F17" i="8" s="1"/>
  <c r="I17" i="8" s="1"/>
  <c r="D18" i="8"/>
  <c r="E18" i="8" s="1"/>
  <c r="F18" i="8" s="1"/>
  <c r="I18" i="8" s="1"/>
  <c r="D21" i="8"/>
  <c r="E21" i="8" s="1"/>
  <c r="F21" i="8" s="1"/>
  <c r="I21" i="8" s="1"/>
  <c r="D20" i="8"/>
  <c r="E20" i="8" s="1"/>
  <c r="F20" i="8" s="1"/>
  <c r="I20" i="8" s="1"/>
  <c r="D34" i="8"/>
  <c r="E34" i="8" s="1"/>
  <c r="F34" i="8" s="1"/>
  <c r="I34" i="8" s="1"/>
  <c r="D26" i="8"/>
  <c r="E26" i="8" s="1"/>
  <c r="F26" i="8" s="1"/>
  <c r="I26" i="8" s="1"/>
  <c r="D10" i="8"/>
  <c r="E10" i="8" s="1"/>
  <c r="F10" i="8" s="1"/>
  <c r="I10" i="8" s="1"/>
  <c r="D29" i="8"/>
  <c r="E29" i="8" s="1"/>
  <c r="F29" i="8" s="1"/>
  <c r="I29" i="8" s="1"/>
  <c r="D12" i="8"/>
  <c r="E12" i="8" s="1"/>
  <c r="F12" i="8" s="1"/>
  <c r="I12" i="8" s="1"/>
  <c r="D9" i="8"/>
  <c r="E9" i="8" s="1"/>
  <c r="F9" i="8" s="1"/>
  <c r="I9" i="8" s="1"/>
  <c r="D16" i="8"/>
  <c r="E16" i="8" s="1"/>
  <c r="F16" i="8" s="1"/>
  <c r="I16" i="8" s="1"/>
  <c r="D8" i="8"/>
  <c r="E8" i="8" s="1"/>
  <c r="F8" i="8" s="1"/>
  <c r="I8" i="8" s="1"/>
  <c r="D30" i="8"/>
  <c r="E30" i="8" s="1"/>
  <c r="F30" i="8" s="1"/>
  <c r="I30" i="8" s="1"/>
  <c r="D19" i="8"/>
  <c r="E19" i="8" s="1"/>
  <c r="F19" i="8" s="1"/>
  <c r="I19" i="8" s="1"/>
  <c r="D37" i="8"/>
  <c r="E37" i="8" s="1"/>
  <c r="F37" i="8" s="1"/>
  <c r="I37" i="8" s="1"/>
  <c r="D38" i="8"/>
  <c r="E38" i="8" s="1"/>
  <c r="F38" i="8" s="1"/>
  <c r="I38" i="8" s="1"/>
  <c r="D35" i="8"/>
  <c r="E35" i="8" s="1"/>
  <c r="F35" i="8" s="1"/>
  <c r="I35" i="8" s="1"/>
  <c r="D27" i="8"/>
  <c r="E27" i="8" s="1"/>
  <c r="F27" i="8" s="1"/>
  <c r="I27" i="8" s="1"/>
  <c r="D22" i="8"/>
  <c r="E22" i="8" s="1"/>
  <c r="F22" i="8" s="1"/>
  <c r="I22" i="8" s="1"/>
  <c r="D11" i="8"/>
  <c r="E11" i="8" s="1"/>
  <c r="F11" i="8" s="1"/>
  <c r="I11" i="8" s="1"/>
  <c r="D36" i="8"/>
  <c r="E36" i="8" s="1"/>
  <c r="F36" i="8" s="1"/>
  <c r="I36" i="8" s="1"/>
  <c r="D28" i="8"/>
  <c r="E28" i="8" s="1"/>
  <c r="F28" i="8" s="1"/>
  <c r="I28" i="8" s="1"/>
  <c r="D5" i="8"/>
  <c r="E5" i="8" s="1"/>
  <c r="F40" i="1"/>
  <c r="G40" i="1" s="1"/>
  <c r="J40" i="1" s="1"/>
  <c r="I6" i="3"/>
  <c r="K6" i="3" s="1"/>
  <c r="B6" i="3"/>
  <c r="B7" i="3" s="1"/>
  <c r="B8" i="3" s="1"/>
  <c r="A7" i="3"/>
  <c r="B6" i="2"/>
  <c r="B7" i="2" s="1"/>
  <c r="F6" i="2"/>
  <c r="G6" i="2" s="1"/>
  <c r="I6" i="2" s="1"/>
  <c r="G9" i="8" l="1"/>
  <c r="G17" i="8"/>
  <c r="G25" i="8"/>
  <c r="G33" i="8"/>
  <c r="G11" i="8"/>
  <c r="G19" i="8"/>
  <c r="G27" i="8"/>
  <c r="G35" i="8"/>
  <c r="G14" i="8"/>
  <c r="G38" i="8"/>
  <c r="G10" i="8"/>
  <c r="G18" i="8"/>
  <c r="G26" i="8"/>
  <c r="G34" i="8"/>
  <c r="G30" i="8"/>
  <c r="G12" i="8"/>
  <c r="G20" i="8"/>
  <c r="G28" i="8"/>
  <c r="G36" i="8"/>
  <c r="G13" i="8"/>
  <c r="G21" i="8"/>
  <c r="G29" i="8"/>
  <c r="G37" i="8"/>
  <c r="G6" i="8"/>
  <c r="G22" i="8"/>
  <c r="G23" i="8"/>
  <c r="G31" i="8"/>
  <c r="G32" i="8"/>
  <c r="G40" i="8"/>
  <c r="N15" i="8" s="1"/>
  <c r="G15" i="8"/>
  <c r="G24" i="8"/>
  <c r="G8" i="8"/>
  <c r="G7" i="8"/>
  <c r="G39" i="8"/>
  <c r="G16" i="8"/>
  <c r="B9" i="3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3" i="6"/>
  <c r="G5" i="8"/>
  <c r="A8" i="3"/>
  <c r="H9" i="1"/>
  <c r="G9" i="1"/>
  <c r="F5" i="8"/>
  <c r="F6" i="3"/>
  <c r="G6" i="3" s="1"/>
  <c r="H6" i="2"/>
  <c r="E6" i="2"/>
  <c r="E7" i="2" s="1"/>
  <c r="I9" i="1" l="1"/>
  <c r="I40" i="1"/>
  <c r="I24" i="1"/>
  <c r="L24" i="1" s="1"/>
  <c r="I32" i="1"/>
  <c r="L32" i="1" s="1"/>
  <c r="I14" i="1"/>
  <c r="L14" i="1" s="1"/>
  <c r="I17" i="1"/>
  <c r="L17" i="1" s="1"/>
  <c r="I25" i="1"/>
  <c r="L25" i="1" s="1"/>
  <c r="I33" i="1"/>
  <c r="L33" i="1" s="1"/>
  <c r="I15" i="1"/>
  <c r="L15" i="1" s="1"/>
  <c r="I18" i="1"/>
  <c r="L18" i="1" s="1"/>
  <c r="I26" i="1"/>
  <c r="L26" i="1" s="1"/>
  <c r="O9" i="1" s="1"/>
  <c r="I34" i="1"/>
  <c r="L34" i="1" s="1"/>
  <c r="I16" i="1"/>
  <c r="L16" i="1" s="1"/>
  <c r="I23" i="1"/>
  <c r="L23" i="1" s="1"/>
  <c r="I37" i="1"/>
  <c r="L37" i="1" s="1"/>
  <c r="I27" i="1"/>
  <c r="L27" i="1" s="1"/>
  <c r="I38" i="1"/>
  <c r="L38" i="1" s="1"/>
  <c r="I28" i="1"/>
  <c r="L28" i="1" s="1"/>
  <c r="I39" i="1"/>
  <c r="L39" i="1" s="1"/>
  <c r="I29" i="1"/>
  <c r="L29" i="1" s="1"/>
  <c r="I12" i="1"/>
  <c r="L12" i="1" s="1"/>
  <c r="I19" i="1"/>
  <c r="L19" i="1" s="1"/>
  <c r="I30" i="1"/>
  <c r="L30" i="1" s="1"/>
  <c r="I21" i="1"/>
  <c r="L21" i="1" s="1"/>
  <c r="I22" i="1"/>
  <c r="L22" i="1" s="1"/>
  <c r="I13" i="1"/>
  <c r="L13" i="1" s="1"/>
  <c r="I20" i="1"/>
  <c r="L20" i="1" s="1"/>
  <c r="I31" i="1"/>
  <c r="L31" i="1" s="1"/>
  <c r="I10" i="1"/>
  <c r="L10" i="1" s="1"/>
  <c r="O10" i="1" s="1"/>
  <c r="I35" i="1"/>
  <c r="L35" i="1" s="1"/>
  <c r="I11" i="1"/>
  <c r="L11" i="1" s="1"/>
  <c r="I36" i="1"/>
  <c r="L36" i="1" s="1"/>
  <c r="H12" i="8"/>
  <c r="K12" i="8" s="1"/>
  <c r="H20" i="8"/>
  <c r="K20" i="8" s="1"/>
  <c r="H28" i="8"/>
  <c r="K28" i="8" s="1"/>
  <c r="H36" i="8"/>
  <c r="K36" i="8" s="1"/>
  <c r="H6" i="8"/>
  <c r="K6" i="8" s="1"/>
  <c r="H14" i="8"/>
  <c r="K14" i="8" s="1"/>
  <c r="H22" i="8"/>
  <c r="K22" i="8" s="1"/>
  <c r="H30" i="8"/>
  <c r="K30" i="8" s="1"/>
  <c r="H38" i="8"/>
  <c r="K38" i="8" s="1"/>
  <c r="H9" i="8"/>
  <c r="K9" i="8" s="1"/>
  <c r="H25" i="8"/>
  <c r="K25" i="8" s="1"/>
  <c r="H33" i="8"/>
  <c r="K33" i="8" s="1"/>
  <c r="H13" i="8"/>
  <c r="K13" i="8" s="1"/>
  <c r="H21" i="8"/>
  <c r="K21" i="8" s="1"/>
  <c r="H29" i="8"/>
  <c r="K29" i="8" s="1"/>
  <c r="H37" i="8"/>
  <c r="K37" i="8" s="1"/>
  <c r="H7" i="8"/>
  <c r="K7" i="8" s="1"/>
  <c r="H15" i="8"/>
  <c r="K15" i="8" s="1"/>
  <c r="H23" i="8"/>
  <c r="K23" i="8" s="1"/>
  <c r="H31" i="8"/>
  <c r="K31" i="8" s="1"/>
  <c r="H39" i="8"/>
  <c r="K39" i="8" s="1"/>
  <c r="H8" i="8"/>
  <c r="K8" i="8" s="1"/>
  <c r="H16" i="8"/>
  <c r="K16" i="8" s="1"/>
  <c r="H24" i="8"/>
  <c r="K24" i="8" s="1"/>
  <c r="H32" i="8"/>
  <c r="K32" i="8" s="1"/>
  <c r="H40" i="8"/>
  <c r="H17" i="8"/>
  <c r="K17" i="8" s="1"/>
  <c r="H26" i="8"/>
  <c r="K26" i="8" s="1"/>
  <c r="H19" i="8"/>
  <c r="K19" i="8" s="1"/>
  <c r="H27" i="8"/>
  <c r="K27" i="8" s="1"/>
  <c r="H34" i="8"/>
  <c r="K34" i="8" s="1"/>
  <c r="H35" i="8"/>
  <c r="K35" i="8" s="1"/>
  <c r="H10" i="8"/>
  <c r="K10" i="8" s="1"/>
  <c r="H11" i="8"/>
  <c r="K11" i="8" s="1"/>
  <c r="H18" i="8"/>
  <c r="K18" i="8" s="1"/>
  <c r="A9" i="3"/>
  <c r="A10" i="3" s="1"/>
  <c r="A11" i="3" s="1"/>
  <c r="A12" i="3" s="1"/>
  <c r="A13" i="3" s="1"/>
  <c r="A14" i="3" s="1"/>
  <c r="B15" i="3"/>
  <c r="E8" i="2"/>
  <c r="F8" i="2"/>
  <c r="G8" i="2" s="1"/>
  <c r="F7" i="2"/>
  <c r="G7" i="2" s="1"/>
  <c r="B20" i="2"/>
  <c r="H5" i="8"/>
  <c r="K5" i="8" s="1"/>
  <c r="F7" i="3"/>
  <c r="L9" i="1"/>
  <c r="I5" i="8"/>
  <c r="H7" i="3"/>
  <c r="I7" i="3" s="1"/>
  <c r="L40" i="1" l="1"/>
  <c r="O6" i="1"/>
  <c r="J20" i="8"/>
  <c r="J28" i="8"/>
  <c r="J36" i="8"/>
  <c r="J10" i="8"/>
  <c r="J22" i="8"/>
  <c r="J30" i="8"/>
  <c r="J38" i="8"/>
  <c r="J12" i="8"/>
  <c r="J7" i="8"/>
  <c r="J21" i="8"/>
  <c r="J29" i="8"/>
  <c r="J37" i="8"/>
  <c r="J11" i="8"/>
  <c r="J25" i="8"/>
  <c r="J23" i="8"/>
  <c r="J31" i="8"/>
  <c r="J39" i="8"/>
  <c r="J13" i="8"/>
  <c r="J40" i="8"/>
  <c r="N14" i="8" s="1"/>
  <c r="J24" i="8"/>
  <c r="J32" i="8"/>
  <c r="J6" i="8"/>
  <c r="J14" i="8"/>
  <c r="J17" i="8"/>
  <c r="J33" i="8"/>
  <c r="J15" i="8"/>
  <c r="J8" i="8"/>
  <c r="J16" i="8"/>
  <c r="J19" i="8"/>
  <c r="J34" i="8"/>
  <c r="J9" i="8"/>
  <c r="J18" i="8"/>
  <c r="J26" i="8"/>
  <c r="J27" i="8"/>
  <c r="J35" i="8"/>
  <c r="N13" i="8"/>
  <c r="K40" i="8"/>
  <c r="N17" i="8" s="1"/>
  <c r="J7" i="3"/>
  <c r="K7" i="3"/>
  <c r="B16" i="3"/>
  <c r="A15" i="3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I7" i="2"/>
  <c r="I8" i="2"/>
  <c r="E9" i="2"/>
  <c r="F9" i="2"/>
  <c r="G9" i="2" s="1"/>
  <c r="I9" i="2" s="1"/>
  <c r="J5" i="8"/>
  <c r="G7" i="3"/>
  <c r="F8" i="3" s="1"/>
  <c r="G8" i="3" s="1"/>
  <c r="F41" i="8"/>
  <c r="N16" i="8" l="1"/>
  <c r="B17" i="3"/>
  <c r="M7" i="3"/>
  <c r="A16" i="3"/>
  <c r="A17" i="3" s="1"/>
  <c r="E10" i="2"/>
  <c r="F10" i="2"/>
  <c r="G10" i="2" s="1"/>
  <c r="D3" i="6"/>
  <c r="I41" i="8"/>
  <c r="F9" i="3"/>
  <c r="G9" i="3" s="1"/>
  <c r="G41" i="1"/>
  <c r="A18" i="3" l="1"/>
  <c r="A19" i="3" s="1"/>
  <c r="A20" i="3" s="1"/>
  <c r="A21" i="3" s="1"/>
  <c r="B18" i="3"/>
  <c r="E11" i="2"/>
  <c r="F11" i="2"/>
  <c r="G11" i="2" s="1"/>
  <c r="I11" i="2" s="1"/>
  <c r="I10" i="2"/>
  <c r="H7" i="2"/>
  <c r="C3" i="6"/>
  <c r="G3" i="6" s="1"/>
  <c r="F3" i="6"/>
  <c r="F10" i="3"/>
  <c r="G10" i="3" s="1"/>
  <c r="H8" i="3"/>
  <c r="I8" i="3" s="1"/>
  <c r="C5" i="6"/>
  <c r="J6" i="3"/>
  <c r="H8" i="2"/>
  <c r="K8" i="2" s="1"/>
  <c r="F5" i="6"/>
  <c r="J9" i="1"/>
  <c r="M6" i="3" l="1"/>
  <c r="N7" i="3" s="1"/>
  <c r="L7" i="3"/>
  <c r="O7" i="3" s="1"/>
  <c r="K23" i="1"/>
  <c r="K31" i="1"/>
  <c r="K39" i="1"/>
  <c r="K40" i="1"/>
  <c r="O7" i="1" s="1"/>
  <c r="K24" i="1"/>
  <c r="K32" i="1"/>
  <c r="K14" i="1"/>
  <c r="J41" i="1"/>
  <c r="K17" i="1"/>
  <c r="K25" i="1"/>
  <c r="K33" i="1"/>
  <c r="K15" i="1"/>
  <c r="K22" i="1"/>
  <c r="K36" i="1"/>
  <c r="K26" i="1"/>
  <c r="K37" i="1"/>
  <c r="K27" i="1"/>
  <c r="K38" i="1"/>
  <c r="K28" i="1"/>
  <c r="K16" i="1"/>
  <c r="K18" i="1"/>
  <c r="K29" i="1"/>
  <c r="K12" i="1"/>
  <c r="K20" i="1"/>
  <c r="K21" i="1"/>
  <c r="K11" i="1"/>
  <c r="K19" i="1"/>
  <c r="K30" i="1"/>
  <c r="K13" i="1"/>
  <c r="K34" i="1"/>
  <c r="K10" i="1"/>
  <c r="K35" i="1"/>
  <c r="J8" i="3"/>
  <c r="K8" i="3"/>
  <c r="A22" i="3"/>
  <c r="B19" i="3"/>
  <c r="J7" i="2"/>
  <c r="M7" i="2" s="1"/>
  <c r="J8" i="2"/>
  <c r="M8" i="2" s="1"/>
  <c r="K7" i="2"/>
  <c r="E12" i="2"/>
  <c r="F12" i="2"/>
  <c r="G12" i="2" s="1"/>
  <c r="F11" i="3"/>
  <c r="G11" i="3" s="1"/>
  <c r="N6" i="3"/>
  <c r="L6" i="3"/>
  <c r="O6" i="3" s="1"/>
  <c r="D5" i="6"/>
  <c r="K9" i="1"/>
  <c r="H9" i="3"/>
  <c r="I9" i="3" s="1"/>
  <c r="J9" i="3" s="1"/>
  <c r="M9" i="3" s="1"/>
  <c r="E5" i="6"/>
  <c r="J6" i="2"/>
  <c r="M6" i="2" s="1"/>
  <c r="K6" i="2"/>
  <c r="G5" i="6"/>
  <c r="B20" i="3" l="1"/>
  <c r="A23" i="3"/>
  <c r="K9" i="3"/>
  <c r="M8" i="3"/>
  <c r="L9" i="3"/>
  <c r="O9" i="3" s="1"/>
  <c r="L8" i="3"/>
  <c r="O8" i="3" s="1"/>
  <c r="E13" i="2"/>
  <c r="F13" i="2"/>
  <c r="G13" i="2" s="1"/>
  <c r="I13" i="2" s="1"/>
  <c r="L7" i="2"/>
  <c r="L8" i="2"/>
  <c r="I12" i="2"/>
  <c r="F12" i="3"/>
  <c r="G12" i="3" s="1"/>
  <c r="H9" i="2"/>
  <c r="L6" i="2"/>
  <c r="N8" i="3" l="1"/>
  <c r="N9" i="3"/>
  <c r="A24" i="3"/>
  <c r="B21" i="3"/>
  <c r="E14" i="2"/>
  <c r="F14" i="2"/>
  <c r="G14" i="2" s="1"/>
  <c r="K9" i="2"/>
  <c r="J9" i="2"/>
  <c r="M9" i="2" s="1"/>
  <c r="H10" i="3"/>
  <c r="I10" i="3" s="1"/>
  <c r="H10" i="2"/>
  <c r="K10" i="2" s="1"/>
  <c r="A25" i="3" l="1"/>
  <c r="J10" i="3"/>
  <c r="K10" i="3"/>
  <c r="B22" i="3"/>
  <c r="F13" i="3"/>
  <c r="L10" i="2"/>
  <c r="L9" i="2"/>
  <c r="I14" i="2"/>
  <c r="E15" i="2"/>
  <c r="F15" i="2"/>
  <c r="G15" i="2" s="1"/>
  <c r="I15" i="2" s="1"/>
  <c r="J10" i="2"/>
  <c r="M10" i="2" s="1"/>
  <c r="H11" i="2"/>
  <c r="G13" i="3" l="1"/>
  <c r="F14" i="3" s="1"/>
  <c r="M10" i="3"/>
  <c r="L10" i="3"/>
  <c r="O10" i="3" s="1"/>
  <c r="B23" i="3"/>
  <c r="A26" i="3"/>
  <c r="E16" i="2"/>
  <c r="F16" i="2"/>
  <c r="G16" i="2" s="1"/>
  <c r="I16" i="2" s="1"/>
  <c r="K11" i="2"/>
  <c r="J11" i="2"/>
  <c r="M11" i="2" s="1"/>
  <c r="H11" i="3"/>
  <c r="I11" i="3" s="1"/>
  <c r="H12" i="2"/>
  <c r="A27" i="3" l="1"/>
  <c r="B24" i="3"/>
  <c r="J11" i="3"/>
  <c r="K11" i="3"/>
  <c r="N10" i="3"/>
  <c r="G14" i="3"/>
  <c r="F15" i="3" s="1"/>
  <c r="K12" i="2"/>
  <c r="L12" i="2" s="1"/>
  <c r="J12" i="2"/>
  <c r="M12" i="2" s="1"/>
  <c r="L11" i="2"/>
  <c r="E17" i="2"/>
  <c r="F17" i="2"/>
  <c r="G17" i="2" s="1"/>
  <c r="I17" i="2" s="1"/>
  <c r="H13" i="2"/>
  <c r="J13" i="2" s="1"/>
  <c r="M13" i="2" s="1"/>
  <c r="H15" i="3" l="1"/>
  <c r="B25" i="3"/>
  <c r="M11" i="3"/>
  <c r="L11" i="3"/>
  <c r="O11" i="3" s="1"/>
  <c r="G15" i="3"/>
  <c r="F16" i="3" s="1"/>
  <c r="A28" i="3"/>
  <c r="K13" i="2"/>
  <c r="E18" i="2"/>
  <c r="F18" i="2"/>
  <c r="G18" i="2" s="1"/>
  <c r="H12" i="3"/>
  <c r="I12" i="3" s="1"/>
  <c r="H14" i="2"/>
  <c r="H16" i="3" l="1"/>
  <c r="G16" i="3"/>
  <c r="F17" i="3" s="1"/>
  <c r="J12" i="3"/>
  <c r="K12" i="3"/>
  <c r="A29" i="3"/>
  <c r="N11" i="3"/>
  <c r="B26" i="3"/>
  <c r="H18" i="2"/>
  <c r="K18" i="2" s="1"/>
  <c r="I18" i="2"/>
  <c r="F19" i="2"/>
  <c r="G19" i="2" s="1"/>
  <c r="E19" i="2"/>
  <c r="K14" i="2"/>
  <c r="J14" i="2"/>
  <c r="M14" i="2" s="1"/>
  <c r="L13" i="2"/>
  <c r="H13" i="3"/>
  <c r="I13" i="3" s="1"/>
  <c r="J13" i="3" s="1"/>
  <c r="M13" i="3" s="1"/>
  <c r="H15" i="2"/>
  <c r="H17" i="3" l="1"/>
  <c r="K13" i="3"/>
  <c r="M12" i="3"/>
  <c r="L13" i="3"/>
  <c r="O13" i="3" s="1"/>
  <c r="L12" i="3"/>
  <c r="O12" i="3" s="1"/>
  <c r="B27" i="3"/>
  <c r="G17" i="3"/>
  <c r="F18" i="3" s="1"/>
  <c r="A30" i="3"/>
  <c r="K15" i="2"/>
  <c r="L15" i="2" s="1"/>
  <c r="J15" i="2"/>
  <c r="M15" i="2" s="1"/>
  <c r="L14" i="2"/>
  <c r="F20" i="2"/>
  <c r="G20" i="2" s="1"/>
  <c r="E20" i="2"/>
  <c r="H19" i="2"/>
  <c r="I19" i="2"/>
  <c r="H14" i="3"/>
  <c r="I14" i="3" s="1"/>
  <c r="H16" i="2"/>
  <c r="G18" i="3" l="1"/>
  <c r="H19" i="3" s="1"/>
  <c r="I19" i="3" s="1"/>
  <c r="H18" i="3"/>
  <c r="A31" i="3"/>
  <c r="A32" i="3" s="1"/>
  <c r="B28" i="3"/>
  <c r="J14" i="3"/>
  <c r="K14" i="3"/>
  <c r="N13" i="3"/>
  <c r="N12" i="3"/>
  <c r="K19" i="2"/>
  <c r="E21" i="2"/>
  <c r="F21" i="2"/>
  <c r="G21" i="2" s="1"/>
  <c r="H20" i="2"/>
  <c r="I20" i="2"/>
  <c r="K16" i="2"/>
  <c r="L16" i="2" s="1"/>
  <c r="J16" i="2"/>
  <c r="M16" i="2" s="1"/>
  <c r="H17" i="2"/>
  <c r="J19" i="2" s="1"/>
  <c r="M19" i="2" s="1"/>
  <c r="F19" i="3" l="1"/>
  <c r="G19" i="3" s="1"/>
  <c r="F20" i="3" s="1"/>
  <c r="B29" i="3"/>
  <c r="J19" i="3"/>
  <c r="M14" i="3"/>
  <c r="N14" i="3" s="1"/>
  <c r="L14" i="3"/>
  <c r="O14" i="3" s="1"/>
  <c r="A33" i="3"/>
  <c r="H21" i="2"/>
  <c r="I21" i="2"/>
  <c r="K20" i="2"/>
  <c r="J20" i="2"/>
  <c r="M20" i="2" s="1"/>
  <c r="E22" i="2"/>
  <c r="F22" i="2"/>
  <c r="G22" i="2" s="1"/>
  <c r="K17" i="2"/>
  <c r="J17" i="2"/>
  <c r="M17" i="2" s="1"/>
  <c r="J18" i="2"/>
  <c r="M18" i="2" s="1"/>
  <c r="I15" i="3"/>
  <c r="G20" i="3" l="1"/>
  <c r="F21" i="3" s="1"/>
  <c r="H20" i="3"/>
  <c r="I20" i="3" s="1"/>
  <c r="J20" i="3" s="1"/>
  <c r="M20" i="3" s="1"/>
  <c r="M19" i="3"/>
  <c r="B30" i="3"/>
  <c r="A34" i="3"/>
  <c r="J15" i="3"/>
  <c r="K15" i="3"/>
  <c r="H22" i="2"/>
  <c r="I22" i="2"/>
  <c r="L17" i="2"/>
  <c r="L19" i="2"/>
  <c r="L18" i="2"/>
  <c r="E23" i="2"/>
  <c r="F23" i="2"/>
  <c r="G23" i="2" s="1"/>
  <c r="L20" i="2"/>
  <c r="K21" i="2"/>
  <c r="L21" i="2" s="1"/>
  <c r="J21" i="2"/>
  <c r="M21" i="2" s="1"/>
  <c r="I16" i="3"/>
  <c r="G21" i="3" l="1"/>
  <c r="F22" i="3" s="1"/>
  <c r="H21" i="3"/>
  <c r="I21" i="3" s="1"/>
  <c r="J21" i="3" s="1"/>
  <c r="M21" i="3" s="1"/>
  <c r="J16" i="3"/>
  <c r="K16" i="3"/>
  <c r="B31" i="3"/>
  <c r="M15" i="3"/>
  <c r="L15" i="3"/>
  <c r="O15" i="3" s="1"/>
  <c r="A35" i="3"/>
  <c r="H23" i="2"/>
  <c r="I23" i="2"/>
  <c r="E24" i="2"/>
  <c r="F24" i="2"/>
  <c r="G24" i="2" s="1"/>
  <c r="K22" i="2"/>
  <c r="L22" i="2" s="1"/>
  <c r="J22" i="2"/>
  <c r="M22" i="2" s="1"/>
  <c r="I17" i="3"/>
  <c r="G22" i="3" l="1"/>
  <c r="F23" i="3" s="1"/>
  <c r="H22" i="3"/>
  <c r="I22" i="3" s="1"/>
  <c r="J22" i="3" s="1"/>
  <c r="M22" i="3" s="1"/>
  <c r="B32" i="3"/>
  <c r="A36" i="3"/>
  <c r="N15" i="3"/>
  <c r="M16" i="3"/>
  <c r="L16" i="3"/>
  <c r="O16" i="3" s="1"/>
  <c r="J17" i="3"/>
  <c r="K17" i="3"/>
  <c r="H24" i="2"/>
  <c r="I24" i="2"/>
  <c r="E25" i="2"/>
  <c r="F25" i="2"/>
  <c r="G25" i="2" s="1"/>
  <c r="K23" i="2"/>
  <c r="L23" i="2" s="1"/>
  <c r="J23" i="2"/>
  <c r="M23" i="2" s="1"/>
  <c r="G23" i="3" l="1"/>
  <c r="F24" i="3" s="1"/>
  <c r="H23" i="3"/>
  <c r="I23" i="3" s="1"/>
  <c r="J23" i="3" s="1"/>
  <c r="M23" i="3" s="1"/>
  <c r="M17" i="3"/>
  <c r="L17" i="3"/>
  <c r="O17" i="3" s="1"/>
  <c r="A37" i="3"/>
  <c r="B33" i="3"/>
  <c r="N16" i="3"/>
  <c r="H25" i="2"/>
  <c r="I25" i="2"/>
  <c r="E26" i="2"/>
  <c r="F26" i="2"/>
  <c r="G26" i="2" s="1"/>
  <c r="K24" i="2"/>
  <c r="L24" i="2" s="1"/>
  <c r="J24" i="2"/>
  <c r="M24" i="2" s="1"/>
  <c r="G24" i="3" l="1"/>
  <c r="F25" i="3" s="1"/>
  <c r="H24" i="3"/>
  <c r="I24" i="3" s="1"/>
  <c r="J24" i="3" s="1"/>
  <c r="M24" i="3" s="1"/>
  <c r="B34" i="3"/>
  <c r="N17" i="3"/>
  <c r="A38" i="3"/>
  <c r="H26" i="2"/>
  <c r="I26" i="2"/>
  <c r="E27" i="2"/>
  <c r="F27" i="2"/>
  <c r="G27" i="2" s="1"/>
  <c r="K25" i="2"/>
  <c r="L25" i="2" s="1"/>
  <c r="J25" i="2"/>
  <c r="M25" i="2" s="1"/>
  <c r="I18" i="3"/>
  <c r="G25" i="3" l="1"/>
  <c r="F26" i="3" s="1"/>
  <c r="H25" i="3"/>
  <c r="I25" i="3" s="1"/>
  <c r="J25" i="3" s="1"/>
  <c r="M25" i="3" s="1"/>
  <c r="J18" i="3"/>
  <c r="K18" i="3"/>
  <c r="K20" i="3"/>
  <c r="K23" i="3"/>
  <c r="K24" i="3"/>
  <c r="K19" i="3"/>
  <c r="K21" i="3"/>
  <c r="K22" i="3"/>
  <c r="A39" i="3"/>
  <c r="B35" i="3"/>
  <c r="H27" i="2"/>
  <c r="I27" i="2"/>
  <c r="E28" i="2"/>
  <c r="F28" i="2"/>
  <c r="G28" i="2" s="1"/>
  <c r="K26" i="2"/>
  <c r="L26" i="2" s="1"/>
  <c r="J26" i="2"/>
  <c r="M26" i="2" s="1"/>
  <c r="K25" i="3" l="1"/>
  <c r="G26" i="3"/>
  <c r="F27" i="3" s="1"/>
  <c r="H26" i="3"/>
  <c r="I26" i="3" s="1"/>
  <c r="B36" i="3"/>
  <c r="M18" i="3"/>
  <c r="L18" i="3"/>
  <c r="O18" i="3" s="1"/>
  <c r="L24" i="3"/>
  <c r="O24" i="3" s="1"/>
  <c r="L23" i="3"/>
  <c r="O23" i="3" s="1"/>
  <c r="L22" i="3"/>
  <c r="O22" i="3" s="1"/>
  <c r="L25" i="3"/>
  <c r="O25" i="3" s="1"/>
  <c r="L19" i="3"/>
  <c r="O19" i="3" s="1"/>
  <c r="L20" i="3"/>
  <c r="O20" i="3" s="1"/>
  <c r="L21" i="3"/>
  <c r="O21" i="3" s="1"/>
  <c r="A40" i="3"/>
  <c r="H28" i="2"/>
  <c r="I28" i="2"/>
  <c r="E29" i="2"/>
  <c r="F29" i="2"/>
  <c r="G29" i="2" s="1"/>
  <c r="K27" i="2"/>
  <c r="L27" i="2" s="1"/>
  <c r="J27" i="2"/>
  <c r="M27" i="2" s="1"/>
  <c r="J26" i="3" l="1"/>
  <c r="K26" i="3"/>
  <c r="G27" i="3"/>
  <c r="F28" i="3" s="1"/>
  <c r="H27" i="3"/>
  <c r="I27" i="3" s="1"/>
  <c r="K27" i="3" s="1"/>
  <c r="N18" i="3"/>
  <c r="N22" i="3"/>
  <c r="N25" i="3"/>
  <c r="N20" i="3"/>
  <c r="N23" i="3"/>
  <c r="N24" i="3"/>
  <c r="N19" i="3"/>
  <c r="N21" i="3"/>
  <c r="A41" i="3"/>
  <c r="A42" i="3" s="1"/>
  <c r="B37" i="3"/>
  <c r="H29" i="2"/>
  <c r="I29" i="2"/>
  <c r="E30" i="2"/>
  <c r="F30" i="2"/>
  <c r="G30" i="2" s="1"/>
  <c r="K28" i="2"/>
  <c r="L28" i="2" s="1"/>
  <c r="J28" i="2"/>
  <c r="M28" i="2" s="1"/>
  <c r="H28" i="3" l="1"/>
  <c r="I28" i="3" s="1"/>
  <c r="G28" i="3"/>
  <c r="F29" i="3" s="1"/>
  <c r="J27" i="3"/>
  <c r="M27" i="3" s="1"/>
  <c r="M26" i="3"/>
  <c r="L26" i="3"/>
  <c r="O26" i="3" s="1"/>
  <c r="B38" i="3"/>
  <c r="H30" i="2"/>
  <c r="I30" i="2"/>
  <c r="E31" i="2"/>
  <c r="F31" i="2"/>
  <c r="G31" i="2" s="1"/>
  <c r="K29" i="2"/>
  <c r="L29" i="2" s="1"/>
  <c r="J29" i="2"/>
  <c r="M29" i="2" s="1"/>
  <c r="G29" i="3" l="1"/>
  <c r="F30" i="3" s="1"/>
  <c r="L27" i="3"/>
  <c r="O27" i="3" s="1"/>
  <c r="H29" i="3"/>
  <c r="I29" i="3" s="1"/>
  <c r="N27" i="3"/>
  <c r="N26" i="3"/>
  <c r="J28" i="3"/>
  <c r="L28" i="3" s="1"/>
  <c r="O28" i="3" s="1"/>
  <c r="K28" i="3"/>
  <c r="B39" i="3"/>
  <c r="H31" i="2"/>
  <c r="I31" i="2"/>
  <c r="E32" i="2"/>
  <c r="F32" i="2"/>
  <c r="G32" i="2" s="1"/>
  <c r="K30" i="2"/>
  <c r="L30" i="2" s="1"/>
  <c r="J30" i="2"/>
  <c r="M30" i="2" s="1"/>
  <c r="J29" i="3" l="1"/>
  <c r="L29" i="3" s="1"/>
  <c r="O29" i="3" s="1"/>
  <c r="K29" i="3"/>
  <c r="G30" i="3"/>
  <c r="F31" i="3" s="1"/>
  <c r="H30" i="3"/>
  <c r="I30" i="3" s="1"/>
  <c r="K30" i="3" s="1"/>
  <c r="M28" i="3"/>
  <c r="B40" i="3"/>
  <c r="H32" i="2"/>
  <c r="I32" i="2"/>
  <c r="E33" i="2"/>
  <c r="F33" i="2"/>
  <c r="G33" i="2" s="1"/>
  <c r="K31" i="2"/>
  <c r="L31" i="2" s="1"/>
  <c r="J31" i="2"/>
  <c r="M31" i="2" s="1"/>
  <c r="H31" i="3" l="1"/>
  <c r="I31" i="3" s="1"/>
  <c r="J31" i="3" s="1"/>
  <c r="M31" i="3" s="1"/>
  <c r="G31" i="3"/>
  <c r="F32" i="3" s="1"/>
  <c r="M29" i="3"/>
  <c r="N29" i="3" s="1"/>
  <c r="J30" i="3"/>
  <c r="N28" i="3"/>
  <c r="B41" i="3"/>
  <c r="B42" i="3" s="1"/>
  <c r="H33" i="2"/>
  <c r="I33" i="2"/>
  <c r="E34" i="2"/>
  <c r="F34" i="2"/>
  <c r="G34" i="2" s="1"/>
  <c r="K32" i="2"/>
  <c r="L32" i="2" s="1"/>
  <c r="J32" i="2"/>
  <c r="M32" i="2" s="1"/>
  <c r="K31" i="3" l="1"/>
  <c r="G32" i="3"/>
  <c r="F33" i="3" s="1"/>
  <c r="M30" i="3"/>
  <c r="N31" i="3" s="1"/>
  <c r="L30" i="3"/>
  <c r="O30" i="3" s="1"/>
  <c r="L31" i="3"/>
  <c r="O31" i="3" s="1"/>
  <c r="H32" i="3"/>
  <c r="I32" i="3" s="1"/>
  <c r="H34" i="2"/>
  <c r="I34" i="2"/>
  <c r="E35" i="2"/>
  <c r="F35" i="2"/>
  <c r="G35" i="2" s="1"/>
  <c r="K33" i="2"/>
  <c r="L33" i="2" s="1"/>
  <c r="J33" i="2"/>
  <c r="M33" i="2" s="1"/>
  <c r="J32" i="3" l="1"/>
  <c r="K32" i="3"/>
  <c r="H33" i="3"/>
  <c r="I33" i="3" s="1"/>
  <c r="J33" i="3" s="1"/>
  <c r="M33" i="3" s="1"/>
  <c r="G33" i="3"/>
  <c r="F34" i="3" s="1"/>
  <c r="N30" i="3"/>
  <c r="H35" i="2"/>
  <c r="I35" i="2"/>
  <c r="E36" i="2"/>
  <c r="F36" i="2"/>
  <c r="G36" i="2" s="1"/>
  <c r="K34" i="2"/>
  <c r="L34" i="2" s="1"/>
  <c r="J34" i="2"/>
  <c r="M34" i="2" s="1"/>
  <c r="K33" i="3" l="1"/>
  <c r="G34" i="3"/>
  <c r="F35" i="3" s="1"/>
  <c r="M32" i="3"/>
  <c r="L33" i="3"/>
  <c r="O33" i="3" s="1"/>
  <c r="L32" i="3"/>
  <c r="O32" i="3" s="1"/>
  <c r="H34" i="3"/>
  <c r="I34" i="3" s="1"/>
  <c r="H36" i="2"/>
  <c r="I36" i="2"/>
  <c r="E37" i="2"/>
  <c r="F37" i="2"/>
  <c r="G37" i="2" s="1"/>
  <c r="K35" i="2"/>
  <c r="L35" i="2" s="1"/>
  <c r="J35" i="2"/>
  <c r="M35" i="2" s="1"/>
  <c r="G35" i="3" l="1"/>
  <c r="F36" i="3" s="1"/>
  <c r="H35" i="3"/>
  <c r="I35" i="3" s="1"/>
  <c r="J34" i="3"/>
  <c r="K34" i="3"/>
  <c r="N32" i="3"/>
  <c r="N33" i="3"/>
  <c r="H37" i="2"/>
  <c r="I37" i="2"/>
  <c r="E38" i="2"/>
  <c r="F38" i="2"/>
  <c r="G38" i="2" s="1"/>
  <c r="K36" i="2"/>
  <c r="L36" i="2" s="1"/>
  <c r="J36" i="2"/>
  <c r="M36" i="2" s="1"/>
  <c r="M34" i="3" l="1"/>
  <c r="L34" i="3"/>
  <c r="O34" i="3" s="1"/>
  <c r="J35" i="3"/>
  <c r="M35" i="3" s="1"/>
  <c r="K35" i="3"/>
  <c r="G36" i="3"/>
  <c r="F37" i="3" s="1"/>
  <c r="H36" i="3"/>
  <c r="I36" i="3" s="1"/>
  <c r="H38" i="2"/>
  <c r="I38" i="2"/>
  <c r="E39" i="2"/>
  <c r="F39" i="2"/>
  <c r="G39" i="2" s="1"/>
  <c r="K37" i="2"/>
  <c r="L37" i="2" s="1"/>
  <c r="J37" i="2"/>
  <c r="M37" i="2" s="1"/>
  <c r="L35" i="3" l="1"/>
  <c r="O35" i="3" s="1"/>
  <c r="J36" i="3"/>
  <c r="K36" i="3"/>
  <c r="H37" i="3"/>
  <c r="I37" i="3" s="1"/>
  <c r="G37" i="3"/>
  <c r="F38" i="3" s="1"/>
  <c r="N34" i="3"/>
  <c r="N35" i="3"/>
  <c r="H39" i="2"/>
  <c r="I39" i="2"/>
  <c r="E40" i="2"/>
  <c r="F40" i="2"/>
  <c r="G40" i="2" s="1"/>
  <c r="K38" i="2"/>
  <c r="L38" i="2" s="1"/>
  <c r="J38" i="2"/>
  <c r="M38" i="2" s="1"/>
  <c r="H38" i="3" l="1"/>
  <c r="I38" i="3" s="1"/>
  <c r="J37" i="3"/>
  <c r="K37" i="3"/>
  <c r="G38" i="3"/>
  <c r="F39" i="3" s="1"/>
  <c r="M36" i="3"/>
  <c r="N36" i="3" s="1"/>
  <c r="L36" i="3"/>
  <c r="O36" i="3" s="1"/>
  <c r="H40" i="2"/>
  <c r="I40" i="2"/>
  <c r="E41" i="2"/>
  <c r="F42" i="2" s="1"/>
  <c r="P5" i="2" s="1"/>
  <c r="B6" i="6" s="1"/>
  <c r="F41" i="2"/>
  <c r="G41" i="2" s="1"/>
  <c r="K39" i="2"/>
  <c r="L39" i="2" s="1"/>
  <c r="J39" i="2"/>
  <c r="M39" i="2" s="1"/>
  <c r="H39" i="3" l="1"/>
  <c r="I39" i="3" s="1"/>
  <c r="G39" i="3"/>
  <c r="F40" i="3" s="1"/>
  <c r="M37" i="3"/>
  <c r="N37" i="3" s="1"/>
  <c r="L37" i="3"/>
  <c r="O37" i="3" s="1"/>
  <c r="J38" i="3"/>
  <c r="K38" i="3"/>
  <c r="H41" i="2"/>
  <c r="I41" i="2"/>
  <c r="P8" i="2" s="1"/>
  <c r="K40" i="2"/>
  <c r="L40" i="2" s="1"/>
  <c r="J40" i="2"/>
  <c r="M40" i="2" s="1"/>
  <c r="M38" i="3" l="1"/>
  <c r="N38" i="3" s="1"/>
  <c r="L38" i="3"/>
  <c r="O38" i="3" s="1"/>
  <c r="G40" i="3"/>
  <c r="F41" i="3" s="1"/>
  <c r="H40" i="3"/>
  <c r="I40" i="3" s="1"/>
  <c r="J39" i="3"/>
  <c r="K39" i="3"/>
  <c r="K41" i="2"/>
  <c r="H42" i="2"/>
  <c r="J41" i="2"/>
  <c r="H41" i="3" l="1"/>
  <c r="I41" i="3" s="1"/>
  <c r="J41" i="3" s="1"/>
  <c r="M39" i="3"/>
  <c r="N39" i="3" s="1"/>
  <c r="L39" i="3"/>
  <c r="O39" i="3" s="1"/>
  <c r="J40" i="3"/>
  <c r="K40" i="3"/>
  <c r="G41" i="3"/>
  <c r="H42" i="3" s="1"/>
  <c r="R12" i="3" s="1"/>
  <c r="P6" i="2"/>
  <c r="C6" i="6" s="1"/>
  <c r="G6" i="6" s="1"/>
  <c r="M41" i="2"/>
  <c r="K42" i="2"/>
  <c r="L41" i="2"/>
  <c r="P7" i="2" s="1"/>
  <c r="D6" i="6" s="1"/>
  <c r="K41" i="3" l="1"/>
  <c r="R15" i="3" s="1"/>
  <c r="M40" i="3"/>
  <c r="N40" i="3" s="1"/>
  <c r="L40" i="3"/>
  <c r="O40" i="3" s="1"/>
  <c r="B7" i="6"/>
  <c r="M41" i="3"/>
  <c r="J42" i="3"/>
  <c r="L41" i="3"/>
  <c r="P9" i="2"/>
  <c r="E6" i="6" s="1"/>
  <c r="P10" i="2"/>
  <c r="F6" i="6" s="1"/>
  <c r="M42" i="3" l="1"/>
  <c r="R13" i="3"/>
  <c r="C7" i="6" s="1"/>
  <c r="G7" i="6" s="1"/>
  <c r="O41" i="3"/>
  <c r="R17" i="3" s="1"/>
  <c r="N41" i="3"/>
  <c r="R14" i="3" s="1"/>
  <c r="D7" i="6" s="1"/>
  <c r="F7" i="6" l="1"/>
  <c r="R16" i="3"/>
  <c r="E7" i="6" s="1"/>
  <c r="D9" i="16"/>
  <c r="F9" i="16" s="1"/>
  <c r="E9" i="16" l="1"/>
  <c r="G9" i="16" s="1"/>
  <c r="D10" i="16" l="1"/>
  <c r="E10" i="16" s="1"/>
  <c r="H9" i="16"/>
  <c r="J9" i="16"/>
  <c r="I9" i="16"/>
  <c r="L9" i="16" s="1"/>
  <c r="F10" i="16" l="1"/>
  <c r="G10" i="16"/>
  <c r="D11" i="16"/>
  <c r="H10" i="16"/>
  <c r="K9" i="16"/>
  <c r="E11" i="16" l="1"/>
  <c r="F11" i="16"/>
  <c r="J10" i="16"/>
  <c r="I10" i="16"/>
  <c r="L10" i="16" s="1"/>
  <c r="K10" i="16" l="1"/>
  <c r="D12" i="16"/>
  <c r="G11" i="16"/>
  <c r="H11" i="16"/>
  <c r="J11" i="16" l="1"/>
  <c r="I11" i="16"/>
  <c r="L11" i="16" s="1"/>
  <c r="E12" i="16"/>
  <c r="F12" i="16"/>
  <c r="D13" i="16" l="1"/>
  <c r="G12" i="16"/>
  <c r="H12" i="16"/>
  <c r="K11" i="16"/>
  <c r="J12" i="16" l="1"/>
  <c r="I12" i="16"/>
  <c r="L12" i="16" s="1"/>
  <c r="E13" i="16"/>
  <c r="F13" i="16"/>
  <c r="D14" i="16" l="1"/>
  <c r="G13" i="16"/>
  <c r="H13" i="16"/>
  <c r="K12" i="16"/>
  <c r="J13" i="16" l="1"/>
  <c r="I13" i="16"/>
  <c r="L13" i="16" s="1"/>
  <c r="E14" i="16"/>
  <c r="F14" i="16"/>
  <c r="D15" i="16" l="1"/>
  <c r="G14" i="16"/>
  <c r="H14" i="16"/>
  <c r="K13" i="16"/>
  <c r="J14" i="16" l="1"/>
  <c r="K14" i="16" s="1"/>
  <c r="I14" i="16"/>
  <c r="L14" i="16" s="1"/>
  <c r="F15" i="16"/>
  <c r="E15" i="16"/>
  <c r="D16" i="16" l="1"/>
  <c r="G15" i="16"/>
  <c r="H15" i="16"/>
  <c r="J15" i="16" l="1"/>
  <c r="K15" i="16" s="1"/>
  <c r="I15" i="16"/>
  <c r="L15" i="16" s="1"/>
  <c r="F16" i="16"/>
  <c r="E16" i="16"/>
  <c r="G16" i="16" l="1"/>
  <c r="D17" i="16"/>
  <c r="H16" i="16"/>
  <c r="J16" i="16" l="1"/>
  <c r="K16" i="16" s="1"/>
  <c r="I16" i="16"/>
  <c r="L16" i="16" s="1"/>
  <c r="F17" i="16"/>
  <c r="E17" i="16"/>
  <c r="G17" i="16" l="1"/>
  <c r="D18" i="16"/>
  <c r="H17" i="16"/>
  <c r="E18" i="16" l="1"/>
  <c r="F18" i="16"/>
  <c r="J17" i="16"/>
  <c r="K17" i="16" s="1"/>
  <c r="I17" i="16"/>
  <c r="L17" i="16" s="1"/>
  <c r="G18" i="16" l="1"/>
  <c r="D19" i="16"/>
  <c r="H18" i="16"/>
  <c r="E19" i="16" l="1"/>
  <c r="F19" i="16"/>
  <c r="J18" i="16"/>
  <c r="K18" i="16" s="1"/>
  <c r="I18" i="16"/>
  <c r="L18" i="16" s="1"/>
  <c r="G19" i="16" l="1"/>
  <c r="D20" i="16"/>
  <c r="H19" i="16"/>
  <c r="F20" i="16" l="1"/>
  <c r="E20" i="16"/>
  <c r="J19" i="16"/>
  <c r="K19" i="16" s="1"/>
  <c r="I19" i="16"/>
  <c r="L19" i="16" s="1"/>
  <c r="G20" i="16" l="1"/>
  <c r="D21" i="16"/>
  <c r="H20" i="16"/>
  <c r="E21" i="16" l="1"/>
  <c r="F21" i="16"/>
  <c r="J20" i="16"/>
  <c r="K20" i="16" s="1"/>
  <c r="I20" i="16"/>
  <c r="L20" i="16" s="1"/>
  <c r="G21" i="16" l="1"/>
  <c r="D22" i="16"/>
  <c r="H21" i="16"/>
  <c r="J21" i="16" l="1"/>
  <c r="K21" i="16" s="1"/>
  <c r="I21" i="16"/>
  <c r="L21" i="16" s="1"/>
  <c r="E22" i="16"/>
  <c r="F22" i="16"/>
  <c r="G22" i="16" l="1"/>
  <c r="D23" i="16"/>
  <c r="H22" i="16"/>
  <c r="F23" i="16" l="1"/>
  <c r="E23" i="16"/>
  <c r="J22" i="16"/>
  <c r="K22" i="16" s="1"/>
  <c r="I22" i="16"/>
  <c r="L22" i="16" s="1"/>
  <c r="G23" i="16" l="1"/>
  <c r="D24" i="16"/>
  <c r="H23" i="16"/>
  <c r="E24" i="16" l="1"/>
  <c r="F24" i="16"/>
  <c r="J23" i="16"/>
  <c r="K23" i="16" s="1"/>
  <c r="I23" i="16"/>
  <c r="L23" i="16" s="1"/>
  <c r="G24" i="16" l="1"/>
  <c r="D25" i="16"/>
  <c r="H24" i="16"/>
  <c r="E25" i="16" l="1"/>
  <c r="F25" i="16"/>
  <c r="J24" i="16"/>
  <c r="K24" i="16" s="1"/>
  <c r="I24" i="16"/>
  <c r="L24" i="16" s="1"/>
  <c r="G25" i="16" l="1"/>
  <c r="D26" i="16"/>
  <c r="H25" i="16"/>
  <c r="F26" i="16" l="1"/>
  <c r="E26" i="16"/>
  <c r="J25" i="16"/>
  <c r="K25" i="16" s="1"/>
  <c r="I25" i="16"/>
  <c r="L25" i="16" s="1"/>
  <c r="G26" i="16" l="1"/>
  <c r="D27" i="16"/>
  <c r="H26" i="16"/>
  <c r="E27" i="16" l="1"/>
  <c r="F27" i="16"/>
  <c r="J26" i="16"/>
  <c r="K26" i="16" s="1"/>
  <c r="I26" i="16"/>
  <c r="L26" i="16" s="1"/>
  <c r="G27" i="16" l="1"/>
  <c r="D28" i="16"/>
  <c r="H27" i="16"/>
  <c r="E28" i="16" l="1"/>
  <c r="F28" i="16"/>
  <c r="J27" i="16"/>
  <c r="K27" i="16" s="1"/>
  <c r="I27" i="16"/>
  <c r="L27" i="16" s="1"/>
  <c r="D29" i="16" l="1"/>
  <c r="G28" i="16"/>
  <c r="H28" i="16"/>
  <c r="J28" i="16" l="1"/>
  <c r="K28" i="16" s="1"/>
  <c r="I28" i="16"/>
  <c r="L28" i="16" s="1"/>
  <c r="F29" i="16"/>
  <c r="E29" i="16"/>
  <c r="G29" i="16" l="1"/>
  <c r="D30" i="16"/>
  <c r="H29" i="16"/>
  <c r="E30" i="16" l="1"/>
  <c r="F30" i="16"/>
  <c r="J29" i="16"/>
  <c r="K29" i="16" s="1"/>
  <c r="I29" i="16"/>
  <c r="L29" i="16" s="1"/>
  <c r="G30" i="16" l="1"/>
  <c r="D31" i="16"/>
  <c r="H30" i="16"/>
  <c r="E31" i="16" l="1"/>
  <c r="F31" i="16"/>
  <c r="J30" i="16"/>
  <c r="K30" i="16" s="1"/>
  <c r="I30" i="16"/>
  <c r="L30" i="16" s="1"/>
  <c r="G31" i="16" l="1"/>
  <c r="D32" i="16"/>
  <c r="H31" i="16"/>
  <c r="F32" i="16" l="1"/>
  <c r="E32" i="16"/>
  <c r="J31" i="16"/>
  <c r="K31" i="16" s="1"/>
  <c r="I31" i="16"/>
  <c r="L31" i="16" s="1"/>
  <c r="D33" i="16" l="1"/>
  <c r="G32" i="16"/>
  <c r="H32" i="16"/>
  <c r="J32" i="16" l="1"/>
  <c r="K32" i="16" s="1"/>
  <c r="I32" i="16"/>
  <c r="L32" i="16" s="1"/>
  <c r="E33" i="16"/>
  <c r="F33" i="16"/>
  <c r="D34" i="16" l="1"/>
  <c r="G33" i="16"/>
  <c r="H33" i="16"/>
  <c r="J33" i="16" l="1"/>
  <c r="K33" i="16" s="1"/>
  <c r="I33" i="16"/>
  <c r="L33" i="16" s="1"/>
  <c r="F34" i="16"/>
  <c r="E34" i="16"/>
  <c r="G34" i="16" l="1"/>
  <c r="D35" i="16"/>
  <c r="H34" i="16"/>
  <c r="E35" i="16" l="1"/>
  <c r="F35" i="16"/>
  <c r="J34" i="16"/>
  <c r="K34" i="16" s="1"/>
  <c r="I34" i="16"/>
  <c r="L34" i="16" s="1"/>
  <c r="D36" i="16" l="1"/>
  <c r="G35" i="16"/>
  <c r="H35" i="16"/>
  <c r="J35" i="16" l="1"/>
  <c r="K35" i="16" s="1"/>
  <c r="I35" i="16"/>
  <c r="L35" i="16" s="1"/>
  <c r="E36" i="16"/>
  <c r="F36" i="16"/>
  <c r="D37" i="16" l="1"/>
  <c r="G36" i="16"/>
  <c r="H36" i="16"/>
  <c r="J36" i="16" l="1"/>
  <c r="K36" i="16" s="1"/>
  <c r="I36" i="16"/>
  <c r="L36" i="16" s="1"/>
  <c r="F37" i="16"/>
  <c r="E37" i="16"/>
  <c r="G37" i="16" l="1"/>
  <c r="D38" i="16"/>
  <c r="H37" i="16"/>
  <c r="E38" i="16" l="1"/>
  <c r="F38" i="16"/>
  <c r="J37" i="16"/>
  <c r="K37" i="16" s="1"/>
  <c r="I37" i="16"/>
  <c r="L37" i="16" s="1"/>
  <c r="D39" i="16" l="1"/>
  <c r="G38" i="16"/>
  <c r="H38" i="16"/>
  <c r="J38" i="16" l="1"/>
  <c r="K38" i="16" s="1"/>
  <c r="I38" i="16"/>
  <c r="L38" i="16" s="1"/>
  <c r="E39" i="16"/>
  <c r="F39" i="16"/>
  <c r="G39" i="16" l="1"/>
  <c r="D40" i="16"/>
  <c r="H39" i="16"/>
  <c r="E40" i="16" l="1"/>
  <c r="F40" i="16"/>
  <c r="J39" i="16"/>
  <c r="K39" i="16" s="1"/>
  <c r="I39" i="16"/>
  <c r="L39" i="16" s="1"/>
  <c r="D41" i="16" l="1"/>
  <c r="F41" i="16" s="1"/>
  <c r="N15" i="16" s="1"/>
  <c r="B8" i="6" s="1"/>
  <c r="G40" i="16"/>
  <c r="H40" i="16"/>
  <c r="N18" i="16" s="1"/>
  <c r="J40" i="16" l="1"/>
  <c r="G41" i="16"/>
  <c r="I40" i="16"/>
  <c r="L40" i="16" l="1"/>
  <c r="N16" i="16"/>
  <c r="C8" i="6" s="1"/>
  <c r="G8" i="6" s="1"/>
  <c r="J41" i="16"/>
  <c r="K40" i="16"/>
  <c r="N17" i="16" s="1"/>
  <c r="D8" i="6" s="1"/>
  <c r="N20" i="16" l="1"/>
  <c r="F8" i="6" s="1"/>
  <c r="N19" i="16"/>
  <c r="E8" i="6" s="1"/>
</calcChain>
</file>

<file path=xl/sharedStrings.xml><?xml version="1.0" encoding="utf-8"?>
<sst xmlns="http://schemas.openxmlformats.org/spreadsheetml/2006/main" count="234" uniqueCount="68">
  <si>
    <t>Periodo</t>
  </si>
  <si>
    <t>Dt</t>
  </si>
  <si>
    <t>Lt</t>
  </si>
  <si>
    <t>Ft</t>
  </si>
  <si>
    <t>Et</t>
  </si>
  <si>
    <t>At</t>
  </si>
  <si>
    <t>MSE</t>
  </si>
  <si>
    <t>MAD</t>
  </si>
  <si>
    <t>MAPE</t>
  </si>
  <si>
    <t>TSt</t>
  </si>
  <si>
    <t>Tt</t>
  </si>
  <si>
    <t>Pronóstico</t>
  </si>
  <si>
    <t>Método</t>
  </si>
  <si>
    <t>Rango TS inf</t>
  </si>
  <si>
    <t>Rango TS sup</t>
  </si>
  <si>
    <t>Desv. Est.</t>
  </si>
  <si>
    <t>Promedio Movil</t>
  </si>
  <si>
    <t>Holt</t>
  </si>
  <si>
    <t>Alpha</t>
  </si>
  <si>
    <t>Beta</t>
  </si>
  <si>
    <t>Año</t>
  </si>
  <si>
    <t>Intercepto</t>
  </si>
  <si>
    <t>Pendiente</t>
  </si>
  <si>
    <t>R2</t>
  </si>
  <si>
    <t>Demanda</t>
  </si>
  <si>
    <t>n</t>
  </si>
  <si>
    <t>Error</t>
  </si>
  <si>
    <t>|Et|</t>
  </si>
  <si>
    <t>|Et| / Ft</t>
  </si>
  <si>
    <t>Tracking Signal</t>
  </si>
  <si>
    <t>Absolute Error</t>
  </si>
  <si>
    <t>Mean Absolute Deviation</t>
  </si>
  <si>
    <t>Mean Square Error</t>
  </si>
  <si>
    <t>Mean Absolute Porcentual Error</t>
  </si>
  <si>
    <t>Lineal regresion</t>
  </si>
  <si>
    <t>Forecast</t>
  </si>
  <si>
    <t>Ft-Dt</t>
  </si>
  <si>
    <t>Absolute Porcentual Error</t>
  </si>
  <si>
    <t>TS INF</t>
  </si>
  <si>
    <t>TS SUP</t>
  </si>
  <si>
    <t>%|Et|</t>
  </si>
  <si>
    <t>Regresión Lineal</t>
  </si>
  <si>
    <t>Level</t>
  </si>
  <si>
    <t>Suavización Expo</t>
  </si>
  <si>
    <t>Tendencia</t>
  </si>
  <si>
    <t>Lt+Tt</t>
  </si>
  <si>
    <t>Dt: Pólizas</t>
  </si>
  <si>
    <t>SERIE ORIGINAL</t>
  </si>
  <si>
    <t>T</t>
  </si>
  <si>
    <t>C</t>
  </si>
  <si>
    <t>Ecuación ARIMA 3,1,3</t>
  </si>
  <si>
    <t>Dt-Ft</t>
  </si>
  <si>
    <t>Valores (Yt o Dt)</t>
  </si>
  <si>
    <r>
      <t>d=1 -&gt; d=Y</t>
    </r>
    <r>
      <rPr>
        <vertAlign val="subscript"/>
        <sz val="11"/>
        <color theme="0"/>
        <rFont val="Aptos Narrow"/>
        <family val="2"/>
        <scheme val="minor"/>
      </rPr>
      <t>t</t>
    </r>
    <r>
      <rPr>
        <sz val="11"/>
        <color theme="0"/>
        <rFont val="Aptos Narrow"/>
        <family val="2"/>
        <scheme val="minor"/>
      </rPr>
      <t>-Y</t>
    </r>
    <r>
      <rPr>
        <vertAlign val="subscript"/>
        <sz val="11"/>
        <color theme="0"/>
        <rFont val="Aptos Narrow"/>
        <family val="2"/>
        <scheme val="minor"/>
      </rPr>
      <t>t-1</t>
    </r>
  </si>
  <si>
    <t>ARIMA (3,1,3)</t>
  </si>
  <si>
    <t>MEDIDAS DE ERROR</t>
  </si>
  <si>
    <t>PARÁMETROS</t>
  </si>
  <si>
    <t>Regresión Polinomial 3er Grado</t>
  </si>
  <si>
    <t>PÓLIZAS DE AUTOMÓVILES EN PANAMÁ, 2021-2023</t>
  </si>
  <si>
    <t>Pólizas</t>
  </si>
  <si>
    <t>CUADRO N°1. MODELO DE REGRESIÓN LINEAL PARA LA ESTIMACIÓN DE PÓLIZAS DE AUTOMÓVILES</t>
  </si>
  <si>
    <t>CUADRO N°2. MODELO DE REGRESIÓN POLINOMIAL DE 3ER GRADO PARA LA ESTIMACIÓN DE PÓLIZAS DE AUTOMÓVILES</t>
  </si>
  <si>
    <t>Cuadro N°3. MODELO DE PROMEDIOS MÓVILES PARA LA ESTIMACIÓN DE PÓLIZAS DE AUTOMÓVILES</t>
  </si>
  <si>
    <t>CUADRO N°4. MODELO DE SUAVIZAMIENTO EXPONENCIAL PARA LA ESTIMACIÓN DE PÓLIZAS DE AUTOMÓVILES</t>
  </si>
  <si>
    <t>CUADRO N°5. MODELO DE HOLT PARA LA ESTIMACIÓN DE PÓLIZAS DE AUTOMÓVILES</t>
  </si>
  <si>
    <t>CUADRO N°6. MODELO ARIMA (3,1,3) PARA LA ESTIMACIÓN DE PÓLIZAS DE AUTOMÓVILES</t>
  </si>
  <si>
    <t>CUADRO N°7. ESTIMACIONES Y MEDIDAS DE ERROR</t>
  </si>
  <si>
    <t>IMAGEN N°1. PÓLIZAS DE AUTOMÓVILES EN PANAMÁ, 2021-2023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</si>
</sst>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B/.&quot;* #,##0.00_-;\-&quot;B/.&quot;* #,##0.00_-;_-&quot;B/.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000"/>
    <numFmt numFmtId="168" formatCode="0.00000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rgb="FF000000"/>
      <name val="Aptos Narrow"/>
      <family val="2"/>
    </font>
    <font>
      <vertAlign val="subscript"/>
      <sz val="11"/>
      <color theme="0"/>
      <name val="Aptos Narrow"/>
      <family val="2"/>
      <scheme val="minor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3" tint="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Border="1"/>
    <xf numFmtId="43" fontId="0" fillId="2" borderId="1" xfId="0" applyNumberFormat="1" applyFill="1" applyBorder="1"/>
    <xf numFmtId="43" fontId="0" fillId="0" borderId="1" xfId="0" applyNumberFormat="1" applyBorder="1"/>
    <xf numFmtId="43" fontId="0" fillId="2" borderId="0" xfId="0" applyNumberFormat="1" applyFill="1"/>
    <xf numFmtId="4" fontId="2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166" fontId="0" fillId="0" borderId="1" xfId="0" applyNumberFormat="1" applyBorder="1"/>
    <xf numFmtId="166" fontId="2" fillId="2" borderId="1" xfId="0" applyNumberFormat="1" applyFont="1" applyFill="1" applyBorder="1" applyAlignment="1">
      <alignment horizontal="center"/>
    </xf>
    <xf numFmtId="166" fontId="0" fillId="2" borderId="0" xfId="0" applyNumberFormat="1" applyFill="1"/>
    <xf numFmtId="167" fontId="0" fillId="2" borderId="0" xfId="0" applyNumberFormat="1" applyFill="1"/>
    <xf numFmtId="43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center"/>
    </xf>
    <xf numFmtId="1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6" fontId="0" fillId="4" borderId="1" xfId="0" applyNumberForma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6" fontId="0" fillId="5" borderId="1" xfId="0" applyNumberFormat="1" applyFill="1" applyBorder="1"/>
    <xf numFmtId="167" fontId="0" fillId="0" borderId="1" xfId="0" applyNumberFormat="1" applyBorder="1"/>
    <xf numFmtId="168" fontId="0" fillId="2" borderId="0" xfId="0" applyNumberFormat="1" applyFill="1"/>
    <xf numFmtId="0" fontId="4" fillId="8" borderId="1" xfId="0" applyFont="1" applyFill="1" applyBorder="1"/>
    <xf numFmtId="167" fontId="4" fillId="8" borderId="1" xfId="0" applyNumberFormat="1" applyFont="1" applyFill="1" applyBorder="1"/>
    <xf numFmtId="166" fontId="0" fillId="9" borderId="1" xfId="0" applyNumberFormat="1" applyFill="1" applyBorder="1"/>
    <xf numFmtId="166" fontId="0" fillId="10" borderId="1" xfId="0" applyNumberFormat="1" applyFill="1" applyBorder="1"/>
    <xf numFmtId="167" fontId="0" fillId="11" borderId="1" xfId="0" applyNumberFormat="1" applyFill="1" applyBorder="1"/>
    <xf numFmtId="0" fontId="0" fillId="2" borderId="4" xfId="0" applyFill="1" applyBorder="1"/>
    <xf numFmtId="0" fontId="4" fillId="0" borderId="0" xfId="0" applyFont="1"/>
    <xf numFmtId="168" fontId="0" fillId="0" borderId="0" xfId="0" applyNumberFormat="1"/>
    <xf numFmtId="9" fontId="0" fillId="0" borderId="0" xfId="0" applyNumberFormat="1"/>
    <xf numFmtId="44" fontId="0" fillId="0" borderId="0" xfId="2" applyFont="1"/>
    <xf numFmtId="166" fontId="0" fillId="14" borderId="1" xfId="0" applyNumberFormat="1" applyFill="1" applyBorder="1"/>
    <xf numFmtId="167" fontId="0" fillId="2" borderId="1" xfId="0" applyNumberFormat="1" applyFill="1" applyBorder="1"/>
    <xf numFmtId="49" fontId="0" fillId="2" borderId="1" xfId="0" applyNumberFormat="1" applyFill="1" applyBorder="1"/>
    <xf numFmtId="0" fontId="0" fillId="2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0" borderId="1" xfId="0" applyNumberForma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6" fontId="0" fillId="15" borderId="1" xfId="0" applyNumberFormat="1" applyFill="1" applyBorder="1"/>
    <xf numFmtId="2" fontId="0" fillId="3" borderId="1" xfId="0" applyNumberForma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right" vertical="center"/>
    </xf>
    <xf numFmtId="43" fontId="0" fillId="0" borderId="6" xfId="0" applyNumberFormat="1" applyBorder="1"/>
    <xf numFmtId="43" fontId="0" fillId="4" borderId="1" xfId="0" applyNumberFormat="1" applyFill="1" applyBorder="1"/>
    <xf numFmtId="0" fontId="3" fillId="17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3" fontId="0" fillId="0" borderId="9" xfId="0" applyNumberForma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4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5" xfId="0" applyFill="1" applyBorder="1"/>
    <xf numFmtId="166" fontId="0" fillId="4" borderId="10" xfId="0" applyNumberFormat="1" applyFill="1" applyBorder="1"/>
    <xf numFmtId="167" fontId="0" fillId="6" borderId="10" xfId="0" applyNumberFormat="1" applyFill="1" applyBorder="1"/>
    <xf numFmtId="0" fontId="0" fillId="2" borderId="9" xfId="0" applyFill="1" applyBorder="1"/>
    <xf numFmtId="0" fontId="0" fillId="21" borderId="10" xfId="0" applyFill="1" applyBorder="1"/>
    <xf numFmtId="166" fontId="0" fillId="21" borderId="10" xfId="0" applyNumberFormat="1" applyFill="1" applyBorder="1"/>
    <xf numFmtId="0" fontId="0" fillId="21" borderId="9" xfId="0" applyFill="1" applyBorder="1"/>
    <xf numFmtId="3" fontId="0" fillId="0" borderId="4" xfId="0" applyNumberForma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6" fontId="0" fillId="2" borderId="4" xfId="0" applyNumberFormat="1" applyFill="1" applyBorder="1"/>
    <xf numFmtId="0" fontId="0" fillId="22" borderId="1" xfId="0" applyFill="1" applyBorder="1"/>
    <xf numFmtId="0" fontId="2" fillId="16" borderId="0" xfId="0" applyFont="1" applyFill="1" applyAlignment="1">
      <alignment horizontal="center" wrapText="1"/>
    </xf>
    <xf numFmtId="0" fontId="0" fillId="16" borderId="0" xfId="0" applyFill="1" applyAlignment="1">
      <alignment wrapText="1"/>
    </xf>
    <xf numFmtId="0" fontId="0" fillId="16" borderId="0" xfId="0" applyFill="1"/>
    <xf numFmtId="166" fontId="0" fillId="22" borderId="1" xfId="0" applyNumberFormat="1" applyFill="1" applyBorder="1"/>
    <xf numFmtId="167" fontId="0" fillId="6" borderId="1" xfId="0" applyNumberFormat="1" applyFill="1" applyBorder="1"/>
    <xf numFmtId="0" fontId="3" fillId="20" borderId="3" xfId="0" applyFont="1" applyFill="1" applyBorder="1" applyAlignment="1">
      <alignment horizontal="center" wrapText="1"/>
    </xf>
    <xf numFmtId="0" fontId="3" fillId="20" borderId="3" xfId="0" applyFont="1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0" fillId="15" borderId="0" xfId="0" applyFill="1"/>
    <xf numFmtId="166" fontId="0" fillId="10" borderId="4" xfId="0" applyNumberFormat="1" applyFill="1" applyBorder="1"/>
    <xf numFmtId="166" fontId="0" fillId="4" borderId="4" xfId="0" applyNumberFormat="1" applyFill="1" applyBorder="1"/>
    <xf numFmtId="2" fontId="0" fillId="2" borderId="4" xfId="0" applyNumberFormat="1" applyFill="1" applyBorder="1"/>
    <xf numFmtId="0" fontId="0" fillId="22" borderId="5" xfId="0" applyFill="1" applyBorder="1"/>
    <xf numFmtId="0" fontId="3" fillId="17" borderId="5" xfId="0" applyFont="1" applyFill="1" applyBorder="1" applyAlignment="1">
      <alignment horizontal="center" wrapText="1"/>
    </xf>
    <xf numFmtId="0" fontId="3" fillId="17" borderId="5" xfId="0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1" xfId="0" applyNumberFormat="1" applyFill="1" applyBorder="1"/>
    <xf numFmtId="0" fontId="0" fillId="15" borderId="11" xfId="0" applyFill="1" applyBorder="1"/>
    <xf numFmtId="0" fontId="0" fillId="15" borderId="7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3" fillId="17" borderId="9" xfId="0" applyFont="1" applyFill="1" applyBorder="1" applyAlignment="1">
      <alignment horizontal="center" wrapText="1"/>
    </xf>
    <xf numFmtId="0" fontId="3" fillId="17" borderId="9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15" borderId="15" xfId="0" applyFill="1" applyBorder="1"/>
    <xf numFmtId="0" fontId="0" fillId="15" borderId="2" xfId="0" applyFill="1" applyBorder="1"/>
    <xf numFmtId="0" fontId="0" fillId="15" borderId="8" xfId="0" applyFill="1" applyBorder="1"/>
    <xf numFmtId="0" fontId="3" fillId="17" borderId="3" xfId="0" applyFont="1" applyFill="1" applyBorder="1" applyAlignment="1">
      <alignment horizontal="center" wrapText="1"/>
    </xf>
    <xf numFmtId="0" fontId="3" fillId="17" borderId="3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0" fillId="2" borderId="12" xfId="0" applyFill="1" applyBorder="1"/>
    <xf numFmtId="43" fontId="0" fillId="2" borderId="4" xfId="0" applyNumberFormat="1" applyFill="1" applyBorder="1"/>
    <xf numFmtId="166" fontId="0" fillId="7" borderId="4" xfId="0" applyNumberFormat="1" applyFill="1" applyBorder="1"/>
    <xf numFmtId="167" fontId="0" fillId="3" borderId="4" xfId="0" applyNumberFormat="1" applyFill="1" applyBorder="1"/>
    <xf numFmtId="167" fontId="0" fillId="12" borderId="1" xfId="0" applyNumberFormat="1" applyFill="1" applyBorder="1"/>
    <xf numFmtId="0" fontId="0" fillId="23" borderId="1" xfId="0" applyFill="1" applyBorder="1"/>
    <xf numFmtId="43" fontId="0" fillId="23" borderId="1" xfId="0" applyNumberFormat="1" applyFill="1" applyBorder="1"/>
    <xf numFmtId="0" fontId="0" fillId="2" borderId="6" xfId="0" applyFill="1" applyBorder="1"/>
    <xf numFmtId="0" fontId="4" fillId="17" borderId="9" xfId="0" applyFont="1" applyFill="1" applyBorder="1"/>
    <xf numFmtId="0" fontId="4" fillId="17" borderId="4" xfId="0" applyFont="1" applyFill="1" applyBorder="1"/>
    <xf numFmtId="0" fontId="4" fillId="17" borderId="6" xfId="0" applyFont="1" applyFill="1" applyBorder="1"/>
    <xf numFmtId="0" fontId="4" fillId="17" borderId="0" xfId="0" applyFont="1" applyFill="1"/>
    <xf numFmtId="0" fontId="4" fillId="20" borderId="1" xfId="0" applyFont="1" applyFill="1" applyBorder="1"/>
    <xf numFmtId="0" fontId="4" fillId="20" borderId="13" xfId="0" applyFont="1" applyFill="1" applyBorder="1"/>
    <xf numFmtId="0" fontId="4" fillId="20" borderId="0" xfId="0" applyFont="1" applyFill="1"/>
    <xf numFmtId="166" fontId="0" fillId="13" borderId="2" xfId="0" applyNumberFormat="1" applyFill="1" applyBorder="1"/>
    <xf numFmtId="0" fontId="4" fillId="20" borderId="3" xfId="0" applyFont="1" applyFill="1" applyBorder="1"/>
    <xf numFmtId="0" fontId="3" fillId="20" borderId="15" xfId="0" applyFont="1" applyFill="1" applyBorder="1" applyAlignment="1">
      <alignment horizontal="center"/>
    </xf>
    <xf numFmtId="0" fontId="4" fillId="20" borderId="15" xfId="0" applyFont="1" applyFill="1" applyBorder="1"/>
    <xf numFmtId="0" fontId="4" fillId="20" borderId="2" xfId="0" applyFont="1" applyFill="1" applyBorder="1"/>
    <xf numFmtId="0" fontId="0" fillId="23" borderId="2" xfId="0" applyFill="1" applyBorder="1"/>
    <xf numFmtId="43" fontId="0" fillId="23" borderId="2" xfId="0" applyNumberFormat="1" applyFill="1" applyBorder="1"/>
    <xf numFmtId="2" fontId="0" fillId="23" borderId="1" xfId="0" applyNumberFormat="1" applyFill="1" applyBorder="1"/>
    <xf numFmtId="0" fontId="2" fillId="23" borderId="1" xfId="0" applyFont="1" applyFill="1" applyBorder="1" applyAlignment="1">
      <alignment horizontal="center"/>
    </xf>
    <xf numFmtId="43" fontId="2" fillId="23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/>
    <xf numFmtId="0" fontId="5" fillId="20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3" borderId="6" xfId="0" applyFill="1" applyBorder="1"/>
    <xf numFmtId="0" fontId="4" fillId="24" borderId="9" xfId="0" applyFont="1" applyFill="1" applyBorder="1"/>
    <xf numFmtId="0" fontId="4" fillId="8" borderId="9" xfId="0" applyFont="1" applyFill="1" applyBorder="1"/>
    <xf numFmtId="167" fontId="4" fillId="8" borderId="9" xfId="0" applyNumberFormat="1" applyFont="1" applyFill="1" applyBorder="1"/>
    <xf numFmtId="2" fontId="0" fillId="0" borderId="4" xfId="0" applyNumberFormat="1" applyBorder="1"/>
    <xf numFmtId="2" fontId="0" fillId="0" borderId="6" xfId="0" applyNumberFormat="1" applyBorder="1"/>
    <xf numFmtId="2" fontId="4" fillId="0" borderId="6" xfId="0" applyNumberFormat="1" applyFont="1" applyBorder="1"/>
    <xf numFmtId="2" fontId="2" fillId="0" borderId="6" xfId="0" applyNumberFormat="1" applyFont="1" applyBorder="1"/>
    <xf numFmtId="2" fontId="0" fillId="0" borderId="3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43" fontId="0" fillId="0" borderId="4" xfId="0" applyNumberFormat="1" applyBorder="1"/>
    <xf numFmtId="43" fontId="0" fillId="0" borderId="13" xfId="0" applyNumberFormat="1" applyBorder="1"/>
    <xf numFmtId="2" fontId="0" fillId="0" borderId="8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9" borderId="1" xfId="0" applyNumberFormat="1" applyFill="1" applyBorder="1"/>
    <xf numFmtId="2" fontId="0" fillId="4" borderId="1" xfId="0" applyNumberFormat="1" applyFill="1" applyBorder="1"/>
    <xf numFmtId="43" fontId="0" fillId="7" borderId="1" xfId="0" applyNumberFormat="1" applyFill="1" applyBorder="1"/>
    <xf numFmtId="0" fontId="0" fillId="4" borderId="1" xfId="0" applyFill="1" applyBorder="1"/>
    <xf numFmtId="2" fontId="0" fillId="11" borderId="1" xfId="0" applyNumberFormat="1" applyFill="1" applyBorder="1"/>
    <xf numFmtId="0" fontId="0" fillId="20" borderId="13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23" borderId="0" xfId="0" applyFill="1"/>
    <xf numFmtId="0" fontId="0" fillId="23" borderId="14" xfId="0" applyFill="1" applyBorder="1"/>
    <xf numFmtId="3" fontId="13" fillId="23" borderId="0" xfId="0" applyNumberFormat="1" applyFont="1" applyFill="1"/>
    <xf numFmtId="2" fontId="13" fillId="23" borderId="0" xfId="0" applyNumberFormat="1" applyFont="1" applyFill="1"/>
    <xf numFmtId="43" fontId="13" fillId="23" borderId="0" xfId="0" applyNumberFormat="1" applyFont="1" applyFill="1"/>
    <xf numFmtId="0" fontId="13" fillId="23" borderId="0" xfId="0" applyFont="1" applyFill="1"/>
    <xf numFmtId="0" fontId="6" fillId="0" borderId="3" xfId="0" applyFont="1" applyBorder="1" applyAlignment="1">
      <alignment horizontal="right" vertical="center"/>
    </xf>
    <xf numFmtId="0" fontId="0" fillId="18" borderId="2" xfId="0" applyFill="1" applyBorder="1"/>
    <xf numFmtId="2" fontId="0" fillId="23" borderId="2" xfId="0" applyNumberFormat="1" applyFill="1" applyBorder="1"/>
    <xf numFmtId="0" fontId="0" fillId="23" borderId="8" xfId="0" applyFill="1" applyBorder="1"/>
    <xf numFmtId="0" fontId="4" fillId="24" borderId="9" xfId="0" applyFont="1" applyFill="1" applyBorder="1" applyAlignment="1">
      <alignment horizontal="center"/>
    </xf>
    <xf numFmtId="0" fontId="0" fillId="23" borderId="12" xfId="0" applyFill="1" applyBorder="1"/>
    <xf numFmtId="0" fontId="13" fillId="23" borderId="14" xfId="0" applyFont="1" applyFill="1" applyBorder="1"/>
    <xf numFmtId="0" fontId="13" fillId="23" borderId="8" xfId="0" applyFont="1" applyFill="1" applyBorder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65" fontId="1" fillId="0" borderId="1" xfId="1" applyNumberFormat="1" applyFont="1" applyFill="1" applyBorder="1"/>
    <xf numFmtId="0" fontId="14" fillId="11" borderId="1" xfId="0" applyFont="1" applyFill="1" applyBorder="1"/>
    <xf numFmtId="0" fontId="15" fillId="19" borderId="1" xfId="0" applyFont="1" applyFill="1" applyBorder="1"/>
    <xf numFmtId="0" fontId="15" fillId="19" borderId="1" xfId="0" applyFont="1" applyFill="1" applyBorder="1" applyAlignment="1">
      <alignment horizontal="center"/>
    </xf>
    <xf numFmtId="166" fontId="0" fillId="15" borderId="1" xfId="0" applyNumberFormat="1" applyFill="1" applyBorder="1" applyAlignment="1">
      <alignment horizontal="center"/>
    </xf>
    <xf numFmtId="2" fontId="0" fillId="15" borderId="1" xfId="0" applyNumberFormat="1" applyFill="1" applyBorder="1" applyAlignment="1">
      <alignment horizontal="right"/>
    </xf>
    <xf numFmtId="2" fontId="0" fillId="15" borderId="1" xfId="0" applyNumberFormat="1" applyFill="1" applyBorder="1"/>
    <xf numFmtId="165" fontId="1" fillId="15" borderId="1" xfId="1" applyNumberFormat="1" applyFont="1" applyFill="1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8" xfId="0" applyNumberFormat="1" applyBorder="1"/>
    <xf numFmtId="0" fontId="3" fillId="20" borderId="10" xfId="0" applyFont="1" applyFill="1" applyBorder="1" applyAlignment="1">
      <alignment horizontal="center"/>
    </xf>
    <xf numFmtId="1" fontId="0" fillId="0" borderId="4" xfId="0" applyNumberFormat="1" applyBorder="1"/>
    <xf numFmtId="0" fontId="2" fillId="15" borderId="0" xfId="0" applyFont="1" applyFill="1" applyAlignment="1">
      <alignment horizontal="center" wrapText="1"/>
    </xf>
    <xf numFmtId="0" fontId="0" fillId="15" borderId="0" xfId="0" applyFill="1" applyAlignment="1">
      <alignment wrapText="1"/>
    </xf>
    <xf numFmtId="43" fontId="0" fillId="0" borderId="14" xfId="0" applyNumberFormat="1" applyBorder="1"/>
    <xf numFmtId="43" fontId="0" fillId="4" borderId="14" xfId="0" applyNumberFormat="1" applyFill="1" applyBorder="1"/>
    <xf numFmtId="0" fontId="0" fillId="23" borderId="4" xfId="0" applyFill="1" applyBorder="1"/>
    <xf numFmtId="3" fontId="0" fillId="0" borderId="3" xfId="0" applyNumberFormat="1" applyBorder="1"/>
    <xf numFmtId="0" fontId="5" fillId="20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19" borderId="5" xfId="0" applyFont="1" applyFill="1" applyBorder="1" applyAlignment="1">
      <alignment horizontal="center"/>
    </xf>
    <xf numFmtId="0" fontId="3" fillId="19" borderId="10" xfId="0" applyFont="1" applyFill="1" applyBorder="1" applyAlignment="1">
      <alignment horizontal="center"/>
    </xf>
    <xf numFmtId="0" fontId="3" fillId="19" borderId="9" xfId="0" applyFont="1" applyFill="1" applyBorder="1" applyAlignment="1">
      <alignment horizontal="center"/>
    </xf>
    <xf numFmtId="0" fontId="8" fillId="19" borderId="5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0" fillId="2" borderId="6" xfId="0" applyNumberForma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0" fillId="2" borderId="3" xfId="0" applyNumberForma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8" borderId="5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4" fillId="20" borderId="15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12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333333"/>
      <color rgb="FF009999"/>
      <color rgb="FF32EDF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  <a:latin typeface="Century Gothic" panose="020B0502020202020204" pitchFamily="34" charset="0"/>
              </a:rPr>
              <a:t>Gráfica</a:t>
            </a:r>
            <a:r>
              <a:rPr lang="en-US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Century Gothic" panose="020B0502020202020204" pitchFamily="34" charset="0"/>
              </a:rPr>
              <a:t> N°2. </a:t>
            </a: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  <a:latin typeface="Century Gothic" panose="020B0502020202020204" pitchFamily="34" charset="0"/>
              </a:rPr>
              <a:t>Acumulado Mensual de Pólizas de Automóviles en Panamá, 2021-2023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'DATABASE - POLIZAS (2021-2023)'!$C$2</c:f>
              <c:strCache>
                <c:ptCount val="1"/>
                <c:pt idx="0">
                  <c:v>Pólizas</c:v>
                </c:pt>
              </c:strCache>
            </c:strRef>
          </c:tx>
          <c:spPr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'DATABASE - POLIZAS (2021-2023)'!$C$3:$C$38</c:f>
              <c:numCache>
                <c:formatCode>#,##0</c:formatCode>
                <c:ptCount val="36"/>
                <c:pt idx="0">
                  <c:v>75754</c:v>
                </c:pt>
                <c:pt idx="1">
                  <c:v>80164</c:v>
                </c:pt>
                <c:pt idx="2">
                  <c:v>85384</c:v>
                </c:pt>
                <c:pt idx="3">
                  <c:v>68375</c:v>
                </c:pt>
                <c:pt idx="4">
                  <c:v>71351</c:v>
                </c:pt>
                <c:pt idx="5">
                  <c:v>76752</c:v>
                </c:pt>
                <c:pt idx="6">
                  <c:v>78805</c:v>
                </c:pt>
                <c:pt idx="7">
                  <c:v>86227</c:v>
                </c:pt>
                <c:pt idx="8">
                  <c:v>84956</c:v>
                </c:pt>
                <c:pt idx="9">
                  <c:v>94954</c:v>
                </c:pt>
                <c:pt idx="10">
                  <c:v>76328</c:v>
                </c:pt>
                <c:pt idx="11">
                  <c:v>99995</c:v>
                </c:pt>
                <c:pt idx="12">
                  <c:v>78535</c:v>
                </c:pt>
                <c:pt idx="13">
                  <c:v>77580</c:v>
                </c:pt>
                <c:pt idx="14">
                  <c:v>86508</c:v>
                </c:pt>
                <c:pt idx="15">
                  <c:v>72863</c:v>
                </c:pt>
                <c:pt idx="16">
                  <c:v>66963</c:v>
                </c:pt>
                <c:pt idx="17">
                  <c:v>79438</c:v>
                </c:pt>
                <c:pt idx="18">
                  <c:v>77103</c:v>
                </c:pt>
                <c:pt idx="19">
                  <c:v>91471</c:v>
                </c:pt>
                <c:pt idx="20">
                  <c:v>91148</c:v>
                </c:pt>
                <c:pt idx="21">
                  <c:v>107460</c:v>
                </c:pt>
                <c:pt idx="22">
                  <c:v>77570</c:v>
                </c:pt>
                <c:pt idx="23">
                  <c:v>89156</c:v>
                </c:pt>
                <c:pt idx="24">
                  <c:v>88182</c:v>
                </c:pt>
                <c:pt idx="25">
                  <c:v>79803</c:v>
                </c:pt>
                <c:pt idx="26">
                  <c:v>89841</c:v>
                </c:pt>
                <c:pt idx="27">
                  <c:v>77480</c:v>
                </c:pt>
                <c:pt idx="28">
                  <c:v>77263</c:v>
                </c:pt>
                <c:pt idx="29">
                  <c:v>83227</c:v>
                </c:pt>
                <c:pt idx="30">
                  <c:v>81132</c:v>
                </c:pt>
                <c:pt idx="31">
                  <c:v>88863</c:v>
                </c:pt>
                <c:pt idx="32">
                  <c:v>89823</c:v>
                </c:pt>
                <c:pt idx="33">
                  <c:v>93478</c:v>
                </c:pt>
                <c:pt idx="34">
                  <c:v>83241</c:v>
                </c:pt>
                <c:pt idx="35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5-4F36-AAEC-3FCF4DF5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584960"/>
        <c:axId val="1280587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'DATABASE - POLIZAS (2021-2023)'!$B$2</c15:sqref>
                        </c15:formulaRef>
                      </c:ext>
                    </c:extLst>
                    <c:strCache>
                      <c:ptCount val="1"/>
                      <c:pt idx="0">
                        <c:v>Periodo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'DATABASE - POLIZAS (2021-2023)'!$B$3:$B$38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55-4F36-AAEC-3FCF4DF5419C}"/>
                  </c:ext>
                </c:extLst>
              </c15:ser>
            </c15:filteredLineSeries>
          </c:ext>
        </c:extLst>
      </c:lineChart>
      <c:catAx>
        <c:axId val="12805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0587360"/>
        <c:crosses val="autoZero"/>
        <c:auto val="1"/>
        <c:lblAlgn val="ctr"/>
        <c:lblOffset val="100"/>
        <c:noMultiLvlLbl val="0"/>
      </c:catAx>
      <c:valAx>
        <c:axId val="12805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05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 b="1"/>
              <a:t>Gráfica N°1.</a:t>
            </a:r>
            <a:r>
              <a:rPr lang="es-PA" b="1" baseline="0"/>
              <a:t> </a:t>
            </a:r>
            <a:r>
              <a:rPr lang="es-PA" b="1"/>
              <a:t>Total Anual de Pólizas de Automóviles en Panamá, </a:t>
            </a:r>
          </a:p>
          <a:p>
            <a:pPr>
              <a:defRPr/>
            </a:pPr>
            <a:r>
              <a:rPr lang="es-PA" b="1"/>
              <a:t>2017-2023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Pólizas</c:v>
          </c:tx>
          <c:spPr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6F-48CA-91C6-CA8C886B0D1C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6F-48CA-91C6-CA8C886B0D1C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F-48CA-91C6-CA8C886B0D1C}"/>
              </c:ext>
            </c:extLst>
          </c:dPt>
          <c:cat>
            <c:numRef>
              <c:f>[1]PromediosMoviles!$A$5:$A$11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[1]PromediosMoviles!$C$5:$C$11</c:f>
              <c:numCache>
                <c:formatCode>General</c:formatCode>
                <c:ptCount val="7"/>
                <c:pt idx="0">
                  <c:v>845551</c:v>
                </c:pt>
                <c:pt idx="1">
                  <c:v>901939</c:v>
                </c:pt>
                <c:pt idx="2">
                  <c:v>939231</c:v>
                </c:pt>
                <c:pt idx="3">
                  <c:v>911457</c:v>
                </c:pt>
                <c:pt idx="4">
                  <c:v>951208</c:v>
                </c:pt>
                <c:pt idx="5">
                  <c:v>973744</c:v>
                </c:pt>
                <c:pt idx="6">
                  <c:v>989454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F-48CA-91C6-CA8C886B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332240"/>
        <c:axId val="1398335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[1]PromediosMoviles!$A$5:$A$11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[1]PromediosMoviles!$A$5:$A$11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6F-48CA-91C6-CA8C886B0D1C}"/>
                  </c:ext>
                </c:extLst>
              </c15:ser>
            </c15:filteredLineSeries>
          </c:ext>
        </c:extLst>
      </c:lineChart>
      <c:catAx>
        <c:axId val="13983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8335600"/>
        <c:crosses val="autoZero"/>
        <c:auto val="1"/>
        <c:lblAlgn val="ctr"/>
        <c:lblOffset val="100"/>
        <c:noMultiLvlLbl val="0"/>
      </c:catAx>
      <c:valAx>
        <c:axId val="139833560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833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905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N°3. Estimación de Pólizas de Automóvil por Modelo de Regresión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RegresiónLineal!$C$4</c:f>
              <c:strCache>
                <c:ptCount val="1"/>
                <c:pt idx="0">
                  <c:v>Dt: Pólizas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RegresiónLineal!$B$5:$B$40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RegresiónLineal!$C$5:$C$40</c:f>
              <c:numCache>
                <c:formatCode>#,##0</c:formatCode>
                <c:ptCount val="36"/>
                <c:pt idx="0">
                  <c:v>75754</c:v>
                </c:pt>
                <c:pt idx="1">
                  <c:v>80164</c:v>
                </c:pt>
                <c:pt idx="2">
                  <c:v>85384</c:v>
                </c:pt>
                <c:pt idx="3">
                  <c:v>68375</c:v>
                </c:pt>
                <c:pt idx="4">
                  <c:v>71351</c:v>
                </c:pt>
                <c:pt idx="5">
                  <c:v>76752</c:v>
                </c:pt>
                <c:pt idx="6">
                  <c:v>78805</c:v>
                </c:pt>
                <c:pt idx="7">
                  <c:v>86227</c:v>
                </c:pt>
                <c:pt idx="8">
                  <c:v>84956</c:v>
                </c:pt>
                <c:pt idx="9">
                  <c:v>94954</c:v>
                </c:pt>
                <c:pt idx="10">
                  <c:v>76328</c:v>
                </c:pt>
                <c:pt idx="11">
                  <c:v>99995</c:v>
                </c:pt>
                <c:pt idx="12">
                  <c:v>78535</c:v>
                </c:pt>
                <c:pt idx="13">
                  <c:v>77580</c:v>
                </c:pt>
                <c:pt idx="14">
                  <c:v>86508</c:v>
                </c:pt>
                <c:pt idx="15">
                  <c:v>72863</c:v>
                </c:pt>
                <c:pt idx="16">
                  <c:v>66963</c:v>
                </c:pt>
                <c:pt idx="17">
                  <c:v>79438</c:v>
                </c:pt>
                <c:pt idx="18">
                  <c:v>77103</c:v>
                </c:pt>
                <c:pt idx="19">
                  <c:v>91471</c:v>
                </c:pt>
                <c:pt idx="20">
                  <c:v>91148</c:v>
                </c:pt>
                <c:pt idx="21">
                  <c:v>107460</c:v>
                </c:pt>
                <c:pt idx="22">
                  <c:v>77570</c:v>
                </c:pt>
                <c:pt idx="23">
                  <c:v>89156</c:v>
                </c:pt>
                <c:pt idx="24">
                  <c:v>88182</c:v>
                </c:pt>
                <c:pt idx="25">
                  <c:v>79803</c:v>
                </c:pt>
                <c:pt idx="26">
                  <c:v>89841</c:v>
                </c:pt>
                <c:pt idx="27">
                  <c:v>77480</c:v>
                </c:pt>
                <c:pt idx="28">
                  <c:v>77263</c:v>
                </c:pt>
                <c:pt idx="29">
                  <c:v>83227</c:v>
                </c:pt>
                <c:pt idx="30">
                  <c:v>81132</c:v>
                </c:pt>
                <c:pt idx="31">
                  <c:v>88863</c:v>
                </c:pt>
                <c:pt idx="32">
                  <c:v>89823</c:v>
                </c:pt>
                <c:pt idx="33">
                  <c:v>93478</c:v>
                </c:pt>
                <c:pt idx="34">
                  <c:v>83241</c:v>
                </c:pt>
                <c:pt idx="35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2-4A02-A974-23BDB7812515}"/>
            </c:ext>
          </c:extLst>
        </c:ser>
        <c:ser>
          <c:idx val="1"/>
          <c:order val="1"/>
          <c:tx>
            <c:v>Estimación</c:v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RegresiónLineal!$D$5:$D$41</c:f>
              <c:numCache>
                <c:formatCode>_-* #,##0_-;\-* #,##0_-;_-* "-"??_-;_-@_-</c:formatCode>
                <c:ptCount val="37"/>
                <c:pt idx="0">
                  <c:v>78138.274774774764</c:v>
                </c:pt>
                <c:pt idx="1">
                  <c:v>78445.163835263826</c:v>
                </c:pt>
                <c:pt idx="2">
                  <c:v>78752.052895752888</c:v>
                </c:pt>
                <c:pt idx="3">
                  <c:v>79058.94195624195</c:v>
                </c:pt>
                <c:pt idx="4">
                  <c:v>79365.831016730997</c:v>
                </c:pt>
                <c:pt idx="5">
                  <c:v>79672.720077220059</c:v>
                </c:pt>
                <c:pt idx="6">
                  <c:v>79979.609137709122</c:v>
                </c:pt>
                <c:pt idx="7">
                  <c:v>80286.498198198184</c:v>
                </c:pt>
                <c:pt idx="8">
                  <c:v>80593.387258687246</c:v>
                </c:pt>
                <c:pt idx="9">
                  <c:v>80900.276319176308</c:v>
                </c:pt>
                <c:pt idx="10">
                  <c:v>81207.16537966537</c:v>
                </c:pt>
                <c:pt idx="11">
                  <c:v>81514.054440154432</c:v>
                </c:pt>
                <c:pt idx="12">
                  <c:v>81820.943500643494</c:v>
                </c:pt>
                <c:pt idx="13">
                  <c:v>82127.832561132556</c:v>
                </c:pt>
                <c:pt idx="14">
                  <c:v>82434.721621621604</c:v>
                </c:pt>
                <c:pt idx="15">
                  <c:v>82741.610682110666</c:v>
                </c:pt>
                <c:pt idx="16">
                  <c:v>83048.499742599728</c:v>
                </c:pt>
                <c:pt idx="17">
                  <c:v>83355.38880308879</c:v>
                </c:pt>
                <c:pt idx="18">
                  <c:v>83662.277863577852</c:v>
                </c:pt>
                <c:pt idx="19">
                  <c:v>83969.166924066914</c:v>
                </c:pt>
                <c:pt idx="20">
                  <c:v>84276.055984555976</c:v>
                </c:pt>
                <c:pt idx="21">
                  <c:v>84582.945045045039</c:v>
                </c:pt>
                <c:pt idx="22">
                  <c:v>84889.834105534101</c:v>
                </c:pt>
                <c:pt idx="23">
                  <c:v>85196.723166023148</c:v>
                </c:pt>
                <c:pt idx="24">
                  <c:v>85503.61222651221</c:v>
                </c:pt>
                <c:pt idx="25">
                  <c:v>85810.501287001272</c:v>
                </c:pt>
                <c:pt idx="26">
                  <c:v>86117.390347490335</c:v>
                </c:pt>
                <c:pt idx="27">
                  <c:v>86424.279407979397</c:v>
                </c:pt>
                <c:pt idx="28">
                  <c:v>86731.168468468459</c:v>
                </c:pt>
                <c:pt idx="29">
                  <c:v>87038.057528957521</c:v>
                </c:pt>
                <c:pt idx="30">
                  <c:v>87344.946589446583</c:v>
                </c:pt>
                <c:pt idx="31">
                  <c:v>87651.835649935645</c:v>
                </c:pt>
                <c:pt idx="32">
                  <c:v>87958.724710424693</c:v>
                </c:pt>
                <c:pt idx="33">
                  <c:v>88265.613770913755</c:v>
                </c:pt>
                <c:pt idx="34">
                  <c:v>88572.502831402817</c:v>
                </c:pt>
                <c:pt idx="35">
                  <c:v>88879.391891891879</c:v>
                </c:pt>
                <c:pt idx="36">
                  <c:v>89186.280952380941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2-4A02-A974-23BDB781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3000048"/>
        <c:axId val="1772989008"/>
      </c:lineChart>
      <c:catAx>
        <c:axId val="17730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72989008"/>
        <c:crosses val="autoZero"/>
        <c:auto val="1"/>
        <c:lblAlgn val="ctr"/>
        <c:lblOffset val="100"/>
        <c:noMultiLvlLbl val="1"/>
      </c:catAx>
      <c:valAx>
        <c:axId val="1772989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7300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N°4.</a:t>
            </a:r>
            <a:r>
              <a:rPr lang="es-PA" baseline="0"/>
              <a:t> </a:t>
            </a:r>
            <a:r>
              <a:rPr lang="es-PA"/>
              <a:t>Estimación de Pólizas de Automóvil por Modelo </a:t>
            </a:r>
            <a:r>
              <a:rPr lang="es-PA" baseline="0"/>
              <a:t> de Regresión Polinómica de 3er Grado</a:t>
            </a:r>
            <a:r>
              <a:rPr lang="es-P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RegresiónPolinomialG3!$C$4</c:f>
              <c:strCache>
                <c:ptCount val="1"/>
                <c:pt idx="0">
                  <c:v>Dt: Pólizas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RegresiónPolinomialG3!$B$5:$B$40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RegresiónPolinomialG3!$C$5:$C$40</c:f>
              <c:numCache>
                <c:formatCode>#,##0</c:formatCode>
                <c:ptCount val="36"/>
                <c:pt idx="0">
                  <c:v>75754</c:v>
                </c:pt>
                <c:pt idx="1">
                  <c:v>80164</c:v>
                </c:pt>
                <c:pt idx="2">
                  <c:v>85384</c:v>
                </c:pt>
                <c:pt idx="3">
                  <c:v>68375</c:v>
                </c:pt>
                <c:pt idx="4">
                  <c:v>71351</c:v>
                </c:pt>
                <c:pt idx="5">
                  <c:v>76752</c:v>
                </c:pt>
                <c:pt idx="6">
                  <c:v>78805</c:v>
                </c:pt>
                <c:pt idx="7">
                  <c:v>86227</c:v>
                </c:pt>
                <c:pt idx="8">
                  <c:v>84956</c:v>
                </c:pt>
                <c:pt idx="9">
                  <c:v>94954</c:v>
                </c:pt>
                <c:pt idx="10">
                  <c:v>76328</c:v>
                </c:pt>
                <c:pt idx="11">
                  <c:v>99995</c:v>
                </c:pt>
                <c:pt idx="12">
                  <c:v>78535</c:v>
                </c:pt>
                <c:pt idx="13">
                  <c:v>77580</c:v>
                </c:pt>
                <c:pt idx="14">
                  <c:v>86508</c:v>
                </c:pt>
                <c:pt idx="15">
                  <c:v>72863</c:v>
                </c:pt>
                <c:pt idx="16">
                  <c:v>66963</c:v>
                </c:pt>
                <c:pt idx="17">
                  <c:v>79438</c:v>
                </c:pt>
                <c:pt idx="18">
                  <c:v>77103</c:v>
                </c:pt>
                <c:pt idx="19">
                  <c:v>91471</c:v>
                </c:pt>
                <c:pt idx="20">
                  <c:v>91148</c:v>
                </c:pt>
                <c:pt idx="21">
                  <c:v>107460</c:v>
                </c:pt>
                <c:pt idx="22">
                  <c:v>77570</c:v>
                </c:pt>
                <c:pt idx="23">
                  <c:v>89156</c:v>
                </c:pt>
                <c:pt idx="24">
                  <c:v>88182</c:v>
                </c:pt>
                <c:pt idx="25">
                  <c:v>79803</c:v>
                </c:pt>
                <c:pt idx="26">
                  <c:v>89841</c:v>
                </c:pt>
                <c:pt idx="27">
                  <c:v>77480</c:v>
                </c:pt>
                <c:pt idx="28">
                  <c:v>77263</c:v>
                </c:pt>
                <c:pt idx="29">
                  <c:v>83227</c:v>
                </c:pt>
                <c:pt idx="30">
                  <c:v>81132</c:v>
                </c:pt>
                <c:pt idx="31">
                  <c:v>88863</c:v>
                </c:pt>
                <c:pt idx="32">
                  <c:v>89823</c:v>
                </c:pt>
                <c:pt idx="33">
                  <c:v>93478</c:v>
                </c:pt>
                <c:pt idx="34">
                  <c:v>83241</c:v>
                </c:pt>
                <c:pt idx="35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1-4B36-BB7A-7CAEDB11312B}"/>
            </c:ext>
          </c:extLst>
        </c:ser>
        <c:ser>
          <c:idx val="1"/>
          <c:order val="1"/>
          <c:tx>
            <c:v>Estimación</c:v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RegresiónPolinomialG3!$D$5:$D$41</c:f>
              <c:numCache>
                <c:formatCode>_-* #,##0_-;\-* #,##0_-;_-* "-"??_-;_-@_-</c:formatCode>
                <c:ptCount val="37"/>
                <c:pt idx="0">
                  <c:v>75042.646800000002</c:v>
                </c:pt>
                <c:pt idx="1">
                  <c:v>76403.606400000004</c:v>
                </c:pt>
                <c:pt idx="2">
                  <c:v>77610.207599999994</c:v>
                </c:pt>
                <c:pt idx="3">
                  <c:v>78671.779200000004</c:v>
                </c:pt>
                <c:pt idx="4">
                  <c:v>79597.649999999994</c:v>
                </c:pt>
                <c:pt idx="5">
                  <c:v>80397.148799999995</c:v>
                </c:pt>
                <c:pt idx="6">
                  <c:v>81079.604399999997</c:v>
                </c:pt>
                <c:pt idx="7">
                  <c:v>81654.345600000001</c:v>
                </c:pt>
                <c:pt idx="8">
                  <c:v>82130.701199999996</c:v>
                </c:pt>
                <c:pt idx="9">
                  <c:v>82518</c:v>
                </c:pt>
                <c:pt idx="10">
                  <c:v>82825.570800000001</c:v>
                </c:pt>
                <c:pt idx="11">
                  <c:v>83062.742400000003</c:v>
                </c:pt>
                <c:pt idx="12">
                  <c:v>83238.843599999993</c:v>
                </c:pt>
                <c:pt idx="13">
                  <c:v>83363.203200000004</c:v>
                </c:pt>
                <c:pt idx="14">
                  <c:v>83445.149999999994</c:v>
                </c:pt>
                <c:pt idx="15">
                  <c:v>83494.012799999997</c:v>
                </c:pt>
                <c:pt idx="16">
                  <c:v>83519.1204</c:v>
                </c:pt>
                <c:pt idx="17">
                  <c:v>83529.801600000006</c:v>
                </c:pt>
                <c:pt idx="18">
                  <c:v>83535.385200000004</c:v>
                </c:pt>
                <c:pt idx="19">
                  <c:v>83545.200000000012</c:v>
                </c:pt>
                <c:pt idx="20">
                  <c:v>83568.574800000002</c:v>
                </c:pt>
                <c:pt idx="21">
                  <c:v>83614.838400000008</c:v>
                </c:pt>
                <c:pt idx="22">
                  <c:v>83693.319600000003</c:v>
                </c:pt>
                <c:pt idx="23">
                  <c:v>83813.347199999989</c:v>
                </c:pt>
                <c:pt idx="24">
                  <c:v>83984.25</c:v>
                </c:pt>
                <c:pt idx="25">
                  <c:v>84215.356800000009</c:v>
                </c:pt>
                <c:pt idx="26">
                  <c:v>84515.996400000004</c:v>
                </c:pt>
                <c:pt idx="27">
                  <c:v>84895.497600000002</c:v>
                </c:pt>
                <c:pt idx="28">
                  <c:v>85363.189199999993</c:v>
                </c:pt>
                <c:pt idx="29">
                  <c:v>85928.4</c:v>
                </c:pt>
                <c:pt idx="30">
                  <c:v>86600.458799999993</c:v>
                </c:pt>
                <c:pt idx="31">
                  <c:v>87388.694400000008</c:v>
                </c:pt>
                <c:pt idx="32">
                  <c:v>88302.435599999997</c:v>
                </c:pt>
                <c:pt idx="33">
                  <c:v>89351.011200000008</c:v>
                </c:pt>
                <c:pt idx="34">
                  <c:v>90543.750000000015</c:v>
                </c:pt>
                <c:pt idx="35">
                  <c:v>91889.980800000019</c:v>
                </c:pt>
                <c:pt idx="36">
                  <c:v>93399.032400000011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1-4B36-BB7A-7CAEDB11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3000048"/>
        <c:axId val="1772989008"/>
      </c:lineChart>
      <c:catAx>
        <c:axId val="17730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72989008"/>
        <c:crosses val="autoZero"/>
        <c:auto val="1"/>
        <c:lblAlgn val="ctr"/>
        <c:lblOffset val="100"/>
        <c:noMultiLvlLbl val="1"/>
      </c:catAx>
      <c:valAx>
        <c:axId val="1772989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7300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N°5. Estimación de Pólizas de Automóviles por Modelo de Promedios Móviles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Dt: Pólizas</c:v>
          </c:tx>
          <c:spPr>
            <a:ln w="2857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PromediosMoviles!$B$9:$B$40</c:f>
              <c:numCache>
                <c:formatCode>General</c:formatCode>
                <c:ptCount val="3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</c:numCache>
            </c:numRef>
          </c:cat>
          <c:val>
            <c:numRef>
              <c:f>PromediosMoviles!$C$9:$C$40</c:f>
              <c:numCache>
                <c:formatCode>#,##0</c:formatCode>
                <c:ptCount val="32"/>
                <c:pt idx="0">
                  <c:v>71351</c:v>
                </c:pt>
                <c:pt idx="1">
                  <c:v>76752</c:v>
                </c:pt>
                <c:pt idx="2">
                  <c:v>78805</c:v>
                </c:pt>
                <c:pt idx="3">
                  <c:v>86227</c:v>
                </c:pt>
                <c:pt idx="4">
                  <c:v>84956</c:v>
                </c:pt>
                <c:pt idx="5">
                  <c:v>94954</c:v>
                </c:pt>
                <c:pt idx="6">
                  <c:v>76328</c:v>
                </c:pt>
                <c:pt idx="7">
                  <c:v>99995</c:v>
                </c:pt>
                <c:pt idx="8">
                  <c:v>78535</c:v>
                </c:pt>
                <c:pt idx="9">
                  <c:v>77580</c:v>
                </c:pt>
                <c:pt idx="10">
                  <c:v>86508</c:v>
                </c:pt>
                <c:pt idx="11">
                  <c:v>72863</c:v>
                </c:pt>
                <c:pt idx="12">
                  <c:v>66963</c:v>
                </c:pt>
                <c:pt idx="13">
                  <c:v>79438</c:v>
                </c:pt>
                <c:pt idx="14">
                  <c:v>77103</c:v>
                </c:pt>
                <c:pt idx="15">
                  <c:v>91471</c:v>
                </c:pt>
                <c:pt idx="16">
                  <c:v>91148</c:v>
                </c:pt>
                <c:pt idx="17">
                  <c:v>107460</c:v>
                </c:pt>
                <c:pt idx="18">
                  <c:v>77570</c:v>
                </c:pt>
                <c:pt idx="19">
                  <c:v>89156</c:v>
                </c:pt>
                <c:pt idx="20">
                  <c:v>88182</c:v>
                </c:pt>
                <c:pt idx="21">
                  <c:v>79803</c:v>
                </c:pt>
                <c:pt idx="22">
                  <c:v>89841</c:v>
                </c:pt>
                <c:pt idx="23">
                  <c:v>77480</c:v>
                </c:pt>
                <c:pt idx="24">
                  <c:v>77263</c:v>
                </c:pt>
                <c:pt idx="25">
                  <c:v>83227</c:v>
                </c:pt>
                <c:pt idx="26">
                  <c:v>81132</c:v>
                </c:pt>
                <c:pt idx="27">
                  <c:v>88863</c:v>
                </c:pt>
                <c:pt idx="28">
                  <c:v>89823</c:v>
                </c:pt>
                <c:pt idx="29">
                  <c:v>93478</c:v>
                </c:pt>
                <c:pt idx="30">
                  <c:v>83241</c:v>
                </c:pt>
                <c:pt idx="31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3-4FAE-8DD0-85953B752A22}"/>
            </c:ext>
          </c:extLst>
        </c:ser>
        <c:ser>
          <c:idx val="2"/>
          <c:order val="2"/>
          <c:tx>
            <c:v>Estimación</c:v>
          </c:tx>
          <c:spPr>
            <a:ln w="28575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PromediosMoviles!$E$9:$E$41</c:f>
              <c:numCache>
                <c:formatCode>_-* #,##0_-;\-* #,##0_-;_-* "-"??_-;_-@_-</c:formatCode>
                <c:ptCount val="33"/>
                <c:pt idx="0">
                  <c:v>77419.25</c:v>
                </c:pt>
                <c:pt idx="1">
                  <c:v>76318.5</c:v>
                </c:pt>
                <c:pt idx="2">
                  <c:v>75465.5</c:v>
                </c:pt>
                <c:pt idx="3">
                  <c:v>73820.75</c:v>
                </c:pt>
                <c:pt idx="4">
                  <c:v>78283.75</c:v>
                </c:pt>
                <c:pt idx="5">
                  <c:v>81685</c:v>
                </c:pt>
                <c:pt idx="6">
                  <c:v>86235.5</c:v>
                </c:pt>
                <c:pt idx="7">
                  <c:v>85616.25</c:v>
                </c:pt>
                <c:pt idx="8">
                  <c:v>89058.25</c:v>
                </c:pt>
                <c:pt idx="9">
                  <c:v>87453</c:v>
                </c:pt>
                <c:pt idx="10">
                  <c:v>83109.5</c:v>
                </c:pt>
                <c:pt idx="11">
                  <c:v>85654.5</c:v>
                </c:pt>
                <c:pt idx="12">
                  <c:v>78871.5</c:v>
                </c:pt>
                <c:pt idx="13">
                  <c:v>75978.5</c:v>
                </c:pt>
                <c:pt idx="14">
                  <c:v>76443</c:v>
                </c:pt>
                <c:pt idx="15">
                  <c:v>74091.75</c:v>
                </c:pt>
                <c:pt idx="16">
                  <c:v>78743.75</c:v>
                </c:pt>
                <c:pt idx="17">
                  <c:v>84790</c:v>
                </c:pt>
                <c:pt idx="18">
                  <c:v>91795.5</c:v>
                </c:pt>
                <c:pt idx="19">
                  <c:v>91912.25</c:v>
                </c:pt>
                <c:pt idx="20">
                  <c:v>91333.5</c:v>
                </c:pt>
                <c:pt idx="21">
                  <c:v>90592</c:v>
                </c:pt>
                <c:pt idx="22">
                  <c:v>83677.75</c:v>
                </c:pt>
                <c:pt idx="23">
                  <c:v>86745.5</c:v>
                </c:pt>
                <c:pt idx="24">
                  <c:v>83826.5</c:v>
                </c:pt>
                <c:pt idx="25">
                  <c:v>81096.75</c:v>
                </c:pt>
                <c:pt idx="26">
                  <c:v>81952.75</c:v>
                </c:pt>
                <c:pt idx="27">
                  <c:v>79775.5</c:v>
                </c:pt>
                <c:pt idx="28">
                  <c:v>82621.25</c:v>
                </c:pt>
                <c:pt idx="29">
                  <c:v>85761.25</c:v>
                </c:pt>
                <c:pt idx="30">
                  <c:v>88324</c:v>
                </c:pt>
                <c:pt idx="31">
                  <c:v>88851.25</c:v>
                </c:pt>
                <c:pt idx="32">
                  <c:v>91421.75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3-4FAE-8DD0-85953B75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8909583"/>
        <c:axId val="105890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PromediosMoviles!$B$9:$B$40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PromediosMoviles!$B$9:$B$40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3-4FAE-8DD0-85953B752A22}"/>
                  </c:ext>
                </c:extLst>
              </c15:ser>
            </c15:filteredLineSeries>
          </c:ext>
        </c:extLst>
      </c:lineChart>
      <c:catAx>
        <c:axId val="10589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58907183"/>
        <c:crosses val="autoZero"/>
        <c:auto val="1"/>
        <c:lblAlgn val="ctr"/>
        <c:lblOffset val="100"/>
        <c:noMultiLvlLbl val="0"/>
      </c:catAx>
      <c:valAx>
        <c:axId val="10589071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58909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N°6. Estimación de Pólizas de Automóviles por Modelo de Suavización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Dt: Pólizas</c:v>
          </c:tx>
          <c:spPr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'Suav Expo'!$D$6:$D$41</c:f>
              <c:numCache>
                <c:formatCode>#,##0</c:formatCode>
                <c:ptCount val="36"/>
                <c:pt idx="0">
                  <c:v>75754</c:v>
                </c:pt>
                <c:pt idx="1">
                  <c:v>80164</c:v>
                </c:pt>
                <c:pt idx="2">
                  <c:v>85384</c:v>
                </c:pt>
                <c:pt idx="3">
                  <c:v>68375</c:v>
                </c:pt>
                <c:pt idx="4">
                  <c:v>71351</c:v>
                </c:pt>
                <c:pt idx="5">
                  <c:v>76752</c:v>
                </c:pt>
                <c:pt idx="6">
                  <c:v>78805</c:v>
                </c:pt>
                <c:pt idx="7">
                  <c:v>86227</c:v>
                </c:pt>
                <c:pt idx="8">
                  <c:v>84956</c:v>
                </c:pt>
                <c:pt idx="9">
                  <c:v>94954</c:v>
                </c:pt>
                <c:pt idx="10">
                  <c:v>76328</c:v>
                </c:pt>
                <c:pt idx="11">
                  <c:v>99995</c:v>
                </c:pt>
                <c:pt idx="12">
                  <c:v>78535</c:v>
                </c:pt>
                <c:pt idx="13">
                  <c:v>77580</c:v>
                </c:pt>
                <c:pt idx="14">
                  <c:v>86508</c:v>
                </c:pt>
                <c:pt idx="15">
                  <c:v>72863</c:v>
                </c:pt>
                <c:pt idx="16">
                  <c:v>66963</c:v>
                </c:pt>
                <c:pt idx="17">
                  <c:v>79438</c:v>
                </c:pt>
                <c:pt idx="18">
                  <c:v>77103</c:v>
                </c:pt>
                <c:pt idx="19">
                  <c:v>91471</c:v>
                </c:pt>
                <c:pt idx="20">
                  <c:v>91148</c:v>
                </c:pt>
                <c:pt idx="21">
                  <c:v>107460</c:v>
                </c:pt>
                <c:pt idx="22">
                  <c:v>77570</c:v>
                </c:pt>
                <c:pt idx="23">
                  <c:v>89156</c:v>
                </c:pt>
                <c:pt idx="24">
                  <c:v>88182</c:v>
                </c:pt>
                <c:pt idx="25">
                  <c:v>79803</c:v>
                </c:pt>
                <c:pt idx="26">
                  <c:v>89841</c:v>
                </c:pt>
                <c:pt idx="27">
                  <c:v>77480</c:v>
                </c:pt>
                <c:pt idx="28">
                  <c:v>77263</c:v>
                </c:pt>
                <c:pt idx="29">
                  <c:v>83227</c:v>
                </c:pt>
                <c:pt idx="30">
                  <c:v>81132</c:v>
                </c:pt>
                <c:pt idx="31">
                  <c:v>88863</c:v>
                </c:pt>
                <c:pt idx="32">
                  <c:v>89823</c:v>
                </c:pt>
                <c:pt idx="33">
                  <c:v>93478</c:v>
                </c:pt>
                <c:pt idx="34">
                  <c:v>83241</c:v>
                </c:pt>
                <c:pt idx="35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8-43C4-9BAF-2BC5192DE1C1}"/>
            </c:ext>
          </c:extLst>
        </c:ser>
        <c:ser>
          <c:idx val="2"/>
          <c:order val="2"/>
          <c:tx>
            <c:v>Estimación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'Suav Expo'!$F$6:$F$42</c:f>
              <c:numCache>
                <c:formatCode>_-* #,##0_-;\-* #,##0_-;_-* "-"??_-;_-@_-</c:formatCode>
                <c:ptCount val="37"/>
                <c:pt idx="0">
                  <c:v>83508.833333333328</c:v>
                </c:pt>
                <c:pt idx="1">
                  <c:v>83063.35100351178</c:v>
                </c:pt>
                <c:pt idx="2">
                  <c:v>82896.795568404879</c:v>
                </c:pt>
                <c:pt idx="3">
                  <c:v>83039.674928579741</c:v>
                </c:pt>
                <c:pt idx="4">
                  <c:v>82197.251465372814</c:v>
                </c:pt>
                <c:pt idx="5">
                  <c:v>81574.18025740044</c:v>
                </c:pt>
                <c:pt idx="6">
                  <c:v>81297.166425697258</c:v>
                </c:pt>
                <c:pt idx="7">
                  <c:v>81154.002019977474</c:v>
                </c:pt>
                <c:pt idx="8">
                  <c:v>81445.424267520342</c:v>
                </c:pt>
                <c:pt idx="9">
                  <c:v>81647.09197449706</c:v>
                </c:pt>
                <c:pt idx="10">
                  <c:v>82411.517479870716</c:v>
                </c:pt>
                <c:pt idx="11">
                  <c:v>82062.045167062417</c:v>
                </c:pt>
                <c:pt idx="12">
                  <c:v>83092.217468151372</c:v>
                </c:pt>
                <c:pt idx="13">
                  <c:v>82830.424626454944</c:v>
                </c:pt>
                <c:pt idx="14">
                  <c:v>82528.809969555528</c:v>
                </c:pt>
                <c:pt idx="15">
                  <c:v>82757.39758315972</c:v>
                </c:pt>
                <c:pt idx="16">
                  <c:v>82189.006349194678</c:v>
                </c:pt>
                <c:pt idx="17">
                  <c:v>81314.336773362404</c:v>
                </c:pt>
                <c:pt idx="18">
                  <c:v>81206.549172855972</c:v>
                </c:pt>
                <c:pt idx="19">
                  <c:v>80970.817653236663</c:v>
                </c:pt>
                <c:pt idx="20">
                  <c:v>81574.008656102014</c:v>
                </c:pt>
                <c:pt idx="21">
                  <c:v>82123.993908684803</c:v>
                </c:pt>
                <c:pt idx="22">
                  <c:v>83579.440149343092</c:v>
                </c:pt>
                <c:pt idx="23">
                  <c:v>83234.223265423061</c:v>
                </c:pt>
                <c:pt idx="24">
                  <c:v>83574.404257458431</c:v>
                </c:pt>
                <c:pt idx="25">
                  <c:v>83839.0911176441</c:v>
                </c:pt>
                <c:pt idx="26">
                  <c:v>83607.234777581762</c:v>
                </c:pt>
                <c:pt idx="27">
                  <c:v>83965.338186833193</c:v>
                </c:pt>
                <c:pt idx="28">
                  <c:v>83592.782976299844</c:v>
                </c:pt>
                <c:pt idx="29">
                  <c:v>83229.163753765926</c:v>
                </c:pt>
                <c:pt idx="30">
                  <c:v>83229.039455276536</c:v>
                </c:pt>
                <c:pt idx="31">
                  <c:v>83108.573420468441</c:v>
                </c:pt>
                <c:pt idx="32">
                  <c:v>83439.140854899015</c:v>
                </c:pt>
                <c:pt idx="33">
                  <c:v>83805.866524293844</c:v>
                </c:pt>
                <c:pt idx="34">
                  <c:v>84361.489626673312</c:v>
                </c:pt>
                <c:pt idx="35">
                  <c:v>84297.122243394333</c:v>
                </c:pt>
                <c:pt idx="36">
                  <c:v>85150.069933125633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8-43C4-9BAF-2BC5192D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6983360"/>
        <c:axId val="88698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'Suav Expo'!$C$6:$C$41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88-43C4-9BAF-2BC5192DE1C1}"/>
                  </c:ext>
                </c:extLst>
              </c15:ser>
            </c15:filteredLineSeries>
          </c:ext>
        </c:extLst>
      </c:lineChart>
      <c:catAx>
        <c:axId val="88698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86983840"/>
        <c:crosses val="autoZero"/>
        <c:auto val="1"/>
        <c:lblAlgn val="ctr"/>
        <c:lblOffset val="100"/>
        <c:noMultiLvlLbl val="0"/>
      </c:catAx>
      <c:valAx>
        <c:axId val="8869838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86983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Gráfica N°7. Estimación de Pólizas de Automóviles por Modelo de Holt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Dt: Pólizas</c:v>
          </c:tx>
          <c:spPr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Holt!$E$6:$E$41</c:f>
              <c:numCache>
                <c:formatCode>#,##0</c:formatCode>
                <c:ptCount val="36"/>
                <c:pt idx="0">
                  <c:v>75754</c:v>
                </c:pt>
                <c:pt idx="1">
                  <c:v>80164</c:v>
                </c:pt>
                <c:pt idx="2">
                  <c:v>85384</c:v>
                </c:pt>
                <c:pt idx="3">
                  <c:v>68375</c:v>
                </c:pt>
                <c:pt idx="4">
                  <c:v>71351</c:v>
                </c:pt>
                <c:pt idx="5">
                  <c:v>76752</c:v>
                </c:pt>
                <c:pt idx="6">
                  <c:v>78805</c:v>
                </c:pt>
                <c:pt idx="7">
                  <c:v>86227</c:v>
                </c:pt>
                <c:pt idx="8">
                  <c:v>84956</c:v>
                </c:pt>
                <c:pt idx="9">
                  <c:v>94954</c:v>
                </c:pt>
                <c:pt idx="10">
                  <c:v>76328</c:v>
                </c:pt>
                <c:pt idx="11">
                  <c:v>99995</c:v>
                </c:pt>
                <c:pt idx="12">
                  <c:v>78535</c:v>
                </c:pt>
                <c:pt idx="13">
                  <c:v>77580</c:v>
                </c:pt>
                <c:pt idx="14">
                  <c:v>86508</c:v>
                </c:pt>
                <c:pt idx="15">
                  <c:v>72863</c:v>
                </c:pt>
                <c:pt idx="16">
                  <c:v>66963</c:v>
                </c:pt>
                <c:pt idx="17">
                  <c:v>79438</c:v>
                </c:pt>
                <c:pt idx="18">
                  <c:v>77103</c:v>
                </c:pt>
                <c:pt idx="19">
                  <c:v>91471</c:v>
                </c:pt>
                <c:pt idx="20">
                  <c:v>91148</c:v>
                </c:pt>
                <c:pt idx="21">
                  <c:v>107460</c:v>
                </c:pt>
                <c:pt idx="22">
                  <c:v>77570</c:v>
                </c:pt>
                <c:pt idx="23">
                  <c:v>89156</c:v>
                </c:pt>
                <c:pt idx="24">
                  <c:v>88182</c:v>
                </c:pt>
                <c:pt idx="25">
                  <c:v>79803</c:v>
                </c:pt>
                <c:pt idx="26">
                  <c:v>89841</c:v>
                </c:pt>
                <c:pt idx="27">
                  <c:v>77480</c:v>
                </c:pt>
                <c:pt idx="28">
                  <c:v>77263</c:v>
                </c:pt>
                <c:pt idx="29">
                  <c:v>83227</c:v>
                </c:pt>
                <c:pt idx="30">
                  <c:v>81132</c:v>
                </c:pt>
                <c:pt idx="31">
                  <c:v>88863</c:v>
                </c:pt>
                <c:pt idx="32">
                  <c:v>89823</c:v>
                </c:pt>
                <c:pt idx="33">
                  <c:v>93478</c:v>
                </c:pt>
                <c:pt idx="34">
                  <c:v>83241</c:v>
                </c:pt>
                <c:pt idx="35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8-4AB9-8A90-FE2D61DC9E54}"/>
            </c:ext>
          </c:extLst>
        </c:ser>
        <c:ser>
          <c:idx val="2"/>
          <c:order val="2"/>
          <c:tx>
            <c:v>Estimación</c:v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Holt!$H$6:$H$42</c:f>
              <c:numCache>
                <c:formatCode>_-* #,##0_-;\-* #,##0_-;_-* "-"??_-;_-@_-</c:formatCode>
                <c:ptCount val="37"/>
                <c:pt idx="0">
                  <c:v>78138.274774774764</c:v>
                </c:pt>
                <c:pt idx="1">
                  <c:v>78283.748433011555</c:v>
                </c:pt>
                <c:pt idx="2">
                  <c:v>78675.728861072203</c:v>
                </c:pt>
                <c:pt idx="3">
                  <c:v>79427.846666888843</c:v>
                </c:pt>
                <c:pt idx="4">
                  <c:v>79096.273196410722</c:v>
                </c:pt>
                <c:pt idx="5">
                  <c:v>78792.987063880035</c:v>
                </c:pt>
                <c:pt idx="6">
                  <c:v>78738.789766945207</c:v>
                </c:pt>
                <c:pt idx="7">
                  <c:v>78791.124255982184</c:v>
                </c:pt>
                <c:pt idx="8">
                  <c:v>79343.55702123644</c:v>
                </c:pt>
                <c:pt idx="9">
                  <c:v>79904.158388952084</c:v>
                </c:pt>
                <c:pt idx="10">
                  <c:v>81203.011884797495</c:v>
                </c:pt>
                <c:pt idx="11">
                  <c:v>81419.334995489713</c:v>
                </c:pt>
                <c:pt idx="12">
                  <c:v>83136.98122122715</c:v>
                </c:pt>
                <c:pt idx="13">
                  <c:v>83614.290068061993</c:v>
                </c:pt>
                <c:pt idx="14">
                  <c:v>83913.17653835041</c:v>
                </c:pt>
                <c:pt idx="15">
                  <c:v>84689.447060395585</c:v>
                </c:pt>
                <c:pt idx="16">
                  <c:v>84535.325943369506</c:v>
                </c:pt>
                <c:pt idx="17">
                  <c:v>83782.880712997081</c:v>
                </c:pt>
                <c:pt idx="18">
                  <c:v>83614.903355523216</c:v>
                </c:pt>
                <c:pt idx="19">
                  <c:v>83223.314176530272</c:v>
                </c:pt>
                <c:pt idx="20">
                  <c:v>83715.688495562397</c:v>
                </c:pt>
                <c:pt idx="21">
                  <c:v>84298.84601227146</c:v>
                </c:pt>
                <c:pt idx="22">
                  <c:v>86078.398078727871</c:v>
                </c:pt>
                <c:pt idx="23">
                  <c:v>86123.873895867961</c:v>
                </c:pt>
                <c:pt idx="24">
                  <c:v>86800.044554194203</c:v>
                </c:pt>
                <c:pt idx="25">
                  <c:v>87418.167290994897</c:v>
                </c:pt>
                <c:pt idx="26">
                  <c:v>87451.645429904936</c:v>
                </c:pt>
                <c:pt idx="27">
                  <c:v>88027.641237760152</c:v>
                </c:pt>
                <c:pt idx="28">
                  <c:v>87770.094005314255</c:v>
                </c:pt>
                <c:pt idx="29">
                  <c:v>87328.598570596572</c:v>
                </c:pt>
                <c:pt idx="30">
                  <c:v>87134.779612915227</c:v>
                </c:pt>
                <c:pt idx="31">
                  <c:v>86739.652403969347</c:v>
                </c:pt>
                <c:pt idx="32">
                  <c:v>86788.41480792049</c:v>
                </c:pt>
                <c:pt idx="33">
                  <c:v>86936.451249573875</c:v>
                </c:pt>
                <c:pt idx="34">
                  <c:v>87375.621282027132</c:v>
                </c:pt>
                <c:pt idx="35">
                  <c:v>87207.800016165857</c:v>
                </c:pt>
                <c:pt idx="36">
                  <c:v>88054.858253311497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8-4AB9-8A90-FE2D61DC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73995743"/>
        <c:axId val="1373996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Holt!$D$6:$D$41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68-4AB9-8A90-FE2D61DC9E54}"/>
                  </c:ext>
                </c:extLst>
              </c15:ser>
            </c15:filteredLineSeries>
          </c:ext>
        </c:extLst>
      </c:lineChart>
      <c:catAx>
        <c:axId val="137399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73996223"/>
        <c:crosses val="autoZero"/>
        <c:auto val="1"/>
        <c:lblAlgn val="ctr"/>
        <c:lblOffset val="100"/>
        <c:noMultiLvlLbl val="0"/>
      </c:catAx>
      <c:valAx>
        <c:axId val="137399622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739957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A" sz="1600" b="1" i="0" u="none" strike="noStrike" kern="1200" cap="none" spc="2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Gráfica N°8. Estimación de Pólizas de Automóviles por Modelo ARIMA (3,1,3)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Dt: Pólizas</c:v>
          </c:tx>
          <c:spPr>
            <a:ln w="190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Lit>
              <c:ptCount val="29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'ARIMA(313)'!$B$9:$B$40</c15:sqref>
                  </c15:fullRef>
                </c:ext>
              </c:extLst>
              <c:f>'ARIMA(313)'!$B$13:$B$40</c:f>
              <c:numCache>
                <c:formatCode>#,##0</c:formatCode>
                <c:ptCount val="28"/>
                <c:pt idx="0">
                  <c:v>84956</c:v>
                </c:pt>
                <c:pt idx="1">
                  <c:v>94954</c:v>
                </c:pt>
                <c:pt idx="2">
                  <c:v>76328</c:v>
                </c:pt>
                <c:pt idx="3">
                  <c:v>99995</c:v>
                </c:pt>
                <c:pt idx="4">
                  <c:v>78535</c:v>
                </c:pt>
                <c:pt idx="5">
                  <c:v>77580</c:v>
                </c:pt>
                <c:pt idx="6">
                  <c:v>86508</c:v>
                </c:pt>
                <c:pt idx="7">
                  <c:v>72863</c:v>
                </c:pt>
                <c:pt idx="8">
                  <c:v>66963</c:v>
                </c:pt>
                <c:pt idx="9">
                  <c:v>79438</c:v>
                </c:pt>
                <c:pt idx="10">
                  <c:v>77103</c:v>
                </c:pt>
                <c:pt idx="11">
                  <c:v>91471</c:v>
                </c:pt>
                <c:pt idx="12">
                  <c:v>91148</c:v>
                </c:pt>
                <c:pt idx="13">
                  <c:v>107460</c:v>
                </c:pt>
                <c:pt idx="14">
                  <c:v>77570</c:v>
                </c:pt>
                <c:pt idx="15">
                  <c:v>89156</c:v>
                </c:pt>
                <c:pt idx="16">
                  <c:v>88182</c:v>
                </c:pt>
                <c:pt idx="17">
                  <c:v>79803</c:v>
                </c:pt>
                <c:pt idx="18">
                  <c:v>89841</c:v>
                </c:pt>
                <c:pt idx="19">
                  <c:v>77480</c:v>
                </c:pt>
                <c:pt idx="20">
                  <c:v>77263</c:v>
                </c:pt>
                <c:pt idx="21">
                  <c:v>83227</c:v>
                </c:pt>
                <c:pt idx="22">
                  <c:v>81132</c:v>
                </c:pt>
                <c:pt idx="23">
                  <c:v>88863</c:v>
                </c:pt>
                <c:pt idx="24">
                  <c:v>89823</c:v>
                </c:pt>
                <c:pt idx="25">
                  <c:v>93478</c:v>
                </c:pt>
                <c:pt idx="26">
                  <c:v>83241</c:v>
                </c:pt>
                <c:pt idx="27">
                  <c:v>99145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D-43D7-804C-93362B81715D}"/>
            </c:ext>
          </c:extLst>
        </c:ser>
        <c:ser>
          <c:idx val="2"/>
          <c:order val="2"/>
          <c:tx>
            <c:v>Estimación</c:v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Lit>
              <c:ptCount val="29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pt idx="26">
                <c:v>31</c:v>
              </c:pt>
              <c:pt idx="27">
                <c:v>32</c:v>
              </c:pt>
              <c:pt idx="28">
                <c:v>33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'ARIMA(313)'!$F$9:$F$41</c15:sqref>
                  </c15:fullRef>
                </c:ext>
              </c:extLst>
              <c:f>'ARIMA(313)'!$F$13:$F$41</c:f>
              <c:numCache>
                <c:formatCode>#,##0</c:formatCode>
                <c:ptCount val="29"/>
                <c:pt idx="0">
                  <c:v>92165.823229997186</c:v>
                </c:pt>
                <c:pt idx="1">
                  <c:v>87947.045007237393</c:v>
                </c:pt>
                <c:pt idx="2">
                  <c:v>98535.631230037892</c:v>
                </c:pt>
                <c:pt idx="3">
                  <c:v>74419.632880407255</c:v>
                </c:pt>
                <c:pt idx="4">
                  <c:v>102503.42415435973</c:v>
                </c:pt>
                <c:pt idx="5">
                  <c:v>73977.199626315778</c:v>
                </c:pt>
                <c:pt idx="6">
                  <c:v>82160.754305521827</c:v>
                </c:pt>
                <c:pt idx="7">
                  <c:v>78152.962897100879</c:v>
                </c:pt>
                <c:pt idx="8">
                  <c:v>73953.024257679906</c:v>
                </c:pt>
                <c:pt idx="9">
                  <c:v>67194.216680704558</c:v>
                </c:pt>
                <c:pt idx="10">
                  <c:v>74449.509807784241</c:v>
                </c:pt>
                <c:pt idx="11">
                  <c:v>79217.803951781752</c:v>
                </c:pt>
                <c:pt idx="12">
                  <c:v>101360.61617354347</c:v>
                </c:pt>
                <c:pt idx="13">
                  <c:v>95030.710786080715</c:v>
                </c:pt>
                <c:pt idx="14">
                  <c:v>115425.95240939021</c:v>
                </c:pt>
                <c:pt idx="15">
                  <c:v>75011.022074136374</c:v>
                </c:pt>
                <c:pt idx="16">
                  <c:v>87174.954611591602</c:v>
                </c:pt>
                <c:pt idx="17">
                  <c:v>77657.803064049673</c:v>
                </c:pt>
                <c:pt idx="18">
                  <c:v>86118.194241109217</c:v>
                </c:pt>
                <c:pt idx="19">
                  <c:v>91116.474191517496</c:v>
                </c:pt>
                <c:pt idx="20">
                  <c:v>74944.219835539436</c:v>
                </c:pt>
                <c:pt idx="21">
                  <c:v>77476.59547320244</c:v>
                </c:pt>
                <c:pt idx="22">
                  <c:v>79228.275858796755</c:v>
                </c:pt>
                <c:pt idx="23">
                  <c:v>84152.002263160233</c:v>
                </c:pt>
                <c:pt idx="24">
                  <c:v>93925.327661060001</c:v>
                </c:pt>
                <c:pt idx="25">
                  <c:v>91780.464873396442</c:v>
                </c:pt>
                <c:pt idx="26">
                  <c:v>97284.285908363119</c:v>
                </c:pt>
                <c:pt idx="27">
                  <c:v>82146.698368189507</c:v>
                </c:pt>
                <c:pt idx="28">
                  <c:v>100003.44309501843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D-43D7-804C-93362B81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73994783"/>
        <c:axId val="1374014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'ARIMA(313)'!$A$9:$A$40</c15:sqref>
                        </c15:fullRef>
                        <c15:formulaRef>
                          <c15:sqref>'ARIMA(313)'!$A$13:$A$40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9CD-43D7-804C-93362B81715D}"/>
                  </c:ext>
                </c:extLst>
              </c15:ser>
            </c15:filteredLineSeries>
          </c:ext>
        </c:extLst>
      </c:lineChart>
      <c:catAx>
        <c:axId val="1373994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74014943"/>
        <c:crosses val="autoZero"/>
        <c:auto val="1"/>
        <c:lblAlgn val="ctr"/>
        <c:lblOffset val="100"/>
        <c:noMultiLvlLbl val="0"/>
      </c:catAx>
      <c:valAx>
        <c:axId val="137401494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739947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5</xdr:row>
      <xdr:rowOff>157162</xdr:rowOff>
    </xdr:from>
    <xdr:to>
      <xdr:col>8</xdr:col>
      <xdr:colOff>657225</xdr:colOff>
      <xdr:row>20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92605A-B4DB-2B7A-22F2-04A006509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819149</xdr:colOff>
      <xdr:row>5</xdr:row>
      <xdr:rowOff>180975</xdr:rowOff>
    </xdr:from>
    <xdr:to>
      <xdr:col>13</xdr:col>
      <xdr:colOff>619125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A1C43-F8CC-434A-A8AA-AE9571E55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38100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BAEDEBC-041C-4C7A-8C2A-A7C97CFFFE3B}"/>
                </a:ext>
              </a:extLst>
            </xdr:cNvPr>
            <xdr:cNvSpPr txBox="1"/>
          </xdr:nvSpPr>
          <xdr:spPr>
            <a:xfrm>
              <a:off x="66770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BAEDEBC-041C-4C7A-8C2A-A7C97CFFFE3B}"/>
                </a:ext>
              </a:extLst>
            </xdr:cNvPr>
            <xdr:cNvSpPr txBox="1"/>
          </xdr:nvSpPr>
          <xdr:spPr>
            <a:xfrm>
              <a:off x="66770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6</xdr:col>
      <xdr:colOff>457200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33F97D-2A86-4B28-8954-E63ABD82C0FF}"/>
                </a:ext>
              </a:extLst>
            </xdr:cNvPr>
            <xdr:cNvSpPr txBox="1"/>
          </xdr:nvSpPr>
          <xdr:spPr>
            <a:xfrm>
              <a:off x="59912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633F97D-2A86-4B28-8954-E63ABD82C0FF}"/>
                </a:ext>
              </a:extLst>
            </xdr:cNvPr>
            <xdr:cNvSpPr txBox="1"/>
          </xdr:nvSpPr>
          <xdr:spPr>
            <a:xfrm>
              <a:off x="59912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PA" sz="110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1</xdr:row>
      <xdr:rowOff>95250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1EC2AE0-A192-416F-BE34-E1AD8CAF09D6}"/>
                </a:ext>
              </a:extLst>
            </xdr:cNvPr>
            <xdr:cNvSpPr txBox="1"/>
          </xdr:nvSpPr>
          <xdr:spPr>
            <a:xfrm>
              <a:off x="869632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1EC2AE0-A192-416F-BE34-E1AD8CAF09D6}"/>
                </a:ext>
              </a:extLst>
            </xdr:cNvPr>
            <xdr:cNvSpPr txBox="1"/>
          </xdr:nvSpPr>
          <xdr:spPr>
            <a:xfrm>
              <a:off x="869632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10</xdr:col>
      <xdr:colOff>219075</xdr:colOff>
      <xdr:row>1</xdr:row>
      <xdr:rowOff>76200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B222E82-4D0C-4FD4-9CA2-FAA48E5F59EE}"/>
                </a:ext>
              </a:extLst>
            </xdr:cNvPr>
            <xdr:cNvSpPr txBox="1"/>
          </xdr:nvSpPr>
          <xdr:spPr>
            <a:xfrm>
              <a:off x="94773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B222E82-4D0C-4FD4-9CA2-FAA48E5F59EE}"/>
                </a:ext>
              </a:extLst>
            </xdr:cNvPr>
            <xdr:cNvSpPr txBox="1"/>
          </xdr:nvSpPr>
          <xdr:spPr>
            <a:xfrm>
              <a:off x="94773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16</xdr:col>
      <xdr:colOff>452252</xdr:colOff>
      <xdr:row>13</xdr:row>
      <xdr:rowOff>180913</xdr:rowOff>
    </xdr:from>
    <xdr:to>
      <xdr:col>22</xdr:col>
      <xdr:colOff>452252</xdr:colOff>
      <xdr:row>28</xdr:row>
      <xdr:rowOff>66614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E7652E-8617-A871-F5B4-8D2B73702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</xdr:row>
      <xdr:rowOff>38100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CAEFBE8-639F-423B-8E9A-C172189D24DB}"/>
                </a:ext>
              </a:extLst>
            </xdr:cNvPr>
            <xdr:cNvSpPr txBox="1"/>
          </xdr:nvSpPr>
          <xdr:spPr>
            <a:xfrm>
              <a:off x="77438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CAEFBE8-639F-423B-8E9A-C172189D24DB}"/>
                </a:ext>
              </a:extLst>
            </xdr:cNvPr>
            <xdr:cNvSpPr txBox="1"/>
          </xdr:nvSpPr>
          <xdr:spPr>
            <a:xfrm>
              <a:off x="77438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6</xdr:col>
      <xdr:colOff>457200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6FDC93-3DCE-4B60-9798-670324E09559}"/>
                </a:ext>
              </a:extLst>
            </xdr:cNvPr>
            <xdr:cNvSpPr txBox="1"/>
          </xdr:nvSpPr>
          <xdr:spPr>
            <a:xfrm>
              <a:off x="64484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36FDC93-3DCE-4B60-9798-670324E09559}"/>
                </a:ext>
              </a:extLst>
            </xdr:cNvPr>
            <xdr:cNvSpPr txBox="1"/>
          </xdr:nvSpPr>
          <xdr:spPr>
            <a:xfrm>
              <a:off x="64484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1</xdr:row>
      <xdr:rowOff>95250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5E5834-7E7B-4B5A-A45A-65E59850A0CE}"/>
                </a:ext>
              </a:extLst>
            </xdr:cNvPr>
            <xdr:cNvSpPr txBox="1"/>
          </xdr:nvSpPr>
          <xdr:spPr>
            <a:xfrm>
              <a:off x="936307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5E5834-7E7B-4B5A-A45A-65E59850A0CE}"/>
                </a:ext>
              </a:extLst>
            </xdr:cNvPr>
            <xdr:cNvSpPr txBox="1"/>
          </xdr:nvSpPr>
          <xdr:spPr>
            <a:xfrm>
              <a:off x="936307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10</xdr:col>
      <xdr:colOff>219075</xdr:colOff>
      <xdr:row>1</xdr:row>
      <xdr:rowOff>76200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C37E080-5FE1-46A2-B341-5A655EBBF2A1}"/>
                </a:ext>
              </a:extLst>
            </xdr:cNvPr>
            <xdr:cNvSpPr txBox="1"/>
          </xdr:nvSpPr>
          <xdr:spPr>
            <a:xfrm>
              <a:off x="1014412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C37E080-5FE1-46A2-B341-5A655EBBF2A1}"/>
                </a:ext>
              </a:extLst>
            </xdr:cNvPr>
            <xdr:cNvSpPr txBox="1"/>
          </xdr:nvSpPr>
          <xdr:spPr>
            <a:xfrm>
              <a:off x="1014412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 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17</xdr:col>
      <xdr:colOff>181081</xdr:colOff>
      <xdr:row>2</xdr:row>
      <xdr:rowOff>365214</xdr:rowOff>
    </xdr:from>
    <xdr:to>
      <xdr:col>23</xdr:col>
      <xdr:colOff>321067</xdr:colOff>
      <xdr:row>16</xdr:row>
      <xdr:rowOff>64213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FD6EF6-AF19-4592-A679-D6A064F77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0.54244</cdr:x>
      <cdr:y>0.19619</cdr:y>
    </cdr:from>
    <cdr:to>
      <cdr:x>0.98845</cdr:x>
      <cdr:y>0.29645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1372CF5-924C-DA33-1EB3-E6FAA74F112A}"/>
            </a:ext>
          </a:extLst>
        </cdr:cNvPr>
        <cdr:cNvSpPr txBox="1"/>
      </cdr:nvSpPr>
      <cdr:spPr>
        <a:xfrm xmlns:a="http://schemas.openxmlformats.org/drawingml/2006/main">
          <a:off x="2473076" y="544477"/>
          <a:ext cx="2033427" cy="278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0.53775</cdr:x>
      <cdr:y>0.20776</cdr:y>
    </cdr:from>
    <cdr:to>
      <cdr:x>0.98376</cdr:x>
      <cdr:y>0.43913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065F8096-31D5-DB10-80F8-4F42C1738281}"/>
            </a:ext>
          </a:extLst>
        </cdr:cNvPr>
        <cdr:cNvSpPr txBox="1"/>
      </cdr:nvSpPr>
      <cdr:spPr>
        <a:xfrm xmlns:a="http://schemas.openxmlformats.org/drawingml/2006/main">
          <a:off x="2451672" y="576584"/>
          <a:ext cx="2033427" cy="642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A">
            <a:effectLst/>
          </a:endParaRPr>
        </a:p>
      </cdr:txBody>
    </cdr:sp>
  </cdr:relSizeAnchor>
  <cdr:relSizeAnchor xmlns:cdr="http://schemas.openxmlformats.org/drawingml/2006/chartDrawing">
    <cdr:from>
      <cdr:x>0.16685</cdr:x>
      <cdr:y>0.18462</cdr:y>
    </cdr:from>
    <cdr:to>
      <cdr:x>0.84526</cdr:x>
      <cdr:y>0.43913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CuadroTexto 3">
              <a:extLst xmlns:a="http://schemas.openxmlformats.org/drawingml/2006/main">
                <a:ext uri="{FF2B5EF4-FFF2-40B4-BE49-F238E27FC236}">
                  <a16:creationId xmlns:a16="http://schemas.microsoft.com/office/drawing/2014/main" id="{EE6C47EE-B9A5-1EC6-055E-87846ACFA9B2}"/>
                </a:ext>
              </a:extLst>
            </cdr:cNvPr>
            <cdr:cNvSpPr txBox="1"/>
          </cdr:nvSpPr>
          <cdr:spPr>
            <a:xfrm xmlns:a="http://schemas.openxmlformats.org/drawingml/2006/main">
              <a:off x="760717" y="512370"/>
              <a:ext cx="3092950" cy="70634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1.5548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86.508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+1609.6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+73518</m:t>
                    </m:r>
                  </m:oMath>
                </m:oMathPara>
              </a14:m>
              <a:endParaRPr lang="es-ES" sz="1100" b="0"/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=0.153</m:t>
                    </m:r>
                  </m:oMath>
                </m:oMathPara>
              </a14:m>
              <a:endParaRPr lang="es-PA" sz="1100"/>
            </a:p>
          </cdr:txBody>
        </cdr:sp>
      </mc:Choice>
      <mc:Fallback xmlns="">
        <cdr:sp macro="" textlink="">
          <cdr:nvSpPr>
            <cdr:cNvPr id="4" name="CuadroTexto 3">
              <a:extLst xmlns:a="http://schemas.openxmlformats.org/drawingml/2006/main">
                <a:ext uri="{FF2B5EF4-FFF2-40B4-BE49-F238E27FC236}">
                  <a16:creationId xmlns:a16="http://schemas.microsoft.com/office/drawing/2014/main" id="{EE6C47EE-B9A5-1EC6-055E-87846ACFA9B2}"/>
                </a:ext>
              </a:extLst>
            </cdr:cNvPr>
            <cdr:cNvSpPr txBox="1"/>
          </cdr:nvSpPr>
          <cdr:spPr>
            <a:xfrm xmlns:a="http://schemas.openxmlformats.org/drawingml/2006/main">
              <a:off x="760717" y="512370"/>
              <a:ext cx="3092950" cy="70634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s-ES" sz="1100" b="0" i="0">
                  <a:latin typeface="Cambria Math" panose="02040503050406030204" pitchFamily="18" charset="0"/>
                </a:rPr>
                <a:t>𝑦=〖1.5548𝑥〗^3−〖86.508𝑥〗^2+1609.6𝑥+73518</a:t>
              </a:r>
              <a:endParaRPr lang="es-ES" sz="1100" b="0"/>
            </a:p>
            <a:p xmlns:a="http://schemas.openxmlformats.org/drawingml/2006/main">
              <a:r>
                <a:rPr lang="es-ES" sz="1100" b="0" i="0">
                  <a:latin typeface="Cambria Math" panose="02040503050406030204" pitchFamily="18" charset="0"/>
                </a:rPr>
                <a:t>𝑅</a:t>
              </a:r>
              <a:r>
                <a:rPr lang="es-PA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2=0.153</a:t>
              </a:r>
              <a:endParaRPr lang="es-PA" sz="1100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38100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EF3CB0A-15C1-42BA-A4EC-D0C032A8E4E4}"/>
                </a:ext>
              </a:extLst>
            </xdr:cNvPr>
            <xdr:cNvSpPr txBox="1"/>
          </xdr:nvSpPr>
          <xdr:spPr>
            <a:xfrm>
              <a:off x="715327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EF3CB0A-15C1-42BA-A4EC-D0C032A8E4E4}"/>
                </a:ext>
              </a:extLst>
            </xdr:cNvPr>
            <xdr:cNvSpPr txBox="1"/>
          </xdr:nvSpPr>
          <xdr:spPr>
            <a:xfrm>
              <a:off x="715327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CCF9068-6C2D-4919-800A-A9FF013DB7D0}"/>
                </a:ext>
              </a:extLst>
            </xdr:cNvPr>
            <xdr:cNvSpPr txBox="1"/>
          </xdr:nvSpPr>
          <xdr:spPr>
            <a:xfrm>
              <a:off x="59912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9CCF9068-6C2D-4919-800A-A9FF013DB7D0}"/>
                </a:ext>
              </a:extLst>
            </xdr:cNvPr>
            <xdr:cNvSpPr txBox="1"/>
          </xdr:nvSpPr>
          <xdr:spPr>
            <a:xfrm>
              <a:off x="599122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PA" sz="110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10</xdr:col>
      <xdr:colOff>200025</xdr:colOff>
      <xdr:row>1</xdr:row>
      <xdr:rowOff>95250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CD7BB2-8862-49A9-A400-479BB47B1E60}"/>
                </a:ext>
              </a:extLst>
            </xdr:cNvPr>
            <xdr:cNvSpPr txBox="1"/>
          </xdr:nvSpPr>
          <xdr:spPr>
            <a:xfrm>
              <a:off x="869632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CD7BB2-8862-49A9-A400-479BB47B1E60}"/>
                </a:ext>
              </a:extLst>
            </xdr:cNvPr>
            <xdr:cNvSpPr txBox="1"/>
          </xdr:nvSpPr>
          <xdr:spPr>
            <a:xfrm>
              <a:off x="869632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11</xdr:col>
      <xdr:colOff>219075</xdr:colOff>
      <xdr:row>1</xdr:row>
      <xdr:rowOff>76200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E2D1E71-C868-481D-96E0-68ABB7F7EF50}"/>
                </a:ext>
              </a:extLst>
            </xdr:cNvPr>
            <xdr:cNvSpPr txBox="1"/>
          </xdr:nvSpPr>
          <xdr:spPr>
            <a:xfrm>
              <a:off x="94773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E2D1E71-C868-481D-96E0-68ABB7F7EF50}"/>
                </a:ext>
              </a:extLst>
            </xdr:cNvPr>
            <xdr:cNvSpPr txBox="1"/>
          </xdr:nvSpPr>
          <xdr:spPr>
            <a:xfrm>
              <a:off x="94773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5</xdr:col>
      <xdr:colOff>398876</xdr:colOff>
      <xdr:row>44</xdr:row>
      <xdr:rowOff>129827</xdr:rowOff>
    </xdr:from>
    <xdr:to>
      <xdr:col>18</xdr:col>
      <xdr:colOff>4697</xdr:colOff>
      <xdr:row>63</xdr:row>
      <xdr:rowOff>34576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4F9C82-7893-7747-D8AD-EA5C89227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</xdr:colOff>
      <xdr:row>1</xdr:row>
      <xdr:rowOff>38100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E4144A3-5A96-4350-AD89-50DC06E69E7A}"/>
                </a:ext>
              </a:extLst>
            </xdr:cNvPr>
            <xdr:cNvSpPr txBox="1"/>
          </xdr:nvSpPr>
          <xdr:spPr>
            <a:xfrm>
              <a:off x="9010650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E4144A3-5A96-4350-AD89-50DC06E69E7A}"/>
                </a:ext>
              </a:extLst>
            </xdr:cNvPr>
            <xdr:cNvSpPr txBox="1"/>
          </xdr:nvSpPr>
          <xdr:spPr>
            <a:xfrm>
              <a:off x="9010650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8</xdr:col>
      <xdr:colOff>457200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7EEA82-EA7C-4635-ABBB-896173D120E6}"/>
                </a:ext>
              </a:extLst>
            </xdr:cNvPr>
            <xdr:cNvSpPr txBox="1"/>
          </xdr:nvSpPr>
          <xdr:spPr>
            <a:xfrm>
              <a:off x="761047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7EEA82-EA7C-4635-ABBB-896173D120E6}"/>
                </a:ext>
              </a:extLst>
            </xdr:cNvPr>
            <xdr:cNvSpPr txBox="1"/>
          </xdr:nvSpPr>
          <xdr:spPr>
            <a:xfrm>
              <a:off x="7610475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PA" sz="110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11</xdr:col>
      <xdr:colOff>200025</xdr:colOff>
      <xdr:row>1</xdr:row>
      <xdr:rowOff>95250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2ED585-A2FB-4CBF-95F2-0DA17E21FCC1}"/>
                </a:ext>
              </a:extLst>
            </xdr:cNvPr>
            <xdr:cNvSpPr txBox="1"/>
          </xdr:nvSpPr>
          <xdr:spPr>
            <a:xfrm>
              <a:off x="10648950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E2ED585-A2FB-4CBF-95F2-0DA17E21FCC1}"/>
                </a:ext>
              </a:extLst>
            </xdr:cNvPr>
            <xdr:cNvSpPr txBox="1"/>
          </xdr:nvSpPr>
          <xdr:spPr>
            <a:xfrm>
              <a:off x="10648950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12</xdr:col>
      <xdr:colOff>219075</xdr:colOff>
      <xdr:row>1</xdr:row>
      <xdr:rowOff>76200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3914AC-5A11-4AAC-8746-4AA81F4E2A2B}"/>
                </a:ext>
              </a:extLst>
            </xdr:cNvPr>
            <xdr:cNvSpPr txBox="1"/>
          </xdr:nvSpPr>
          <xdr:spPr>
            <a:xfrm>
              <a:off x="115347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3914AC-5A11-4AAC-8746-4AA81F4E2A2B}"/>
                </a:ext>
              </a:extLst>
            </xdr:cNvPr>
            <xdr:cNvSpPr txBox="1"/>
          </xdr:nvSpPr>
          <xdr:spPr>
            <a:xfrm>
              <a:off x="11534775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6</xdr:col>
      <xdr:colOff>533400</xdr:colOff>
      <xdr:row>44</xdr:row>
      <xdr:rowOff>47625</xdr:rowOff>
    </xdr:from>
    <xdr:to>
      <xdr:col>13</xdr:col>
      <xdr:colOff>228601</xdr:colOff>
      <xdr:row>60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BFBFC-5591-EB01-A6B1-5911375F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180975</xdr:colOff>
      <xdr:row>1</xdr:row>
      <xdr:rowOff>38100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0248A34-95A9-4651-B667-65D050F3CE73}"/>
                </a:ext>
              </a:extLst>
            </xdr:cNvPr>
            <xdr:cNvSpPr txBox="1"/>
          </xdr:nvSpPr>
          <xdr:spPr>
            <a:xfrm>
              <a:off x="105632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0248A34-95A9-4651-B667-65D050F3CE73}"/>
                </a:ext>
              </a:extLst>
            </xdr:cNvPr>
            <xdr:cNvSpPr txBox="1"/>
          </xdr:nvSpPr>
          <xdr:spPr>
            <a:xfrm>
              <a:off x="10563225" y="38100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E422C1D-0864-4633-A3BA-14F7B17E11FE}"/>
                </a:ext>
              </a:extLst>
            </xdr:cNvPr>
            <xdr:cNvSpPr txBox="1"/>
          </xdr:nvSpPr>
          <xdr:spPr>
            <a:xfrm>
              <a:off x="8915400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E422C1D-0864-4633-A3BA-14F7B17E11FE}"/>
                </a:ext>
              </a:extLst>
            </xdr:cNvPr>
            <xdr:cNvSpPr txBox="1"/>
          </xdr:nvSpPr>
          <xdr:spPr>
            <a:xfrm>
              <a:off x="8915400" y="57150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PA" sz="110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13</xdr:col>
      <xdr:colOff>200025</xdr:colOff>
      <xdr:row>1</xdr:row>
      <xdr:rowOff>95250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234930A-7F14-4765-9C3A-8031CB68ED19}"/>
                </a:ext>
              </a:extLst>
            </xdr:cNvPr>
            <xdr:cNvSpPr txBox="1"/>
          </xdr:nvSpPr>
          <xdr:spPr>
            <a:xfrm>
              <a:off x="1237297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234930A-7F14-4765-9C3A-8031CB68ED19}"/>
                </a:ext>
              </a:extLst>
            </xdr:cNvPr>
            <xdr:cNvSpPr txBox="1"/>
          </xdr:nvSpPr>
          <xdr:spPr>
            <a:xfrm>
              <a:off x="12372975" y="9525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14</xdr:col>
      <xdr:colOff>219075</xdr:colOff>
      <xdr:row>1</xdr:row>
      <xdr:rowOff>76200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7BC986E-C9E7-472E-B0EA-9B8DFAF67012}"/>
                </a:ext>
              </a:extLst>
            </xdr:cNvPr>
            <xdr:cNvSpPr txBox="1"/>
          </xdr:nvSpPr>
          <xdr:spPr>
            <a:xfrm>
              <a:off x="13773150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7BC986E-C9E7-472E-B0EA-9B8DFAF67012}"/>
                </a:ext>
              </a:extLst>
            </xdr:cNvPr>
            <xdr:cNvSpPr txBox="1"/>
          </xdr:nvSpPr>
          <xdr:spPr>
            <a:xfrm>
              <a:off x="13773150" y="76200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(∑▒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 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9</xdr:col>
      <xdr:colOff>0</xdr:colOff>
      <xdr:row>47</xdr:row>
      <xdr:rowOff>0</xdr:rowOff>
    </xdr:from>
    <xdr:to>
      <xdr:col>16</xdr:col>
      <xdr:colOff>104670</xdr:colOff>
      <xdr:row>61</xdr:row>
      <xdr:rowOff>93601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4CD2C0-7C34-49F7-9E30-736C948EC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62702</xdr:colOff>
      <xdr:row>3</xdr:row>
      <xdr:rowOff>117951</xdr:rowOff>
    </xdr:from>
    <xdr:ext cx="4504951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1A70878-856D-499F-AFBC-490CE78562D5}"/>
                </a:ext>
              </a:extLst>
            </xdr:cNvPr>
            <xdr:cNvSpPr txBox="1"/>
          </xdr:nvSpPr>
          <xdr:spPr>
            <a:xfrm>
              <a:off x="2631241" y="599552"/>
              <a:ext cx="4504951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acc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−1 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−2 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−3 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3 </m:t>
                        </m:r>
                      </m:sub>
                    </m:sSub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PA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−3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s-PA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𝜀</m:t>
                    </m:r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1A70878-856D-499F-AFBC-490CE78562D5}"/>
                </a:ext>
              </a:extLst>
            </xdr:cNvPr>
            <xdr:cNvSpPr txBox="1"/>
          </xdr:nvSpPr>
          <xdr:spPr>
            <a:xfrm>
              <a:off x="2631241" y="599552"/>
              <a:ext cx="4504951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𝐷 ̂_𝑡=𝐶+ 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 𝐷_(𝑡−1 )+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𝜑_2 𝐷_(𝑡−2 )+ 𝜑_3 𝐷_(𝑡−3 )+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_(1 )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𝜀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+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𝜃_2 𝜀_(𝑡−2)+ 𝜃_(3 ) 𝜀_(𝑡−3)+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𝜀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5360541</xdr:colOff>
      <xdr:row>3</xdr:row>
      <xdr:rowOff>94073</xdr:rowOff>
    </xdr:from>
    <xdr:ext cx="1114425" cy="182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A53AB44-9EF9-4A04-BD79-0EDEC2EB78C2}"/>
                </a:ext>
              </a:extLst>
            </xdr:cNvPr>
            <xdr:cNvSpPr txBox="1"/>
          </xdr:nvSpPr>
          <xdr:spPr>
            <a:xfrm>
              <a:off x="7929080" y="746910"/>
              <a:ext cx="1114425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PA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 </m:t>
                    </m:r>
                    <m:sSub>
                      <m:sSubPr>
                        <m:ctrlP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s-P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PA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acc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A53AB44-9EF9-4A04-BD79-0EDEC2EB78C2}"/>
                </a:ext>
              </a:extLst>
            </xdr:cNvPr>
            <xdr:cNvSpPr txBox="1"/>
          </xdr:nvSpPr>
          <xdr:spPr>
            <a:xfrm>
              <a:off x="7929080" y="746910"/>
              <a:ext cx="1114425" cy="182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𝑒_𝑡= 𝐷_𝑡− 𝐷 ̂_𝑡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247650</xdr:colOff>
      <xdr:row>5</xdr:row>
      <xdr:rowOff>185737</xdr:rowOff>
    </xdr:from>
    <xdr:ext cx="189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E486B92-414D-40D2-9B9F-4EF654ADC5C5}"/>
                </a:ext>
              </a:extLst>
            </xdr:cNvPr>
            <xdr:cNvSpPr txBox="1"/>
          </xdr:nvSpPr>
          <xdr:spPr>
            <a:xfrm>
              <a:off x="9772650" y="1341580"/>
              <a:ext cx="189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E486B92-414D-40D2-9B9F-4EF654ADC5C5}"/>
                </a:ext>
              </a:extLst>
            </xdr:cNvPr>
            <xdr:cNvSpPr txBox="1"/>
          </xdr:nvSpPr>
          <xdr:spPr>
            <a:xfrm>
              <a:off x="9772650" y="1341580"/>
              <a:ext cx="189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247650</xdr:colOff>
      <xdr:row>7</xdr:row>
      <xdr:rowOff>19050</xdr:rowOff>
    </xdr:from>
    <xdr:ext cx="1928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1F017AD-EB6E-44FB-921C-267D1B21B488}"/>
                </a:ext>
              </a:extLst>
            </xdr:cNvPr>
            <xdr:cNvSpPr txBox="1"/>
          </xdr:nvSpPr>
          <xdr:spPr>
            <a:xfrm>
              <a:off x="9772650" y="1560174"/>
              <a:ext cx="192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1F017AD-EB6E-44FB-921C-267D1B21B488}"/>
                </a:ext>
              </a:extLst>
            </xdr:cNvPr>
            <xdr:cNvSpPr txBox="1"/>
          </xdr:nvSpPr>
          <xdr:spPr>
            <a:xfrm>
              <a:off x="9772650" y="1560174"/>
              <a:ext cx="192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257175</xdr:colOff>
      <xdr:row>7</xdr:row>
      <xdr:rowOff>180975</xdr:rowOff>
    </xdr:from>
    <xdr:ext cx="1928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0450CAC-FE4E-40C3-87D5-C72D2D85E8C9}"/>
                </a:ext>
              </a:extLst>
            </xdr:cNvPr>
            <xdr:cNvSpPr txBox="1"/>
          </xdr:nvSpPr>
          <xdr:spPr>
            <a:xfrm>
              <a:off x="9782175" y="1722099"/>
              <a:ext cx="192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0450CAC-FE4E-40C3-87D5-C72D2D85E8C9}"/>
                </a:ext>
              </a:extLst>
            </xdr:cNvPr>
            <xdr:cNvSpPr txBox="1"/>
          </xdr:nvSpPr>
          <xdr:spPr>
            <a:xfrm>
              <a:off x="9782175" y="1722099"/>
              <a:ext cx="1928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3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266700</xdr:colOff>
      <xdr:row>8</xdr:row>
      <xdr:rowOff>171450</xdr:rowOff>
    </xdr:from>
    <xdr:ext cx="168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38DB6BE-1A41-4170-AF0A-747E61F45443}"/>
                </a:ext>
              </a:extLst>
            </xdr:cNvPr>
            <xdr:cNvSpPr txBox="1"/>
          </xdr:nvSpPr>
          <xdr:spPr>
            <a:xfrm>
              <a:off x="9791700" y="1905214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38DB6BE-1A41-4170-AF0A-747E61F45443}"/>
                </a:ext>
              </a:extLst>
            </xdr:cNvPr>
            <xdr:cNvSpPr txBox="1"/>
          </xdr:nvSpPr>
          <xdr:spPr>
            <a:xfrm>
              <a:off x="9791700" y="1905214"/>
              <a:ext cx="168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1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266700</xdr:colOff>
      <xdr:row>10</xdr:row>
      <xdr:rowOff>0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E18E222-45D5-44FF-BF8F-1818022CCCBF}"/>
                </a:ext>
              </a:extLst>
            </xdr:cNvPr>
            <xdr:cNvSpPr txBox="1"/>
          </xdr:nvSpPr>
          <xdr:spPr>
            <a:xfrm>
              <a:off x="9791700" y="2119045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E18E222-45D5-44FF-BF8F-1818022CCCBF}"/>
                </a:ext>
              </a:extLst>
            </xdr:cNvPr>
            <xdr:cNvSpPr txBox="1"/>
          </xdr:nvSpPr>
          <xdr:spPr>
            <a:xfrm>
              <a:off x="9791700" y="2119045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2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276225</xdr:colOff>
      <xdr:row>11</xdr:row>
      <xdr:rowOff>9525</xdr:rowOff>
    </xdr:from>
    <xdr:ext cx="171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CF1C35-EA28-4459-9048-53317B2DEE52}"/>
                </a:ext>
              </a:extLst>
            </xdr:cNvPr>
            <xdr:cNvSpPr txBox="1"/>
          </xdr:nvSpPr>
          <xdr:spPr>
            <a:xfrm>
              <a:off x="9801225" y="2321210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s-PA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PA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ACCF1C35-EA28-4459-9048-53317B2DEE52}"/>
                </a:ext>
              </a:extLst>
            </xdr:cNvPr>
            <xdr:cNvSpPr txBox="1"/>
          </xdr:nvSpPr>
          <xdr:spPr>
            <a:xfrm>
              <a:off x="9801225" y="2321210"/>
              <a:ext cx="1717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𝜃_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3</a:t>
              </a:r>
              <a:endParaRPr lang="es-PA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180975</xdr:colOff>
      <xdr:row>1</xdr:row>
      <xdr:rowOff>107795</xdr:rowOff>
    </xdr:from>
    <xdr:ext cx="37356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9C5C071-E325-4E28-8E3D-723DC4983FE8}"/>
                </a:ext>
              </a:extLst>
            </xdr:cNvPr>
            <xdr:cNvSpPr txBox="1"/>
          </xdr:nvSpPr>
          <xdr:spPr>
            <a:xfrm>
              <a:off x="12261463" y="398191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9C5C071-E325-4E28-8E3D-723DC4983FE8}"/>
                </a:ext>
              </a:extLst>
            </xdr:cNvPr>
            <xdr:cNvSpPr txBox="1"/>
          </xdr:nvSpPr>
          <xdr:spPr>
            <a:xfrm>
              <a:off x="12261463" y="398191"/>
              <a:ext cx="37356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|𝐸_𝑡 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7</xdr:col>
      <xdr:colOff>445584</xdr:colOff>
      <xdr:row>1</xdr:row>
      <xdr:rowOff>57150</xdr:rowOff>
    </xdr:from>
    <xdr:ext cx="342210" cy="35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1161CE1-3412-4AFB-B544-F551BFE18B06}"/>
                </a:ext>
              </a:extLst>
            </xdr:cNvPr>
            <xdr:cNvSpPr txBox="1"/>
          </xdr:nvSpPr>
          <xdr:spPr>
            <a:xfrm>
              <a:off x="11283175" y="347546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s-PA" sz="110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bg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1161CE1-3412-4AFB-B544-F551BFE18B06}"/>
                </a:ext>
              </a:extLst>
            </xdr:cNvPr>
            <xdr:cNvSpPr txBox="1"/>
          </xdr:nvSpPr>
          <xdr:spPr>
            <a:xfrm>
              <a:off x="11283175" y="347546"/>
              <a:ext cx="342210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s-PA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10</xdr:col>
      <xdr:colOff>362647</xdr:colOff>
      <xdr:row>1</xdr:row>
      <xdr:rowOff>83634</xdr:rowOff>
    </xdr:from>
    <xdr:ext cx="511807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361E7FE-0712-42EE-BCF4-3DBF03DF8BE8}"/>
                </a:ext>
              </a:extLst>
            </xdr:cNvPr>
            <xdr:cNvSpPr txBox="1"/>
          </xdr:nvSpPr>
          <xdr:spPr>
            <a:xfrm>
              <a:off x="14092586" y="37403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%|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𝐸𝑡</m:t>
                            </m:r>
                            <m:r>
                              <a:rPr lang="es-ES" sz="1100" b="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361E7FE-0712-42EE-BCF4-3DBF03DF8BE8}"/>
                </a:ext>
              </a:extLst>
            </xdr:cNvPr>
            <xdr:cNvSpPr txBox="1"/>
          </xdr:nvSpPr>
          <xdr:spPr>
            <a:xfrm>
              <a:off x="14092586" y="374030"/>
              <a:ext cx="511807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%|𝐸𝑡|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〗)/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𝑛</a:t>
              </a:r>
              <a:endParaRPr lang="es-PA" sz="1100"/>
            </a:p>
          </xdr:txBody>
        </xdr:sp>
      </mc:Fallback>
    </mc:AlternateContent>
    <xdr:clientData/>
  </xdr:oneCellAnchor>
  <xdr:oneCellAnchor>
    <xdr:from>
      <xdr:col>11</xdr:col>
      <xdr:colOff>497856</xdr:colOff>
      <xdr:row>1</xdr:row>
      <xdr:rowOff>76199</xdr:rowOff>
    </xdr:from>
    <xdr:ext cx="337465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AF4182C-8D76-4AEF-AAF1-23DD87FCE05F}"/>
                </a:ext>
              </a:extLst>
            </xdr:cNvPr>
            <xdr:cNvSpPr txBox="1"/>
          </xdr:nvSpPr>
          <xdr:spPr>
            <a:xfrm>
              <a:off x="15470691" y="366595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A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PA" sz="1100" i="1">
                                <a:solidFill>
                                  <a:schemeClr val="bg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PA" sz="110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𝑀𝐴𝐷</m:t>
                        </m:r>
                      </m:den>
                    </m:f>
                  </m:oMath>
                </m:oMathPara>
              </a14:m>
              <a:endParaRPr lang="es-PA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6AF4182C-8D76-4AEF-AAF1-23DD87FCE05F}"/>
                </a:ext>
              </a:extLst>
            </xdr:cNvPr>
            <xdr:cNvSpPr txBox="1"/>
          </xdr:nvSpPr>
          <xdr:spPr>
            <a:xfrm>
              <a:off x="15470691" y="366595"/>
              <a:ext cx="33746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A" sz="1100" i="0">
                  <a:solidFill>
                    <a:schemeClr val="bg1"/>
                  </a:solidFill>
                  <a:latin typeface="Cambria Math" panose="02040503050406030204" pitchFamily="18" charset="0"/>
                </a:rPr>
                <a:t>(∑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▒𝐸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 </a:t>
              </a:r>
              <a:r>
                <a:rPr lang="es-PA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)/</a:t>
              </a:r>
              <a:r>
                <a:rPr lang="es-E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𝑀𝐴𝐷</a:t>
              </a:r>
              <a:endParaRPr lang="es-PA" sz="1100"/>
            </a:p>
          </xdr:txBody>
        </xdr:sp>
      </mc:Fallback>
    </mc:AlternateContent>
    <xdr:clientData/>
  </xdr:oneCellAnchor>
  <xdr:twoCellAnchor>
    <xdr:from>
      <xdr:col>3</xdr:col>
      <xdr:colOff>522713</xdr:colOff>
      <xdr:row>50</xdr:row>
      <xdr:rowOff>116159</xdr:rowOff>
    </xdr:from>
    <xdr:to>
      <xdr:col>8</xdr:col>
      <xdr:colOff>645446</xdr:colOff>
      <xdr:row>64</xdr:row>
      <xdr:rowOff>162394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9DB4D5-40B6-4356-A5F7-A9A8AA9EC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pac-my.sharepoint.com/personal/samuel_rodriguez12_utp_ac_pa/Documents/MAESTRIA%20AD/2024%2004%20-%20MODELOS%20PREDICTIVOS/DATASETS%20PARA%20PROYECTO%20FINAL/ASEGURADOS.xlsx" TargetMode="External"/><Relationship Id="rId1" Type="http://schemas.openxmlformats.org/officeDocument/2006/relationships/externalLinkPath" Target="ASEGUR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RegresiónLineal"/>
      <sheetName val="PromediosMoviles"/>
      <sheetName val="Suav Expo"/>
      <sheetName val="holt"/>
      <sheetName val="winterClase"/>
    </sheetNames>
    <sheetDataSet>
      <sheetData sheetId="0"/>
      <sheetData sheetId="1"/>
      <sheetData sheetId="2">
        <row r="5">
          <cell r="A5">
            <v>2017</v>
          </cell>
          <cell r="C5">
            <v>845551</v>
          </cell>
        </row>
        <row r="6">
          <cell r="A6">
            <v>2018</v>
          </cell>
          <cell r="C6">
            <v>901939</v>
          </cell>
        </row>
        <row r="7">
          <cell r="A7">
            <v>2019</v>
          </cell>
          <cell r="C7">
            <v>939231</v>
          </cell>
        </row>
        <row r="8">
          <cell r="A8">
            <v>2020</v>
          </cell>
          <cell r="C8">
            <v>911457</v>
          </cell>
        </row>
        <row r="9">
          <cell r="A9">
            <v>2021</v>
          </cell>
          <cell r="C9">
            <v>951208</v>
          </cell>
        </row>
        <row r="10">
          <cell r="A10">
            <v>2022</v>
          </cell>
          <cell r="C10">
            <v>973744</v>
          </cell>
        </row>
        <row r="11">
          <cell r="A11">
            <v>2023</v>
          </cell>
          <cell r="C11">
            <v>989454</v>
          </cell>
        </row>
      </sheetData>
      <sheetData sheetId="3"/>
      <sheetData sheetId="4"/>
      <sheetData sheetId="5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28D1-4848-46A6-815F-72C7FA2163DE}">
  <dimension ref="A1:G22"/>
  <sheetViews>
    <sheetView tabSelected="1" zoomScale="112" zoomScaleNormal="112" workbookViewId="0">
      <selection sqref="A1:G1"/>
    </sheetView>
  </sheetViews>
  <sheetFormatPr baseColWidth="10" defaultColWidth="9.140625" defaultRowHeight="15" x14ac:dyDescent="0.25"/>
  <cols>
    <col min="1" max="1" width="29.7109375" style="2" bestFit="1" customWidth="1"/>
    <col min="2" max="2" width="17" style="2" customWidth="1"/>
    <col min="3" max="3" width="15.28515625" style="2" bestFit="1" customWidth="1"/>
    <col min="4" max="4" width="14.85546875" style="2" bestFit="1" customWidth="1"/>
    <col min="5" max="5" width="12.28515625" style="2" bestFit="1" customWidth="1"/>
    <col min="6" max="6" width="13.28515625" style="2" bestFit="1" customWidth="1"/>
    <col min="7" max="7" width="12.5703125" style="2" bestFit="1" customWidth="1"/>
    <col min="8" max="16384" width="9.140625" style="2"/>
  </cols>
  <sheetData>
    <row r="1" spans="1:7" x14ac:dyDescent="0.25">
      <c r="A1" s="203" t="s">
        <v>66</v>
      </c>
      <c r="B1" s="204"/>
      <c r="C1" s="204"/>
      <c r="D1" s="204"/>
      <c r="E1" s="204"/>
      <c r="F1" s="204"/>
      <c r="G1" s="205"/>
    </row>
    <row r="2" spans="1:7" x14ac:dyDescent="0.25">
      <c r="A2" s="184" t="s">
        <v>12</v>
      </c>
      <c r="B2" s="185" t="s">
        <v>11</v>
      </c>
      <c r="C2" s="185" t="s">
        <v>7</v>
      </c>
      <c r="D2" s="185" t="s">
        <v>8</v>
      </c>
      <c r="E2" s="185" t="s">
        <v>13</v>
      </c>
      <c r="F2" s="185" t="s">
        <v>14</v>
      </c>
      <c r="G2" s="185" t="s">
        <v>15</v>
      </c>
    </row>
    <row r="3" spans="1:7" x14ac:dyDescent="0.25">
      <c r="A3" s="183" t="s">
        <v>41</v>
      </c>
      <c r="B3" s="12">
        <f>+RegresiónLineal!N12</f>
        <v>89186.280952380941</v>
      </c>
      <c r="C3" s="180">
        <f>+RegresiónLineal!N13</f>
        <v>6745.9658730158735</v>
      </c>
      <c r="D3" s="181">
        <f>+RegresiónLineal!N14</f>
        <v>8.0586294399344069</v>
      </c>
      <c r="E3" s="187">
        <f>+RegresiónLineal!N16</f>
        <v>-3.1210392523775679</v>
      </c>
      <c r="F3" s="187">
        <f>+RegresiónLineal!N17</f>
        <v>3.5131555649469592</v>
      </c>
      <c r="G3" s="182">
        <f>1.25*C3</f>
        <v>8432.457341269841</v>
      </c>
    </row>
    <row r="4" spans="1:7" x14ac:dyDescent="0.25">
      <c r="A4" s="183" t="s">
        <v>57</v>
      </c>
      <c r="B4" s="12">
        <f>+RegresiónPolinomialG3!N5</f>
        <v>93399.032400000011</v>
      </c>
      <c r="C4" s="186">
        <f>+RegresiónPolinomialG3!N6</f>
        <v>6704.1767555555543</v>
      </c>
      <c r="D4" s="187">
        <f>+RegresiónPolinomialG3!N7</f>
        <v>8.0311822707820397</v>
      </c>
      <c r="E4" s="187">
        <f>+RegresiónPolinomialG3!N9</f>
        <v>-3</v>
      </c>
      <c r="F4" s="187">
        <f>+RegresiónPolinomialG3!N10</f>
        <v>3.9212930944882141</v>
      </c>
      <c r="G4" s="189">
        <f>1.25*C4</f>
        <v>8380.2209444444434</v>
      </c>
    </row>
    <row r="5" spans="1:7" x14ac:dyDescent="0.25">
      <c r="A5" s="183" t="s">
        <v>16</v>
      </c>
      <c r="B5" s="12">
        <f>+PromediosMoviles!O5</f>
        <v>91421.75</v>
      </c>
      <c r="C5" s="12">
        <f>+PromediosMoviles!O6</f>
        <v>8337.21875</v>
      </c>
      <c r="D5" s="8">
        <f>+PromediosMoviles!O7</f>
        <v>9.7996533775769361</v>
      </c>
      <c r="E5" s="188">
        <f>+PromediosMoviles!O9</f>
        <v>-5.1834163787160925</v>
      </c>
      <c r="F5" s="188">
        <f>+PromediosMoviles!O10</f>
        <v>1.733302572384358</v>
      </c>
      <c r="G5" s="182">
        <f>1.25*C5</f>
        <v>10421.5234375</v>
      </c>
    </row>
    <row r="6" spans="1:7" x14ac:dyDescent="0.25">
      <c r="A6" s="183" t="s">
        <v>43</v>
      </c>
      <c r="B6" s="12">
        <f>+'Suav Expo'!P5</f>
        <v>85150.069933125633</v>
      </c>
      <c r="C6" s="12">
        <f>+'Suav Expo'!P6</f>
        <v>7268.6860445616976</v>
      </c>
      <c r="D6" s="8">
        <f>+'Suav Expo'!P7</f>
        <v>8.6260751148739097</v>
      </c>
      <c r="E6" s="188">
        <f>+'Suav Expo'!P9</f>
        <v>-3.9305856881842458</v>
      </c>
      <c r="F6" s="6">
        <f>+'Suav Expo'!P10</f>
        <v>6.2424757281836918</v>
      </c>
      <c r="G6" s="182">
        <f>1.25*C6</f>
        <v>9085.8575557021213</v>
      </c>
    </row>
    <row r="7" spans="1:7" x14ac:dyDescent="0.25">
      <c r="A7" s="183" t="s">
        <v>17</v>
      </c>
      <c r="B7" s="12">
        <f>+Holt!R12</f>
        <v>88054.858253311497</v>
      </c>
      <c r="C7" s="12">
        <f>+Holt!R13</f>
        <v>7155.893686768386</v>
      </c>
      <c r="D7" s="8">
        <f>+Holt!R14</f>
        <v>8.5654702744118012</v>
      </c>
      <c r="E7" s="188">
        <f>+Holt!R16</f>
        <v>-3.9167435581146188</v>
      </c>
      <c r="F7" s="188">
        <f>+Holt!R17</f>
        <v>3.199076936939043</v>
      </c>
      <c r="G7" s="182">
        <f t="shared" ref="G7:G8" si="0">1.25*C7</f>
        <v>8944.867108460483</v>
      </c>
    </row>
    <row r="8" spans="1:7" x14ac:dyDescent="0.25">
      <c r="A8" s="183" t="s">
        <v>54</v>
      </c>
      <c r="B8" s="12">
        <f>+'ARIMA(313)'!$N$15</f>
        <v>100003.44309501843</v>
      </c>
      <c r="C8" s="12">
        <f>+'ARIMA(313)'!$N$16</f>
        <v>8427.6608567426629</v>
      </c>
      <c r="D8" s="6">
        <f>+'ARIMA(313)'!$N$17</f>
        <v>9.6499342252523164</v>
      </c>
      <c r="E8" s="188">
        <f>+'ARIMA(313)'!$N$19</f>
        <v>-1.9686021607939588</v>
      </c>
      <c r="F8" s="6">
        <f>+'ARIMA(313)'!$N$20</f>
        <v>7</v>
      </c>
      <c r="G8" s="182">
        <f t="shared" si="0"/>
        <v>10534.576070928328</v>
      </c>
    </row>
    <row r="10" spans="1:7" x14ac:dyDescent="0.25">
      <c r="C10"/>
      <c r="D10" s="19"/>
    </row>
    <row r="11" spans="1:7" x14ac:dyDescent="0.25">
      <c r="C11"/>
      <c r="D11" s="19"/>
    </row>
    <row r="12" spans="1:7" x14ac:dyDescent="0.25">
      <c r="C12"/>
      <c r="D12" s="19"/>
    </row>
    <row r="13" spans="1:7" x14ac:dyDescent="0.25">
      <c r="C13"/>
      <c r="D13" s="19"/>
    </row>
    <row r="14" spans="1:7" x14ac:dyDescent="0.25">
      <c r="C14"/>
      <c r="D14" s="19"/>
    </row>
    <row r="15" spans="1:7" x14ac:dyDescent="0.25">
      <c r="B15" s="14"/>
      <c r="C15"/>
      <c r="D15" s="19"/>
    </row>
    <row r="16" spans="1:7" x14ac:dyDescent="0.25">
      <c r="B16" s="14"/>
      <c r="C16"/>
      <c r="D16" s="19"/>
    </row>
    <row r="17" spans="3:4" x14ac:dyDescent="0.25">
      <c r="C17"/>
      <c r="D17" s="19"/>
    </row>
    <row r="18" spans="3:4" x14ac:dyDescent="0.25">
      <c r="C18"/>
      <c r="D18" s="19"/>
    </row>
    <row r="19" spans="3:4" x14ac:dyDescent="0.25">
      <c r="C19"/>
      <c r="D19" s="19"/>
    </row>
    <row r="20" spans="3:4" x14ac:dyDescent="0.25">
      <c r="C20"/>
      <c r="D20" s="19"/>
    </row>
    <row r="21" spans="3:4" x14ac:dyDescent="0.25">
      <c r="C21"/>
      <c r="D21" s="19"/>
    </row>
    <row r="22" spans="3:4" x14ac:dyDescent="0.25">
      <c r="C22"/>
      <c r="D22" s="19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E4E1-3177-4405-8B51-431833DD25AA}">
  <dimension ref="A1:N38"/>
  <sheetViews>
    <sheetView showGridLines="0" workbookViewId="0">
      <selection activeCell="D22" sqref="D22"/>
    </sheetView>
  </sheetViews>
  <sheetFormatPr baseColWidth="10" defaultRowHeight="15" x14ac:dyDescent="0.25"/>
  <cols>
    <col min="1" max="1" width="15.5703125" bestFit="1" customWidth="1"/>
    <col min="3" max="3" width="30.5703125" customWidth="1"/>
    <col min="4" max="4" width="15.5703125" bestFit="1" customWidth="1"/>
    <col min="6" max="6" width="15.5703125" bestFit="1" customWidth="1"/>
    <col min="9" max="9" width="15.5703125" bestFit="1" customWidth="1"/>
    <col min="10" max="10" width="23.7109375" customWidth="1"/>
    <col min="11" max="11" width="22.85546875" customWidth="1"/>
  </cols>
  <sheetData>
    <row r="1" spans="1:14" x14ac:dyDescent="0.25">
      <c r="A1" s="209" t="s">
        <v>67</v>
      </c>
      <c r="B1" s="210"/>
      <c r="C1" s="211"/>
      <c r="J1" s="209" t="s">
        <v>58</v>
      </c>
      <c r="K1" s="211"/>
    </row>
    <row r="2" spans="1:14" x14ac:dyDescent="0.25">
      <c r="A2" s="54" t="s">
        <v>20</v>
      </c>
      <c r="B2" s="193" t="s">
        <v>0</v>
      </c>
      <c r="C2" s="54" t="s">
        <v>59</v>
      </c>
      <c r="I2" s="20"/>
      <c r="J2" s="54" t="s">
        <v>20</v>
      </c>
      <c r="K2" s="54" t="s">
        <v>59</v>
      </c>
    </row>
    <row r="3" spans="1:14" x14ac:dyDescent="0.25">
      <c r="A3" s="206">
        <v>2021</v>
      </c>
      <c r="B3" s="93">
        <v>1</v>
      </c>
      <c r="C3" s="190">
        <v>75754</v>
      </c>
      <c r="I3" s="37"/>
      <c r="J3" s="194">
        <v>2021</v>
      </c>
      <c r="K3" s="191">
        <f>+SUM(C3:C14)</f>
        <v>979045</v>
      </c>
    </row>
    <row r="4" spans="1:14" x14ac:dyDescent="0.25">
      <c r="A4" s="207"/>
      <c r="B4" s="94">
        <v>2</v>
      </c>
      <c r="C4" s="191">
        <v>80164</v>
      </c>
      <c r="J4" s="94">
        <v>2022</v>
      </c>
      <c r="K4" s="191">
        <f>+SUM(C15:C26)</f>
        <v>995795</v>
      </c>
    </row>
    <row r="5" spans="1:14" x14ac:dyDescent="0.25">
      <c r="A5" s="207"/>
      <c r="B5" s="94">
        <v>3</v>
      </c>
      <c r="C5" s="191">
        <v>85384</v>
      </c>
      <c r="I5" s="16"/>
      <c r="J5" s="95">
        <v>2023</v>
      </c>
      <c r="K5" s="192">
        <f>+SUM(C27:C38)</f>
        <v>1031478</v>
      </c>
    </row>
    <row r="6" spans="1:14" x14ac:dyDescent="0.25">
      <c r="A6" s="207"/>
      <c r="B6" s="94">
        <v>4</v>
      </c>
      <c r="C6" s="191">
        <v>68375</v>
      </c>
      <c r="L6" s="37"/>
    </row>
    <row r="7" spans="1:14" x14ac:dyDescent="0.25">
      <c r="A7" s="207"/>
      <c r="B7" s="94">
        <v>5</v>
      </c>
      <c r="C7" s="191">
        <v>71351</v>
      </c>
      <c r="K7" s="36"/>
      <c r="L7" s="37"/>
      <c r="M7" s="36"/>
      <c r="N7" s="37"/>
    </row>
    <row r="8" spans="1:14" x14ac:dyDescent="0.25">
      <c r="A8" s="207"/>
      <c r="B8" s="94">
        <v>6</v>
      </c>
      <c r="C8" s="191">
        <v>76752</v>
      </c>
      <c r="L8" s="36"/>
    </row>
    <row r="9" spans="1:14" x14ac:dyDescent="0.25">
      <c r="A9" s="207"/>
      <c r="B9" s="94">
        <v>7</v>
      </c>
      <c r="C9" s="191">
        <v>78805</v>
      </c>
    </row>
    <row r="10" spans="1:14" x14ac:dyDescent="0.25">
      <c r="A10" s="207"/>
      <c r="B10" s="94">
        <v>8</v>
      </c>
      <c r="C10" s="191">
        <v>86227</v>
      </c>
    </row>
    <row r="11" spans="1:14" x14ac:dyDescent="0.25">
      <c r="A11" s="207"/>
      <c r="B11" s="94">
        <v>9</v>
      </c>
      <c r="C11" s="191">
        <v>84956</v>
      </c>
    </row>
    <row r="12" spans="1:14" x14ac:dyDescent="0.25">
      <c r="A12" s="207"/>
      <c r="B12" s="94">
        <v>10</v>
      </c>
      <c r="C12" s="191">
        <v>94954</v>
      </c>
    </row>
    <row r="13" spans="1:14" x14ac:dyDescent="0.25">
      <c r="A13" s="207"/>
      <c r="B13" s="94">
        <v>11</v>
      </c>
      <c r="C13" s="191">
        <v>76328</v>
      </c>
    </row>
    <row r="14" spans="1:14" x14ac:dyDescent="0.25">
      <c r="A14" s="208"/>
      <c r="B14" s="94">
        <v>12</v>
      </c>
      <c r="C14" s="191">
        <v>99995</v>
      </c>
    </row>
    <row r="15" spans="1:14" x14ac:dyDescent="0.25">
      <c r="A15" s="206">
        <v>2022</v>
      </c>
      <c r="B15" s="94">
        <v>13</v>
      </c>
      <c r="C15" s="191">
        <v>78535</v>
      </c>
    </row>
    <row r="16" spans="1:14" x14ac:dyDescent="0.25">
      <c r="A16" s="207"/>
      <c r="B16" s="94">
        <v>14</v>
      </c>
      <c r="C16" s="191">
        <v>77580</v>
      </c>
    </row>
    <row r="17" spans="1:3" x14ac:dyDescent="0.25">
      <c r="A17" s="207"/>
      <c r="B17" s="94">
        <v>15</v>
      </c>
      <c r="C17" s="191">
        <v>86508</v>
      </c>
    </row>
    <row r="18" spans="1:3" x14ac:dyDescent="0.25">
      <c r="A18" s="207"/>
      <c r="B18" s="94">
        <v>16</v>
      </c>
      <c r="C18" s="191">
        <v>72863</v>
      </c>
    </row>
    <row r="19" spans="1:3" x14ac:dyDescent="0.25">
      <c r="A19" s="207"/>
      <c r="B19" s="94">
        <v>17</v>
      </c>
      <c r="C19" s="191">
        <v>66963</v>
      </c>
    </row>
    <row r="20" spans="1:3" x14ac:dyDescent="0.25">
      <c r="A20" s="207"/>
      <c r="B20" s="94">
        <v>18</v>
      </c>
      <c r="C20" s="191">
        <v>79438</v>
      </c>
    </row>
    <row r="21" spans="1:3" x14ac:dyDescent="0.25">
      <c r="A21" s="207"/>
      <c r="B21" s="94">
        <v>19</v>
      </c>
      <c r="C21" s="191">
        <v>77103</v>
      </c>
    </row>
    <row r="22" spans="1:3" x14ac:dyDescent="0.25">
      <c r="A22" s="207"/>
      <c r="B22" s="94">
        <v>20</v>
      </c>
      <c r="C22" s="191">
        <v>91471</v>
      </c>
    </row>
    <row r="23" spans="1:3" x14ac:dyDescent="0.25">
      <c r="A23" s="207"/>
      <c r="B23" s="94">
        <v>21</v>
      </c>
      <c r="C23" s="191">
        <v>91148</v>
      </c>
    </row>
    <row r="24" spans="1:3" x14ac:dyDescent="0.25">
      <c r="A24" s="207"/>
      <c r="B24" s="94">
        <v>22</v>
      </c>
      <c r="C24" s="191">
        <v>107460</v>
      </c>
    </row>
    <row r="25" spans="1:3" x14ac:dyDescent="0.25">
      <c r="A25" s="207"/>
      <c r="B25" s="94">
        <v>23</v>
      </c>
      <c r="C25" s="191">
        <v>77570</v>
      </c>
    </row>
    <row r="26" spans="1:3" x14ac:dyDescent="0.25">
      <c r="A26" s="208"/>
      <c r="B26" s="94">
        <v>24</v>
      </c>
      <c r="C26" s="191">
        <v>89156</v>
      </c>
    </row>
    <row r="27" spans="1:3" x14ac:dyDescent="0.25">
      <c r="A27" s="206">
        <v>2023</v>
      </c>
      <c r="B27" s="94">
        <v>25</v>
      </c>
      <c r="C27" s="191">
        <v>88182</v>
      </c>
    </row>
    <row r="28" spans="1:3" x14ac:dyDescent="0.25">
      <c r="A28" s="207"/>
      <c r="B28" s="94">
        <v>26</v>
      </c>
      <c r="C28" s="191">
        <v>79803</v>
      </c>
    </row>
    <row r="29" spans="1:3" x14ac:dyDescent="0.25">
      <c r="A29" s="207"/>
      <c r="B29" s="94">
        <v>27</v>
      </c>
      <c r="C29" s="191">
        <v>89841</v>
      </c>
    </row>
    <row r="30" spans="1:3" x14ac:dyDescent="0.25">
      <c r="A30" s="207"/>
      <c r="B30" s="94">
        <v>28</v>
      </c>
      <c r="C30" s="191">
        <v>77480</v>
      </c>
    </row>
    <row r="31" spans="1:3" x14ac:dyDescent="0.25">
      <c r="A31" s="207"/>
      <c r="B31" s="94">
        <v>29</v>
      </c>
      <c r="C31" s="191">
        <v>77263</v>
      </c>
    </row>
    <row r="32" spans="1:3" x14ac:dyDescent="0.25">
      <c r="A32" s="207"/>
      <c r="B32" s="94">
        <v>30</v>
      </c>
      <c r="C32" s="191">
        <v>83227</v>
      </c>
    </row>
    <row r="33" spans="1:3" x14ac:dyDescent="0.25">
      <c r="A33" s="207"/>
      <c r="B33" s="94">
        <v>31</v>
      </c>
      <c r="C33" s="191">
        <v>81132</v>
      </c>
    </row>
    <row r="34" spans="1:3" x14ac:dyDescent="0.25">
      <c r="A34" s="207"/>
      <c r="B34" s="94">
        <v>32</v>
      </c>
      <c r="C34" s="191">
        <v>88863</v>
      </c>
    </row>
    <row r="35" spans="1:3" x14ac:dyDescent="0.25">
      <c r="A35" s="207"/>
      <c r="B35" s="94">
        <v>33</v>
      </c>
      <c r="C35" s="191">
        <v>89823</v>
      </c>
    </row>
    <row r="36" spans="1:3" x14ac:dyDescent="0.25">
      <c r="A36" s="207"/>
      <c r="B36" s="94">
        <v>34</v>
      </c>
      <c r="C36" s="191">
        <v>93478</v>
      </c>
    </row>
    <row r="37" spans="1:3" x14ac:dyDescent="0.25">
      <c r="A37" s="207"/>
      <c r="B37" s="94">
        <v>35</v>
      </c>
      <c r="C37" s="191">
        <v>83241</v>
      </c>
    </row>
    <row r="38" spans="1:3" x14ac:dyDescent="0.25">
      <c r="A38" s="208"/>
      <c r="B38" s="95">
        <v>36</v>
      </c>
      <c r="C38" s="192">
        <v>99145</v>
      </c>
    </row>
  </sheetData>
  <mergeCells count="5">
    <mergeCell ref="A3:A14"/>
    <mergeCell ref="A15:A26"/>
    <mergeCell ref="A27:A38"/>
    <mergeCell ref="A1:C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2BA9-3592-450D-85E3-504DB03BCF16}">
  <dimension ref="A1:N46"/>
  <sheetViews>
    <sheetView showGridLines="0" zoomScale="77" zoomScaleNormal="77" workbookViewId="0">
      <selection activeCell="Q4" sqref="Q4"/>
    </sheetView>
  </sheetViews>
  <sheetFormatPr baseColWidth="10" defaultRowHeight="15" x14ac:dyDescent="0.25"/>
  <cols>
    <col min="3" max="3" width="15.140625" bestFit="1" customWidth="1"/>
    <col min="4" max="5" width="14.140625" bestFit="1" customWidth="1"/>
    <col min="6" max="7" width="23.5703125" bestFit="1" customWidth="1"/>
    <col min="8" max="8" width="12.5703125" bestFit="1" customWidth="1"/>
    <col min="14" max="14" width="12.42578125" bestFit="1" customWidth="1"/>
  </cols>
  <sheetData>
    <row r="1" spans="1:14" ht="21" customHeight="1" x14ac:dyDescent="0.25">
      <c r="A1" s="212" t="s">
        <v>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4"/>
    </row>
    <row r="2" spans="1:14" s="24" customFormat="1" ht="40.5" customHeight="1" x14ac:dyDescent="0.25">
      <c r="A2" s="74"/>
      <c r="B2" s="74"/>
      <c r="C2" s="74"/>
      <c r="D2" s="74" t="s">
        <v>34</v>
      </c>
      <c r="E2" s="74" t="s">
        <v>36</v>
      </c>
      <c r="F2" s="74" t="s">
        <v>27</v>
      </c>
      <c r="G2" s="74"/>
      <c r="H2" s="74"/>
      <c r="I2" s="75" t="s">
        <v>28</v>
      </c>
      <c r="J2" s="74"/>
      <c r="K2" s="74"/>
      <c r="L2" s="195"/>
      <c r="M2" s="195"/>
      <c r="N2" s="195"/>
    </row>
    <row r="3" spans="1:14" s="23" customFormat="1" ht="60" x14ac:dyDescent="0.25">
      <c r="A3" s="55"/>
      <c r="B3" s="53" t="s">
        <v>0</v>
      </c>
      <c r="C3" s="53" t="s">
        <v>24</v>
      </c>
      <c r="D3" s="53" t="s">
        <v>35</v>
      </c>
      <c r="E3" s="53" t="s">
        <v>26</v>
      </c>
      <c r="F3" s="53" t="s">
        <v>30</v>
      </c>
      <c r="G3" s="53" t="s">
        <v>32</v>
      </c>
      <c r="H3" s="53" t="s">
        <v>31</v>
      </c>
      <c r="I3" s="53" t="s">
        <v>37</v>
      </c>
      <c r="J3" s="53" t="s">
        <v>33</v>
      </c>
      <c r="K3" s="53" t="s">
        <v>29</v>
      </c>
      <c r="L3" s="196"/>
      <c r="M3" s="196"/>
      <c r="N3" s="196"/>
    </row>
    <row r="4" spans="1:14" x14ac:dyDescent="0.25">
      <c r="A4" s="56" t="s">
        <v>20</v>
      </c>
      <c r="B4" s="56" t="s">
        <v>25</v>
      </c>
      <c r="C4" s="56" t="s">
        <v>46</v>
      </c>
      <c r="D4" s="54" t="s">
        <v>3</v>
      </c>
      <c r="E4" s="54" t="s">
        <v>4</v>
      </c>
      <c r="F4" s="54" t="s">
        <v>5</v>
      </c>
      <c r="G4" s="54" t="s">
        <v>6</v>
      </c>
      <c r="H4" s="54" t="s">
        <v>7</v>
      </c>
      <c r="I4" s="54" t="s">
        <v>40</v>
      </c>
      <c r="J4" s="54" t="s">
        <v>8</v>
      </c>
      <c r="K4" s="54" t="s">
        <v>9</v>
      </c>
      <c r="L4" s="77"/>
      <c r="M4" s="77"/>
      <c r="N4" s="77"/>
    </row>
    <row r="5" spans="1:14" ht="16.5" x14ac:dyDescent="0.3">
      <c r="A5" s="215">
        <v>2021</v>
      </c>
      <c r="B5" s="41">
        <v>1</v>
      </c>
      <c r="C5" s="42">
        <v>75754</v>
      </c>
      <c r="D5" s="11">
        <f t="shared" ref="D5:D41" si="0">+$N$6+($N$7*B5)</f>
        <v>78138.274774774764</v>
      </c>
      <c r="E5" s="11">
        <f>+D5-C5</f>
        <v>2384.2747747747635</v>
      </c>
      <c r="F5" s="11">
        <f>+ABS(E5)</f>
        <v>2384.2747747747635</v>
      </c>
      <c r="G5" s="11">
        <f>+SUMSQ($E$5:E5)/B5</f>
        <v>5684766.2016272489</v>
      </c>
      <c r="H5" s="11">
        <f>+SUM($F5:F$5)/B5</f>
        <v>2384.2747747747635</v>
      </c>
      <c r="I5" s="4">
        <f t="shared" ref="I5:I40" si="1">+(F5/C5)*100</f>
        <v>3.1473912595701399</v>
      </c>
      <c r="J5" s="39">
        <f>+SUM($I$5:I5)/B5</f>
        <v>3.1473912595701399</v>
      </c>
      <c r="K5" s="5">
        <f>+SUM($E$5:E5)/H5</f>
        <v>1</v>
      </c>
      <c r="L5" s="77"/>
      <c r="M5" s="218" t="s">
        <v>56</v>
      </c>
      <c r="N5" s="219"/>
    </row>
    <row r="6" spans="1:14" x14ac:dyDescent="0.25">
      <c r="A6" s="216"/>
      <c r="B6" s="41">
        <v>2</v>
      </c>
      <c r="C6" s="42">
        <v>80164</v>
      </c>
      <c r="D6" s="11">
        <f t="shared" si="0"/>
        <v>78445.163835263826</v>
      </c>
      <c r="E6" s="11">
        <f t="shared" ref="E6:E39" si="2">+D6-C6</f>
        <v>-1718.8361647361744</v>
      </c>
      <c r="F6" s="11">
        <f t="shared" ref="F6:F40" si="3">+ABS(E6)</f>
        <v>1718.8361647361744</v>
      </c>
      <c r="G6" s="11">
        <f>+SUMSQ($E$5:E6)/B6</f>
        <v>4319581.9814161053</v>
      </c>
      <c r="H6" s="11">
        <f>+SUM($F$5:F6)/B6</f>
        <v>2051.5554697554689</v>
      </c>
      <c r="I6" s="4">
        <f t="shared" si="1"/>
        <v>2.1441496990371918</v>
      </c>
      <c r="J6" s="39">
        <f>+SUM($I$5:I6)/B6</f>
        <v>2.6457704793036658</v>
      </c>
      <c r="K6" s="5">
        <f>+SUM($E$5:E6)/H6</f>
        <v>0.32435808821581835</v>
      </c>
      <c r="L6" s="77"/>
      <c r="M6" s="28" t="s">
        <v>21</v>
      </c>
      <c r="N6" s="8">
        <f>+INTERCEPT(C5:C40,B5:B40)</f>
        <v>77831.385714285701</v>
      </c>
    </row>
    <row r="7" spans="1:14" x14ac:dyDescent="0.25">
      <c r="A7" s="216"/>
      <c r="B7" s="41">
        <v>3</v>
      </c>
      <c r="C7" s="42">
        <v>85384</v>
      </c>
      <c r="D7" s="11">
        <f t="shared" si="0"/>
        <v>78752.052895752888</v>
      </c>
      <c r="E7" s="11">
        <f t="shared" si="2"/>
        <v>-6631.9471042471123</v>
      </c>
      <c r="F7" s="11">
        <f t="shared" si="3"/>
        <v>6631.9471042471123</v>
      </c>
      <c r="G7" s="11">
        <f>+SUMSQ($E$5:E7)/B7</f>
        <v>17540628.785454623</v>
      </c>
      <c r="H7" s="11">
        <f>+SUM($F$5:F7)/B7</f>
        <v>3578.3526812526834</v>
      </c>
      <c r="I7" s="4">
        <f t="shared" si="1"/>
        <v>7.767201237055084</v>
      </c>
      <c r="J7" s="39">
        <f>+SUM($I$5:I7)/B7</f>
        <v>4.3529140652208049</v>
      </c>
      <c r="K7" s="5">
        <f>+SUM($E$5:E7)/H7</f>
        <v>-1.6673897252966725</v>
      </c>
      <c r="L7" s="77"/>
      <c r="M7" s="28" t="s">
        <v>22</v>
      </c>
      <c r="N7" s="8">
        <f>+SLOPE(C5:C40,B5:B40)</f>
        <v>306.88906048906057</v>
      </c>
    </row>
    <row r="8" spans="1:14" x14ac:dyDescent="0.25">
      <c r="A8" s="216"/>
      <c r="B8" s="41">
        <v>4</v>
      </c>
      <c r="C8" s="42">
        <v>68375</v>
      </c>
      <c r="D8" s="11">
        <f t="shared" si="0"/>
        <v>79058.94195624195</v>
      </c>
      <c r="E8" s="11">
        <f t="shared" si="2"/>
        <v>10683.94195624195</v>
      </c>
      <c r="F8" s="11">
        <f t="shared" si="3"/>
        <v>10683.94195624195</v>
      </c>
      <c r="G8" s="11">
        <f>+SUMSQ($E$5:E8)/B8</f>
        <v>41692125.520177729</v>
      </c>
      <c r="H8" s="11">
        <f>+SUM($F$5:F8)/B8</f>
        <v>5354.75</v>
      </c>
      <c r="I8" s="4">
        <f t="shared" si="1"/>
        <v>15.625509259586032</v>
      </c>
      <c r="J8" s="39">
        <f>+SUM($I$5:I8)/B8</f>
        <v>7.1710628638121117</v>
      </c>
      <c r="K8" s="5">
        <f>+SUM($E$5:E8)/H8</f>
        <v>0.88098108446396683</v>
      </c>
      <c r="L8" s="77"/>
      <c r="M8" s="28" t="s">
        <v>23</v>
      </c>
      <c r="N8" s="26">
        <f>+RSQ(C5:C40,B5:B40)</f>
        <v>0.12935024989334562</v>
      </c>
    </row>
    <row r="9" spans="1:14" x14ac:dyDescent="0.25">
      <c r="A9" s="216"/>
      <c r="B9" s="41">
        <v>5</v>
      </c>
      <c r="C9" s="42">
        <v>71351</v>
      </c>
      <c r="D9" s="11">
        <f t="shared" si="0"/>
        <v>79365.831016730997</v>
      </c>
      <c r="E9" s="11">
        <f t="shared" si="2"/>
        <v>8014.8310167309974</v>
      </c>
      <c r="F9" s="11">
        <f t="shared" si="3"/>
        <v>8014.8310167309974</v>
      </c>
      <c r="G9" s="11">
        <f>+SUMSQ($E$5:E9)/B9</f>
        <v>46201203.661492832</v>
      </c>
      <c r="H9" s="11">
        <f>+SUM($F$5:F9)/B9</f>
        <v>5886.7662033461993</v>
      </c>
      <c r="I9" s="4">
        <f t="shared" si="1"/>
        <v>11.232962420612182</v>
      </c>
      <c r="J9" s="39">
        <f>+SUM($I$5:I9)/B9</f>
        <v>7.9834427751721249</v>
      </c>
      <c r="K9" s="5">
        <f>+SUM($E$5:E9)/H9</f>
        <v>2.1628622640945134</v>
      </c>
      <c r="L9" s="77"/>
      <c r="M9" s="77"/>
      <c r="N9" s="77"/>
    </row>
    <row r="10" spans="1:14" x14ac:dyDescent="0.25">
      <c r="A10" s="216"/>
      <c r="B10" s="41">
        <v>6</v>
      </c>
      <c r="C10" s="42">
        <v>76752</v>
      </c>
      <c r="D10" s="11">
        <f t="shared" si="0"/>
        <v>79672.720077220059</v>
      </c>
      <c r="E10" s="11">
        <f t="shared" si="2"/>
        <v>2920.7200772200595</v>
      </c>
      <c r="F10" s="11">
        <f t="shared" si="3"/>
        <v>2920.7200772200595</v>
      </c>
      <c r="G10" s="11">
        <f>+SUMSQ($E$5:E10)/B10</f>
        <v>39922770.679490082</v>
      </c>
      <c r="H10" s="11">
        <f>+SUM($F$5:F10)/B10</f>
        <v>5392.4251823251761</v>
      </c>
      <c r="I10" s="4">
        <f t="shared" si="1"/>
        <v>3.8053993084480662</v>
      </c>
      <c r="J10" s="39">
        <f>+SUM($I$5:I10)/B10</f>
        <v>7.2871021973847823</v>
      </c>
      <c r="K10" s="5">
        <f>+SUM($E$5:E10)/H10</f>
        <v>2.902772690716318</v>
      </c>
      <c r="L10" s="77"/>
      <c r="M10" s="77"/>
      <c r="N10" s="77"/>
    </row>
    <row r="11" spans="1:14" ht="16.5" x14ac:dyDescent="0.3">
      <c r="A11" s="216"/>
      <c r="B11" s="41">
        <v>7</v>
      </c>
      <c r="C11" s="42">
        <v>78805</v>
      </c>
      <c r="D11" s="11">
        <f t="shared" si="0"/>
        <v>79979.609137709122</v>
      </c>
      <c r="E11" s="11">
        <f t="shared" si="2"/>
        <v>1174.6091377091216</v>
      </c>
      <c r="F11" s="11">
        <f t="shared" si="3"/>
        <v>1174.6091377091216</v>
      </c>
      <c r="G11" s="11">
        <f>+SUMSQ($E$5:E11)/B11</f>
        <v>34416618.671904325</v>
      </c>
      <c r="H11" s="11">
        <f>+SUM($F$5:F11)/B11</f>
        <v>4789.8800330943113</v>
      </c>
      <c r="I11" s="4">
        <f t="shared" si="1"/>
        <v>1.4905261566006238</v>
      </c>
      <c r="J11" s="39">
        <f>+SUM($I$5:I11)/B11</f>
        <v>6.4590199058441877</v>
      </c>
      <c r="K11" s="5">
        <f>+SUM($E$5:E11)/H11</f>
        <v>3.5131555649469592</v>
      </c>
      <c r="L11" s="77"/>
      <c r="M11" s="218" t="s">
        <v>55</v>
      </c>
      <c r="N11" s="219"/>
    </row>
    <row r="12" spans="1:14" x14ac:dyDescent="0.25">
      <c r="A12" s="216"/>
      <c r="B12" s="41">
        <v>8</v>
      </c>
      <c r="C12" s="42">
        <v>86227</v>
      </c>
      <c r="D12" s="11">
        <f t="shared" si="0"/>
        <v>80286.498198198184</v>
      </c>
      <c r="E12" s="11">
        <f t="shared" si="2"/>
        <v>-5940.5018018018163</v>
      </c>
      <c r="F12" s="11">
        <f t="shared" si="3"/>
        <v>5940.5018018018163</v>
      </c>
      <c r="G12" s="11">
        <f>+SUMSQ($E$5:E12)/B12</f>
        <v>34525736.545067616</v>
      </c>
      <c r="H12" s="11">
        <f>+SUM($F$5:F12)/B12</f>
        <v>4933.7077541827493</v>
      </c>
      <c r="I12" s="4">
        <f t="shared" si="1"/>
        <v>6.8893754877263698</v>
      </c>
      <c r="J12" s="39">
        <f>+SUM($I$5:I12)/B12</f>
        <v>6.5128143535794605</v>
      </c>
      <c r="K12" s="5">
        <f>+SUM($E$5:E12)/H12</f>
        <v>2.2066754729567877</v>
      </c>
      <c r="L12" s="77"/>
      <c r="M12" s="28" t="s">
        <v>11</v>
      </c>
      <c r="N12" s="12">
        <f>+D41</f>
        <v>89186.280952380941</v>
      </c>
    </row>
    <row r="13" spans="1:14" x14ac:dyDescent="0.25">
      <c r="A13" s="216"/>
      <c r="B13" s="41">
        <v>9</v>
      </c>
      <c r="C13" s="42">
        <v>84956</v>
      </c>
      <c r="D13" s="11">
        <f t="shared" si="0"/>
        <v>80593.387258687246</v>
      </c>
      <c r="E13" s="11">
        <f t="shared" si="2"/>
        <v>-4362.6127413127542</v>
      </c>
      <c r="F13" s="11">
        <f t="shared" si="3"/>
        <v>4362.6127413127542</v>
      </c>
      <c r="G13" s="11">
        <f>+SUMSQ($E$5:E13)/B13</f>
        <v>32804253.587911699</v>
      </c>
      <c r="H13" s="11">
        <f>+SUM($F$5:F13)/B13</f>
        <v>4870.25275275275</v>
      </c>
      <c r="I13" s="4">
        <f t="shared" si="1"/>
        <v>5.1351437700842251</v>
      </c>
      <c r="J13" s="39">
        <f>+SUM($I$5:I13)/B13</f>
        <v>6.3597398443022124</v>
      </c>
      <c r="K13" s="5">
        <f>+SUM($E$5:E13)/H13</f>
        <v>1.3396592501059186</v>
      </c>
      <c r="L13" s="77"/>
      <c r="M13" s="28" t="s">
        <v>7</v>
      </c>
      <c r="N13" s="12">
        <f>+H40</f>
        <v>6745.9658730158735</v>
      </c>
    </row>
    <row r="14" spans="1:14" x14ac:dyDescent="0.25">
      <c r="A14" s="216"/>
      <c r="B14" s="41">
        <v>10</v>
      </c>
      <c r="C14" s="42">
        <v>94954</v>
      </c>
      <c r="D14" s="11">
        <f t="shared" si="0"/>
        <v>80900.276319176308</v>
      </c>
      <c r="E14" s="11">
        <f t="shared" si="2"/>
        <v>-14053.723680823692</v>
      </c>
      <c r="F14" s="11">
        <f t="shared" si="3"/>
        <v>14053.723680823692</v>
      </c>
      <c r="G14" s="11">
        <f>+SUMSQ($E$5:E14)/B14</f>
        <v>49274543.158814989</v>
      </c>
      <c r="H14" s="11">
        <f>+SUM($F$5:F14)/B14</f>
        <v>5788.5998455598437</v>
      </c>
      <c r="I14" s="4">
        <f t="shared" si="1"/>
        <v>14.800559935151433</v>
      </c>
      <c r="J14" s="39">
        <f>+SUM($I$5:I14)/B14</f>
        <v>7.2038218533871348</v>
      </c>
      <c r="K14" s="5">
        <f>+SUM($E$5:E14)/H14</f>
        <v>-1.3007021958893874</v>
      </c>
      <c r="L14" s="77"/>
      <c r="M14" s="29" t="s">
        <v>8</v>
      </c>
      <c r="N14" s="26">
        <f>+J40</f>
        <v>8.0586294399344069</v>
      </c>
    </row>
    <row r="15" spans="1:14" x14ac:dyDescent="0.25">
      <c r="A15" s="216"/>
      <c r="B15" s="41">
        <v>11</v>
      </c>
      <c r="C15" s="42">
        <v>76328</v>
      </c>
      <c r="D15" s="11">
        <f t="shared" si="0"/>
        <v>81207.16537966537</v>
      </c>
      <c r="E15" s="11">
        <f t="shared" si="2"/>
        <v>4879.16537966537</v>
      </c>
      <c r="F15" s="11">
        <f t="shared" si="3"/>
        <v>4879.16537966537</v>
      </c>
      <c r="G15" s="11">
        <f>+SUMSQ($E$5:E15)/B15</f>
        <v>46959244.217297725</v>
      </c>
      <c r="H15" s="11">
        <f>+SUM($F$5:F15)/B15</f>
        <v>5705.9239850239828</v>
      </c>
      <c r="I15" s="4">
        <f t="shared" si="1"/>
        <v>6.3923663395678787</v>
      </c>
      <c r="J15" s="39">
        <f>+SUM($I$5:I15)/B15</f>
        <v>7.1300531703126557</v>
      </c>
      <c r="K15" s="5">
        <f>+SUM($E$5:E15)/H15</f>
        <v>-0.46444347270219533</v>
      </c>
      <c r="L15" s="77"/>
      <c r="M15" s="28" t="s">
        <v>6</v>
      </c>
      <c r="N15" s="12">
        <f>+G40</f>
        <v>68411253.060696378</v>
      </c>
    </row>
    <row r="16" spans="1:14" x14ac:dyDescent="0.25">
      <c r="A16" s="217"/>
      <c r="B16" s="41">
        <v>12</v>
      </c>
      <c r="C16" s="42">
        <v>99995</v>
      </c>
      <c r="D16" s="11">
        <f t="shared" si="0"/>
        <v>81514.054440154432</v>
      </c>
      <c r="E16" s="11">
        <f t="shared" si="2"/>
        <v>-18480.945559845568</v>
      </c>
      <c r="F16" s="11">
        <f t="shared" si="3"/>
        <v>18480.945559845568</v>
      </c>
      <c r="G16" s="11">
        <f>+SUMSQ($E$5:E16)/B16</f>
        <v>71508086.264687553</v>
      </c>
      <c r="H16" s="11">
        <f>+SUM($F$5:F16)/B16</f>
        <v>6770.5091162591152</v>
      </c>
      <c r="I16" s="4">
        <f t="shared" si="1"/>
        <v>18.481869653328236</v>
      </c>
      <c r="J16" s="39">
        <f>+SUM($I$5:I16)/B16</f>
        <v>8.0760378772306201</v>
      </c>
      <c r="K16" s="5">
        <f>+SUM($E$5:E16)/H16</f>
        <v>-3.1210392523775679</v>
      </c>
      <c r="L16" s="77"/>
      <c r="M16" s="28" t="s">
        <v>38</v>
      </c>
      <c r="N16" s="6">
        <f>+MIN(K5:K40)</f>
        <v>-3.1210392523775679</v>
      </c>
    </row>
    <row r="17" spans="1:14" x14ac:dyDescent="0.25">
      <c r="A17" s="215">
        <v>2022</v>
      </c>
      <c r="B17" s="41">
        <v>13</v>
      </c>
      <c r="C17" s="42">
        <v>78535</v>
      </c>
      <c r="D17" s="11">
        <f t="shared" si="0"/>
        <v>81820.943500643494</v>
      </c>
      <c r="E17" s="11">
        <f t="shared" si="2"/>
        <v>3285.9435006434942</v>
      </c>
      <c r="F17" s="11">
        <f t="shared" si="3"/>
        <v>3285.9435006434942</v>
      </c>
      <c r="G17" s="11">
        <f>+SUMSQ($E$5:E17)/B17</f>
        <v>66838035.374282449</v>
      </c>
      <c r="H17" s="11">
        <f>+SUM($F$5:F17)/B17</f>
        <v>6502.465607365606</v>
      </c>
      <c r="I17" s="4">
        <f t="shared" si="1"/>
        <v>4.1840497875386697</v>
      </c>
      <c r="J17" s="39">
        <f>+SUM($I$5:I17)/B17</f>
        <v>7.7766541780235476</v>
      </c>
      <c r="K17" s="5">
        <f>+SUM($E$5:E17)/H17</f>
        <v>-2.7443561084840673</v>
      </c>
      <c r="L17" s="77"/>
      <c r="M17" s="28" t="s">
        <v>39</v>
      </c>
      <c r="N17" s="6">
        <f>+MAX(K5:K40)</f>
        <v>3.5131555649469592</v>
      </c>
    </row>
    <row r="18" spans="1:14" x14ac:dyDescent="0.25">
      <c r="A18" s="216"/>
      <c r="B18" s="41">
        <v>14</v>
      </c>
      <c r="C18" s="42">
        <v>77580</v>
      </c>
      <c r="D18" s="11">
        <f t="shared" si="0"/>
        <v>82127.832561132556</v>
      </c>
      <c r="E18" s="11">
        <f t="shared" si="2"/>
        <v>4547.8325611325563</v>
      </c>
      <c r="F18" s="11">
        <f t="shared" si="3"/>
        <v>4547.8325611325563</v>
      </c>
      <c r="G18" s="11">
        <f>+SUMSQ($E$5:E18)/B18</f>
        <v>63541231.490697809</v>
      </c>
      <c r="H18" s="11">
        <f>+SUM($F$5:F18)/B18</f>
        <v>6362.8489612061021</v>
      </c>
      <c r="I18" s="4">
        <f t="shared" si="1"/>
        <v>5.8621198261569436</v>
      </c>
      <c r="J18" s="39">
        <f>+SUM($I$5:I18)/B18</f>
        <v>7.6399017243187899</v>
      </c>
      <c r="K18" s="5">
        <f>+SUM($E$5:E18)/H18</f>
        <v>-2.0898262287414506</v>
      </c>
      <c r="L18" s="77"/>
      <c r="M18" s="77"/>
      <c r="N18" s="77"/>
    </row>
    <row r="19" spans="1:14" x14ac:dyDescent="0.25">
      <c r="A19" s="216"/>
      <c r="B19" s="41">
        <v>15</v>
      </c>
      <c r="C19" s="42">
        <v>86508</v>
      </c>
      <c r="D19" s="11">
        <f t="shared" si="0"/>
        <v>82434.721621621604</v>
      </c>
      <c r="E19" s="11">
        <f t="shared" si="2"/>
        <v>-4073.2783783783962</v>
      </c>
      <c r="F19" s="11">
        <f t="shared" si="3"/>
        <v>4073.2783783783962</v>
      </c>
      <c r="G19" s="11">
        <f>+SUMSQ($E$5:E19)/B19</f>
        <v>60411255.841168955</v>
      </c>
      <c r="H19" s="11">
        <f>+SUM($F$5:F19)/B19</f>
        <v>6210.2109223509215</v>
      </c>
      <c r="I19" s="4">
        <f t="shared" si="1"/>
        <v>4.7085568714782404</v>
      </c>
      <c r="J19" s="39">
        <f>+SUM($I$5:I19)/B19</f>
        <v>7.4444787341294196</v>
      </c>
      <c r="K19" s="5">
        <f>+SUM($E$5:E19)/H19</f>
        <v>-2.797091313679803</v>
      </c>
      <c r="L19" s="77"/>
      <c r="M19" s="77"/>
      <c r="N19" s="77"/>
    </row>
    <row r="20" spans="1:14" x14ac:dyDescent="0.25">
      <c r="A20" s="216"/>
      <c r="B20" s="41">
        <v>16</v>
      </c>
      <c r="C20" s="42">
        <v>72863</v>
      </c>
      <c r="D20" s="11">
        <f t="shared" si="0"/>
        <v>82741.610682110666</v>
      </c>
      <c r="E20" s="11">
        <f t="shared" si="2"/>
        <v>9878.6106821106659</v>
      </c>
      <c r="F20" s="11">
        <f t="shared" si="3"/>
        <v>9878.6106821106659</v>
      </c>
      <c r="G20" s="11">
        <f>+SUMSQ($E$5:E20)/B20</f>
        <v>62734736.664140329</v>
      </c>
      <c r="H20" s="11">
        <f>+SUM($F$5:F20)/B20</f>
        <v>6439.4859073359057</v>
      </c>
      <c r="I20" s="4">
        <f t="shared" si="1"/>
        <v>13.557787467041798</v>
      </c>
      <c r="J20" s="39">
        <f>+SUM($I$5:I20)/B20</f>
        <v>7.8265605299364438</v>
      </c>
      <c r="K20" s="5">
        <f>+SUM($E$5:E20)/H20</f>
        <v>-1.1634339220125778</v>
      </c>
      <c r="L20" s="77"/>
      <c r="M20" s="77"/>
      <c r="N20" s="77"/>
    </row>
    <row r="21" spans="1:14" x14ac:dyDescent="0.25">
      <c r="A21" s="216"/>
      <c r="B21" s="41">
        <v>17</v>
      </c>
      <c r="C21" s="42">
        <v>66963</v>
      </c>
      <c r="D21" s="11">
        <f t="shared" si="0"/>
        <v>83048.499742599728</v>
      </c>
      <c r="E21" s="11">
        <f t="shared" si="2"/>
        <v>16085.499742599728</v>
      </c>
      <c r="F21" s="11">
        <f t="shared" si="3"/>
        <v>16085.499742599728</v>
      </c>
      <c r="G21" s="11">
        <f>+SUMSQ($E$5:E21)/B21</f>
        <v>74264652.270318881</v>
      </c>
      <c r="H21" s="11">
        <f>+SUM($F$5:F21)/B21</f>
        <v>7006.8984858808362</v>
      </c>
      <c r="I21" s="4">
        <f t="shared" si="1"/>
        <v>24.021474161252822</v>
      </c>
      <c r="J21" s="39">
        <f>+SUM($I$5:I21)/B21</f>
        <v>8.7792025082491723</v>
      </c>
      <c r="K21" s="5">
        <f>+SUM($E$5:E21)/H21</f>
        <v>1.226446110929049</v>
      </c>
      <c r="L21" s="77"/>
      <c r="M21" s="77"/>
      <c r="N21" s="77"/>
    </row>
    <row r="22" spans="1:14" x14ac:dyDescent="0.25">
      <c r="A22" s="216"/>
      <c r="B22" s="41">
        <v>18</v>
      </c>
      <c r="C22" s="42">
        <v>79438</v>
      </c>
      <c r="D22" s="11">
        <f t="shared" si="0"/>
        <v>83355.38880308879</v>
      </c>
      <c r="E22" s="11">
        <f t="shared" si="2"/>
        <v>3917.3888030887902</v>
      </c>
      <c r="F22" s="11">
        <f t="shared" si="3"/>
        <v>3917.3888030887902</v>
      </c>
      <c r="G22" s="11">
        <f>+SUMSQ($E$5:E22)/B22</f>
        <v>70991390.201665923</v>
      </c>
      <c r="H22" s="11">
        <f>+SUM($F$5:F22)/B22</f>
        <v>6835.2590590590562</v>
      </c>
      <c r="I22" s="4">
        <f t="shared" si="1"/>
        <v>4.9313789409209576</v>
      </c>
      <c r="J22" s="39">
        <f>+SUM($I$5:I22)/B22</f>
        <v>8.5654345322864938</v>
      </c>
      <c r="K22" s="5">
        <f>+SUM($E$5:E22)/H22</f>
        <v>1.8303581609230546</v>
      </c>
      <c r="L22" s="77"/>
      <c r="M22" s="77"/>
      <c r="N22" s="77"/>
    </row>
    <row r="23" spans="1:14" x14ac:dyDescent="0.25">
      <c r="A23" s="216"/>
      <c r="B23" s="41">
        <v>19</v>
      </c>
      <c r="C23" s="42">
        <v>77103</v>
      </c>
      <c r="D23" s="11">
        <f t="shared" si="0"/>
        <v>83662.277863577852</v>
      </c>
      <c r="E23" s="11">
        <f t="shared" si="2"/>
        <v>6559.2778635778523</v>
      </c>
      <c r="F23" s="11">
        <f t="shared" si="3"/>
        <v>6559.2778635778523</v>
      </c>
      <c r="G23" s="11">
        <f>+SUMSQ($E$5:E23)/B23</f>
        <v>69519428.93271625</v>
      </c>
      <c r="H23" s="11">
        <f>+SUM($F$5:F23)/B23</f>
        <v>6820.733732981098</v>
      </c>
      <c r="I23" s="4">
        <f t="shared" si="1"/>
        <v>8.5071629684679611</v>
      </c>
      <c r="J23" s="39">
        <f>+SUM($I$5:I23)/B23</f>
        <v>8.5623676078749913</v>
      </c>
      <c r="K23" s="5">
        <f>+SUM($E$5:E23)/H23</f>
        <v>2.7959235488312948</v>
      </c>
      <c r="L23" s="77"/>
      <c r="M23" s="77"/>
      <c r="N23" s="77"/>
    </row>
    <row r="24" spans="1:14" x14ac:dyDescent="0.25">
      <c r="A24" s="216"/>
      <c r="B24" s="41">
        <v>20</v>
      </c>
      <c r="C24" s="42">
        <v>91471</v>
      </c>
      <c r="D24" s="11">
        <f t="shared" si="0"/>
        <v>83969.166924066914</v>
      </c>
      <c r="E24" s="11">
        <f t="shared" si="2"/>
        <v>-7501.8330759330856</v>
      </c>
      <c r="F24" s="11">
        <f t="shared" si="3"/>
        <v>7501.8330759330856</v>
      </c>
      <c r="G24" s="11">
        <f>+SUMSQ($E$5:E24)/B24</f>
        <v>68857332.461038619</v>
      </c>
      <c r="H24" s="11">
        <f>+SUM($F$5:F24)/B24</f>
        <v>6854.7887001286972</v>
      </c>
      <c r="I24" s="4">
        <f t="shared" si="1"/>
        <v>8.2013239998831171</v>
      </c>
      <c r="J24" s="39">
        <f>+SUM($I$5:I24)/B24</f>
        <v>8.5443154274753983</v>
      </c>
      <c r="K24" s="5">
        <f>+SUM($E$5:E24)/H24</f>
        <v>1.6876402022719614</v>
      </c>
      <c r="L24" s="77"/>
      <c r="M24" s="77"/>
      <c r="N24" s="77"/>
    </row>
    <row r="25" spans="1:14" x14ac:dyDescent="0.25">
      <c r="A25" s="216"/>
      <c r="B25" s="41">
        <v>21</v>
      </c>
      <c r="C25" s="42">
        <v>91148</v>
      </c>
      <c r="D25" s="11">
        <f t="shared" si="0"/>
        <v>84276.055984555976</v>
      </c>
      <c r="E25" s="11">
        <f t="shared" si="2"/>
        <v>-6871.9440154440235</v>
      </c>
      <c r="F25" s="11">
        <f t="shared" si="3"/>
        <v>6871.9440154440235</v>
      </c>
      <c r="G25" s="11">
        <f>+SUMSQ($E$5:E25)/B25</f>
        <v>67827155.417722344</v>
      </c>
      <c r="H25" s="11">
        <f>+SUM($F$5:F25)/B25</f>
        <v>6855.6056199056175</v>
      </c>
      <c r="I25" s="4">
        <f t="shared" si="1"/>
        <v>7.5393250707026196</v>
      </c>
      <c r="J25" s="39">
        <f>+SUM($I$5:I25)/B25</f>
        <v>8.4964587438195522</v>
      </c>
      <c r="K25" s="5">
        <f>+SUM($E$5:E25)/H25</f>
        <v>0.6850558846816196</v>
      </c>
      <c r="L25" s="77"/>
      <c r="M25" s="77"/>
      <c r="N25" s="77"/>
    </row>
    <row r="26" spans="1:14" x14ac:dyDescent="0.25">
      <c r="A26" s="216"/>
      <c r="B26" s="41">
        <v>22</v>
      </c>
      <c r="C26" s="42">
        <v>107460</v>
      </c>
      <c r="D26" s="11">
        <f t="shared" si="0"/>
        <v>84582.945045045039</v>
      </c>
      <c r="E26" s="11">
        <f t="shared" si="2"/>
        <v>-22877.054954954961</v>
      </c>
      <c r="F26" s="11">
        <f t="shared" si="3"/>
        <v>22877.054954954961</v>
      </c>
      <c r="G26" s="11">
        <f>+SUMSQ($E$5:E26)/B26</f>
        <v>88533177.599281758</v>
      </c>
      <c r="H26" s="11">
        <f>+SUM($F$5:F26)/B26</f>
        <v>7583.8533169533157</v>
      </c>
      <c r="I26" s="4">
        <f t="shared" si="1"/>
        <v>21.28890280565323</v>
      </c>
      <c r="J26" s="39">
        <f>+SUM($I$5:I26)/B26</f>
        <v>9.0779334739029007</v>
      </c>
      <c r="K26" s="5">
        <f>+SUM($E$5:E26)/H26</f>
        <v>-2.3972750028459116</v>
      </c>
      <c r="L26" s="77"/>
      <c r="M26" s="77"/>
      <c r="N26" s="77"/>
    </row>
    <row r="27" spans="1:14" x14ac:dyDescent="0.25">
      <c r="A27" s="216"/>
      <c r="B27" s="41">
        <v>23</v>
      </c>
      <c r="C27" s="42">
        <v>77570</v>
      </c>
      <c r="D27" s="11">
        <f t="shared" si="0"/>
        <v>84889.834105534101</v>
      </c>
      <c r="E27" s="11">
        <f t="shared" si="2"/>
        <v>7319.8341055341007</v>
      </c>
      <c r="F27" s="11">
        <f t="shared" si="3"/>
        <v>7319.8341055341007</v>
      </c>
      <c r="G27" s="11">
        <f>+SUMSQ($E$5:E27)/B27</f>
        <v>87013472.978988647</v>
      </c>
      <c r="H27" s="11">
        <f>+SUM($F$5:F27)/B27</f>
        <v>7572.3742208046542</v>
      </c>
      <c r="I27" s="4">
        <f t="shared" si="1"/>
        <v>9.4364240112596374</v>
      </c>
      <c r="J27" s="39">
        <f>+SUM($I$5:I27)/B27</f>
        <v>9.0935200190053678</v>
      </c>
      <c r="K27" s="5">
        <f>+SUM($E$5:E27)/H27</f>
        <v>-1.4342592639715119</v>
      </c>
      <c r="L27" s="77"/>
      <c r="M27" s="77"/>
      <c r="N27" s="77"/>
    </row>
    <row r="28" spans="1:14" x14ac:dyDescent="0.25">
      <c r="A28" s="216"/>
      <c r="B28" s="58">
        <v>24</v>
      </c>
      <c r="C28" s="42">
        <v>89156</v>
      </c>
      <c r="D28" s="11">
        <f t="shared" si="0"/>
        <v>85196.723166023148</v>
      </c>
      <c r="E28" s="11">
        <f t="shared" si="2"/>
        <v>-3959.2768339768518</v>
      </c>
      <c r="F28" s="11">
        <f t="shared" si="3"/>
        <v>3959.2768339768518</v>
      </c>
      <c r="G28" s="11">
        <f>+SUMSQ($E$5:E28)/B28</f>
        <v>84041072.981866851</v>
      </c>
      <c r="H28" s="11">
        <f>+SUM($F$5:F28)/B28</f>
        <v>7421.8284963534961</v>
      </c>
      <c r="I28" s="4">
        <f t="shared" si="1"/>
        <v>4.4408417088887475</v>
      </c>
      <c r="J28" s="39">
        <f>+SUM($I$5:I28)/B28</f>
        <v>8.8996584227505089</v>
      </c>
      <c r="K28" s="5">
        <f>+SUM($E$5:E28)/H28</f>
        <v>-1.9968158409624237</v>
      </c>
      <c r="L28" s="77"/>
      <c r="M28" s="77"/>
      <c r="N28" s="77"/>
    </row>
    <row r="29" spans="1:14" x14ac:dyDescent="0.25">
      <c r="A29" s="215">
        <v>2023</v>
      </c>
      <c r="B29" s="41">
        <v>25</v>
      </c>
      <c r="C29" s="57">
        <v>88182</v>
      </c>
      <c r="D29" s="11">
        <f t="shared" si="0"/>
        <v>85503.61222651221</v>
      </c>
      <c r="E29" s="11">
        <f t="shared" si="2"/>
        <v>-2678.3877734877897</v>
      </c>
      <c r="F29" s="11">
        <f t="shared" si="3"/>
        <v>2678.3877734877897</v>
      </c>
      <c r="G29" s="11">
        <f>+SUMSQ($E$5:E29)/B29</f>
        <v>80966380.505198941</v>
      </c>
      <c r="H29" s="11">
        <f>+SUM($F$5:F29)/B29</f>
        <v>7232.0908674388684</v>
      </c>
      <c r="I29" s="4">
        <f t="shared" si="1"/>
        <v>3.0373406970671901</v>
      </c>
      <c r="J29" s="39">
        <f>+SUM($I$5:I29)/B29</f>
        <v>8.6651657137231766</v>
      </c>
      <c r="K29" s="5">
        <f>+SUM($E$5:E29)/H29</f>
        <v>-2.419550971448118</v>
      </c>
      <c r="L29" s="77"/>
      <c r="M29" s="77"/>
      <c r="N29" s="77"/>
    </row>
    <row r="30" spans="1:14" x14ac:dyDescent="0.25">
      <c r="A30" s="216"/>
      <c r="B30" s="41">
        <v>26</v>
      </c>
      <c r="C30" s="57">
        <v>79803</v>
      </c>
      <c r="D30" s="11">
        <f t="shared" si="0"/>
        <v>85810.501287001272</v>
      </c>
      <c r="E30" s="11">
        <f t="shared" si="2"/>
        <v>6007.5012870012724</v>
      </c>
      <c r="F30" s="11">
        <f t="shared" si="3"/>
        <v>6007.5012870012724</v>
      </c>
      <c r="G30" s="11">
        <f>+SUMSQ($E$5:E30)/B30</f>
        <v>79240368.628588289</v>
      </c>
      <c r="H30" s="11">
        <f>+SUM($F$5:F30)/B30</f>
        <v>7184.9912681912683</v>
      </c>
      <c r="I30" s="4">
        <f t="shared" si="1"/>
        <v>7.5279140972159846</v>
      </c>
      <c r="J30" s="39">
        <f>+SUM($I$5:I30)/B30</f>
        <v>8.6214252669344376</v>
      </c>
      <c r="K30" s="5">
        <f>+SUM($E$5:E30)/H30</f>
        <v>-1.5992936898591663</v>
      </c>
      <c r="L30" s="77"/>
      <c r="M30" s="77"/>
      <c r="N30" s="77"/>
    </row>
    <row r="31" spans="1:14" x14ac:dyDescent="0.25">
      <c r="A31" s="216"/>
      <c r="B31" s="41">
        <v>27</v>
      </c>
      <c r="C31" s="57">
        <v>89841</v>
      </c>
      <c r="D31" s="11">
        <f t="shared" si="0"/>
        <v>86117.390347490335</v>
      </c>
      <c r="E31" s="11">
        <f t="shared" si="2"/>
        <v>-3723.6096525096655</v>
      </c>
      <c r="F31" s="11">
        <f t="shared" si="3"/>
        <v>3723.6096525096655</v>
      </c>
      <c r="G31" s="11">
        <f>+SUMSQ($E$5:E31)/B31</f>
        <v>76819068.636576235</v>
      </c>
      <c r="H31" s="11">
        <f>+SUM($F$5:F31)/B31</f>
        <v>7056.7919490919494</v>
      </c>
      <c r="I31" s="4">
        <f t="shared" si="1"/>
        <v>4.144666302144528</v>
      </c>
      <c r="J31" s="39">
        <f>+SUM($I$5:I31)/B31</f>
        <v>8.4556193793496259</v>
      </c>
      <c r="K31" s="5">
        <f>+SUM($E$5:E31)/H31</f>
        <v>-2.1560109691740221</v>
      </c>
      <c r="L31" s="77"/>
      <c r="M31" s="77"/>
      <c r="N31" s="77"/>
    </row>
    <row r="32" spans="1:14" x14ac:dyDescent="0.25">
      <c r="A32" s="216"/>
      <c r="B32" s="41">
        <v>28</v>
      </c>
      <c r="C32" s="57">
        <v>77480</v>
      </c>
      <c r="D32" s="11">
        <f t="shared" si="0"/>
        <v>86424.279407979397</v>
      </c>
      <c r="E32" s="11">
        <f t="shared" si="2"/>
        <v>8944.2794079793966</v>
      </c>
      <c r="F32" s="11">
        <f t="shared" si="3"/>
        <v>8944.2794079793966</v>
      </c>
      <c r="G32" s="11">
        <f>+SUMSQ($E$5:E32)/B32</f>
        <v>76932678.118412957</v>
      </c>
      <c r="H32" s="11">
        <f>+SUM($F$5:F32)/B32</f>
        <v>7124.2022154807864</v>
      </c>
      <c r="I32" s="4">
        <f t="shared" si="1"/>
        <v>11.543984780561948</v>
      </c>
      <c r="J32" s="39">
        <f>+SUM($I$5:I32)/B32</f>
        <v>8.5659181436786369</v>
      </c>
      <c r="K32" s="5">
        <f>+SUM($E$5:E32)/H32</f>
        <v>-0.88013243473306113</v>
      </c>
      <c r="L32" s="77"/>
      <c r="M32" s="77"/>
      <c r="N32" s="77"/>
    </row>
    <row r="33" spans="1:14" x14ac:dyDescent="0.25">
      <c r="A33" s="216"/>
      <c r="B33" s="41">
        <v>29</v>
      </c>
      <c r="C33" s="57">
        <v>77263</v>
      </c>
      <c r="D33" s="11">
        <f t="shared" si="0"/>
        <v>86731.168468468459</v>
      </c>
      <c r="E33" s="11">
        <f t="shared" si="2"/>
        <v>9468.1684684684587</v>
      </c>
      <c r="F33" s="11">
        <f t="shared" si="3"/>
        <v>9468.1684684684587</v>
      </c>
      <c r="G33" s="11">
        <f>+SUMSQ($E$5:E33)/B33</f>
        <v>77371075.912512511</v>
      </c>
      <c r="H33" s="11">
        <f>+SUM($F$5:F33)/B33</f>
        <v>7205.0286379976033</v>
      </c>
      <c r="I33" s="4">
        <f t="shared" si="1"/>
        <v>12.254466521450706</v>
      </c>
      <c r="J33" s="39">
        <f>+SUM($I$5:I33)/B33</f>
        <v>8.6931094670500872</v>
      </c>
      <c r="K33" s="5">
        <f>+SUM($E$5:E33)/H33</f>
        <v>0.44384653936857121</v>
      </c>
      <c r="L33" s="77"/>
      <c r="M33" s="77"/>
      <c r="N33" s="77"/>
    </row>
    <row r="34" spans="1:14" x14ac:dyDescent="0.25">
      <c r="A34" s="216"/>
      <c r="B34" s="41">
        <v>30</v>
      </c>
      <c r="C34" s="57">
        <v>83227</v>
      </c>
      <c r="D34" s="11">
        <f t="shared" si="0"/>
        <v>87038.057528957521</v>
      </c>
      <c r="E34" s="11">
        <f t="shared" si="2"/>
        <v>3811.0575289575208</v>
      </c>
      <c r="F34" s="11">
        <f t="shared" si="3"/>
        <v>3811.0575289575208</v>
      </c>
      <c r="G34" s="11">
        <f>+SUMSQ($E$5:E34)/B34</f>
        <v>75276178.698396221</v>
      </c>
      <c r="H34" s="11">
        <f>+SUM($F$5:F34)/B34</f>
        <v>7091.8962676962674</v>
      </c>
      <c r="I34" s="4">
        <f t="shared" si="1"/>
        <v>4.5791119816375945</v>
      </c>
      <c r="J34" s="39">
        <f>+SUM($I$5:I34)/B34</f>
        <v>8.5559762175363367</v>
      </c>
      <c r="K34" s="5">
        <f>+SUM($E$5:E34)/H34</f>
        <v>0.98830895030293586</v>
      </c>
      <c r="L34" s="77"/>
      <c r="M34" s="77"/>
      <c r="N34" s="77"/>
    </row>
    <row r="35" spans="1:14" x14ac:dyDescent="0.25">
      <c r="A35" s="216"/>
      <c r="B35" s="41">
        <v>31</v>
      </c>
      <c r="C35" s="57">
        <v>81132</v>
      </c>
      <c r="D35" s="11">
        <f t="shared" si="0"/>
        <v>87344.946589446583</v>
      </c>
      <c r="E35" s="11">
        <f t="shared" si="2"/>
        <v>6212.9465894465829</v>
      </c>
      <c r="F35" s="11">
        <f t="shared" si="3"/>
        <v>6212.9465894465829</v>
      </c>
      <c r="G35" s="11">
        <f>+SUMSQ($E$5:E35)/B35</f>
        <v>74093098.91210331</v>
      </c>
      <c r="H35" s="11">
        <f>+SUM($F$5:F35)/B35</f>
        <v>7063.5430522688584</v>
      </c>
      <c r="I35" s="4">
        <f t="shared" si="1"/>
        <v>7.6578250128760326</v>
      </c>
      <c r="J35" s="39">
        <f>+SUM($I$5:I35)/B35</f>
        <v>8.5270035980311665</v>
      </c>
      <c r="K35" s="5">
        <f>+SUM($E$5:E35)/H35</f>
        <v>1.8718553914927742</v>
      </c>
      <c r="L35" s="77"/>
      <c r="M35" s="77"/>
      <c r="N35" s="77"/>
    </row>
    <row r="36" spans="1:14" x14ac:dyDescent="0.25">
      <c r="A36" s="216"/>
      <c r="B36" s="41">
        <v>32</v>
      </c>
      <c r="C36" s="57">
        <v>88863</v>
      </c>
      <c r="D36" s="11">
        <f t="shared" si="0"/>
        <v>87651.835649935645</v>
      </c>
      <c r="E36" s="11">
        <f t="shared" si="2"/>
        <v>-1211.1643500643549</v>
      </c>
      <c r="F36" s="11">
        <f t="shared" si="3"/>
        <v>1211.1643500643549</v>
      </c>
      <c r="G36" s="11">
        <f>+SUMSQ($E$5:E36)/B36</f>
        <v>71823530.792439669</v>
      </c>
      <c r="H36" s="11">
        <f>+SUM($F$5:F36)/B36</f>
        <v>6880.6562178249678</v>
      </c>
      <c r="I36" s="4">
        <f t="shared" si="1"/>
        <v>1.3629568550064199</v>
      </c>
      <c r="J36" s="39">
        <f>+SUM($I$5:I36)/B36</f>
        <v>8.3031271373116429</v>
      </c>
      <c r="K36" s="5">
        <f>+SUM($E$5:E36)/H36</f>
        <v>1.745584492980691</v>
      </c>
      <c r="L36" s="77"/>
      <c r="M36" s="77"/>
      <c r="N36" s="77"/>
    </row>
    <row r="37" spans="1:14" x14ac:dyDescent="0.25">
      <c r="A37" s="216"/>
      <c r="B37" s="41">
        <v>33</v>
      </c>
      <c r="C37" s="57">
        <v>89823</v>
      </c>
      <c r="D37" s="11">
        <f t="shared" si="0"/>
        <v>87958.724710424693</v>
      </c>
      <c r="E37" s="11">
        <f t="shared" si="2"/>
        <v>-1864.2752895753074</v>
      </c>
      <c r="F37" s="11">
        <f t="shared" si="3"/>
        <v>1864.2752895753074</v>
      </c>
      <c r="G37" s="11">
        <f>+SUMSQ($E$5:E37)/B37</f>
        <v>69752379.021617889</v>
      </c>
      <c r="H37" s="11">
        <f>+SUM($F$5:F37)/B37</f>
        <v>6728.6446745446747</v>
      </c>
      <c r="I37" s="4">
        <f t="shared" si="1"/>
        <v>2.075498802729042</v>
      </c>
      <c r="J37" s="39">
        <f>+SUM($I$5:I37)/B37</f>
        <v>8.1144111271727759</v>
      </c>
      <c r="K37" s="5">
        <f>+SUM($E$5:E37)/H37</f>
        <v>1.5079547214280173</v>
      </c>
      <c r="L37" s="77"/>
      <c r="M37" s="77"/>
      <c r="N37" s="77"/>
    </row>
    <row r="38" spans="1:14" x14ac:dyDescent="0.25">
      <c r="A38" s="216"/>
      <c r="B38" s="41">
        <v>34</v>
      </c>
      <c r="C38" s="57">
        <v>93478</v>
      </c>
      <c r="D38" s="11">
        <f t="shared" si="0"/>
        <v>88265.613770913755</v>
      </c>
      <c r="E38" s="11">
        <f t="shared" si="2"/>
        <v>-5212.3862290862453</v>
      </c>
      <c r="F38" s="11">
        <f t="shared" si="3"/>
        <v>5212.3862290862453</v>
      </c>
      <c r="G38" s="11">
        <f>+SUMSQ($E$5:E38)/B38</f>
        <v>68499925.821016431</v>
      </c>
      <c r="H38" s="11">
        <f>+SUM($F$5:F38)/B38</f>
        <v>6684.048837913544</v>
      </c>
      <c r="I38" s="4">
        <f t="shared" si="1"/>
        <v>5.5760566433666163</v>
      </c>
      <c r="J38" s="39">
        <f>+SUM($I$5:I38)/B38</f>
        <v>8.0397536423549472</v>
      </c>
      <c r="K38" s="5">
        <f>+SUM($E$5:E38)/H38</f>
        <v>0.73819108692286062</v>
      </c>
      <c r="L38" s="77"/>
      <c r="M38" s="77"/>
      <c r="N38" s="77"/>
    </row>
    <row r="39" spans="1:14" x14ac:dyDescent="0.25">
      <c r="A39" s="216"/>
      <c r="B39" s="41">
        <v>35</v>
      </c>
      <c r="C39" s="57">
        <v>83241</v>
      </c>
      <c r="D39" s="11">
        <f t="shared" si="0"/>
        <v>88572.502831402817</v>
      </c>
      <c r="E39" s="11">
        <f t="shared" si="2"/>
        <v>5331.5028314028168</v>
      </c>
      <c r="F39" s="11">
        <f t="shared" si="3"/>
        <v>5331.5028314028168</v>
      </c>
      <c r="G39" s="11">
        <f>+SUMSQ($E$5:E39)/B39</f>
        <v>67354925.72445184</v>
      </c>
      <c r="H39" s="11">
        <f>+SUM($F$5:F39)/B39</f>
        <v>6645.4046662989522</v>
      </c>
      <c r="I39" s="4">
        <f t="shared" si="1"/>
        <v>6.4049000269132002</v>
      </c>
      <c r="J39" s="39">
        <f>+SUM($I$5:I39)/B39</f>
        <v>7.9930435390566119</v>
      </c>
      <c r="K39" s="5">
        <f>+SUM($E$5:E39)/H39</f>
        <v>1.5447679447074152</v>
      </c>
      <c r="L39" s="77"/>
      <c r="M39" s="77"/>
      <c r="N39" s="77"/>
    </row>
    <row r="40" spans="1:14" x14ac:dyDescent="0.25">
      <c r="A40" s="217"/>
      <c r="B40" s="41">
        <v>36</v>
      </c>
      <c r="C40" s="57">
        <v>99145</v>
      </c>
      <c r="D40" s="11">
        <f t="shared" si="0"/>
        <v>88879.391891891879</v>
      </c>
      <c r="E40" s="11">
        <f>+D40-C40</f>
        <v>-10265.608108108121</v>
      </c>
      <c r="F40" s="11">
        <f t="shared" si="3"/>
        <v>10265.608108108121</v>
      </c>
      <c r="G40" s="31">
        <f>+SUMSQ($E$5:E40)/B40</f>
        <v>68411253.060696378</v>
      </c>
      <c r="H40" s="38">
        <f>+SUM($F$5:F40)/B40</f>
        <v>6745.9658730158735</v>
      </c>
      <c r="I40" s="4">
        <f t="shared" si="1"/>
        <v>10.354135970657241</v>
      </c>
      <c r="J40" s="32">
        <f>+SUM($I$5:I40)/B40</f>
        <v>8.0586294399344069</v>
      </c>
      <c r="K40" s="40">
        <f>+SUM($E$5:E40)/H40</f>
        <v>-6.2556726429743334E-14</v>
      </c>
      <c r="L40" s="77"/>
      <c r="M40" s="77"/>
      <c r="N40" s="77"/>
    </row>
    <row r="41" spans="1:14" x14ac:dyDescent="0.25">
      <c r="A41" s="3">
        <v>2024</v>
      </c>
      <c r="B41" s="59">
        <v>37</v>
      </c>
      <c r="C41" s="63"/>
      <c r="D41" s="25">
        <f t="shared" si="0"/>
        <v>89186.280952380941</v>
      </c>
      <c r="E41" s="64"/>
      <c r="F41" s="60">
        <f>+AVERAGE(F5:F40)</f>
        <v>6745.9658730158735</v>
      </c>
      <c r="G41" s="64"/>
      <c r="H41" s="64"/>
      <c r="I41" s="61">
        <f>+AVERAGE(I5:I40)</f>
        <v>8.0586294399344069</v>
      </c>
      <c r="J41" s="63"/>
      <c r="K41" s="65"/>
      <c r="L41" s="77"/>
      <c r="M41" s="77"/>
      <c r="N41" s="77"/>
    </row>
    <row r="44" spans="1:14" x14ac:dyDescent="0.25">
      <c r="G44" s="2"/>
      <c r="H44" s="2"/>
    </row>
    <row r="45" spans="1:14" x14ac:dyDescent="0.25">
      <c r="G45" s="27"/>
    </row>
    <row r="46" spans="1:14" x14ac:dyDescent="0.25">
      <c r="G46" s="15"/>
      <c r="H46" s="27"/>
    </row>
  </sheetData>
  <mergeCells count="6">
    <mergeCell ref="A1:N1"/>
    <mergeCell ref="A5:A16"/>
    <mergeCell ref="A17:A28"/>
    <mergeCell ref="A29:A40"/>
    <mergeCell ref="M5:N5"/>
    <mergeCell ref="M11:N11"/>
  </mergeCells>
  <conditionalFormatting sqref="K5:K40">
    <cfRule type="colorScale" priority="10">
      <colorScale>
        <cfvo type="min"/>
        <cfvo type="percentile" val="50"/>
        <cfvo type="max"/>
        <color theme="0"/>
        <color theme="5" tint="0.79998168889431442"/>
        <color theme="3" tint="9.9978637043366805E-2"/>
      </colorScale>
    </cfRule>
    <cfRule type="colorScale" priority="11">
      <colorScale>
        <cfvo type="min"/>
        <cfvo type="percentile" val="50"/>
        <cfvo type="max"/>
        <color theme="5" tint="0.79998168889431442"/>
        <color rgb="FFFFEB84"/>
        <color theme="9" tint="-0.249977111117893"/>
      </colorScale>
    </cfRule>
    <cfRule type="colorScale" priority="12">
      <colorScale>
        <cfvo type="min"/>
        <cfvo type="percentile" val="50"/>
        <cfvo type="max"/>
        <color theme="8" tint="0.79998168889431442"/>
        <color rgb="FFFFEB84"/>
        <color rgb="FF63BE7B"/>
      </colorScale>
    </cfRule>
  </conditionalFormatting>
  <pageMargins left="0.7" right="0.7" top="0.75" bottom="0.75" header="0.3" footer="0.3"/>
  <ignoredErrors>
    <ignoredError sqref="N6:N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0F9-3114-4D9F-A522-225B97953DB2}">
  <dimension ref="A1:N46"/>
  <sheetViews>
    <sheetView showGridLines="0" zoomScale="89" zoomScaleNormal="89" workbookViewId="0">
      <selection activeCell="M5" sqref="M5:N10"/>
    </sheetView>
  </sheetViews>
  <sheetFormatPr baseColWidth="10" defaultRowHeight="15" x14ac:dyDescent="0.25"/>
  <cols>
    <col min="3" max="3" width="15.140625" bestFit="1" customWidth="1"/>
    <col min="4" max="5" width="14.140625" bestFit="1" customWidth="1"/>
    <col min="6" max="7" width="23.5703125" bestFit="1" customWidth="1"/>
    <col min="8" max="8" width="12.5703125" bestFit="1" customWidth="1"/>
    <col min="14" max="14" width="12.28515625" bestFit="1" customWidth="1"/>
  </cols>
  <sheetData>
    <row r="1" spans="1:14" x14ac:dyDescent="0.25">
      <c r="A1" s="220" t="s">
        <v>61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2" spans="1:14" s="24" customFormat="1" ht="40.5" customHeight="1" x14ac:dyDescent="0.25">
      <c r="A2" s="74"/>
      <c r="B2" s="74"/>
      <c r="C2" s="74"/>
      <c r="D2" s="74" t="s">
        <v>34</v>
      </c>
      <c r="E2" s="74" t="s">
        <v>36</v>
      </c>
      <c r="F2" s="74" t="s">
        <v>27</v>
      </c>
      <c r="G2" s="74"/>
      <c r="H2" s="74"/>
      <c r="I2" s="75" t="s">
        <v>28</v>
      </c>
      <c r="J2" s="74"/>
      <c r="K2" s="74"/>
      <c r="L2" s="69"/>
      <c r="M2" s="69"/>
      <c r="N2" s="69"/>
    </row>
    <row r="3" spans="1:14" s="23" customFormat="1" ht="60" x14ac:dyDescent="0.25">
      <c r="A3" s="55"/>
      <c r="B3" s="53" t="s">
        <v>0</v>
      </c>
      <c r="C3" s="53" t="s">
        <v>24</v>
      </c>
      <c r="D3" s="53" t="s">
        <v>35</v>
      </c>
      <c r="E3" s="53" t="s">
        <v>26</v>
      </c>
      <c r="F3" s="53" t="s">
        <v>30</v>
      </c>
      <c r="G3" s="53" t="s">
        <v>32</v>
      </c>
      <c r="H3" s="53" t="s">
        <v>31</v>
      </c>
      <c r="I3" s="53" t="s">
        <v>37</v>
      </c>
      <c r="J3" s="53" t="s">
        <v>33</v>
      </c>
      <c r="K3" s="53" t="s">
        <v>29</v>
      </c>
      <c r="L3" s="70"/>
      <c r="M3" s="70"/>
      <c r="N3" s="70"/>
    </row>
    <row r="4" spans="1:14" x14ac:dyDescent="0.25">
      <c r="A4" s="56" t="s">
        <v>20</v>
      </c>
      <c r="B4" s="56" t="s">
        <v>25</v>
      </c>
      <c r="C4" s="56" t="s">
        <v>46</v>
      </c>
      <c r="D4" s="54" t="s">
        <v>3</v>
      </c>
      <c r="E4" s="54" t="s">
        <v>4</v>
      </c>
      <c r="F4" s="54" t="s">
        <v>5</v>
      </c>
      <c r="G4" s="54" t="s">
        <v>6</v>
      </c>
      <c r="H4" s="54" t="s">
        <v>7</v>
      </c>
      <c r="I4" s="54" t="s">
        <v>40</v>
      </c>
      <c r="J4" s="54" t="s">
        <v>8</v>
      </c>
      <c r="K4" s="54" t="s">
        <v>9</v>
      </c>
      <c r="L4" s="71"/>
      <c r="M4" s="71"/>
      <c r="N4" s="71"/>
    </row>
    <row r="5" spans="1:14" x14ac:dyDescent="0.25">
      <c r="A5" s="215">
        <v>2021</v>
      </c>
      <c r="B5" s="41">
        <v>1</v>
      </c>
      <c r="C5" s="42">
        <v>75754</v>
      </c>
      <c r="D5" s="11">
        <f>+(1.5548*B5^3)-(86.508*B5^2)+(1609.6*B5)+73518</f>
        <v>75042.646800000002</v>
      </c>
      <c r="E5" s="11">
        <f>+D5-C5</f>
        <v>-711.35319999999774</v>
      </c>
      <c r="F5" s="11">
        <f>+ABS(E5)</f>
        <v>711.35319999999774</v>
      </c>
      <c r="G5" s="11">
        <f>+SUMSQ($E$5:E5)/B5</f>
        <v>506023.37515023677</v>
      </c>
      <c r="H5" s="11">
        <f>+SUM($F5:F$5)/B5</f>
        <v>711.35319999999774</v>
      </c>
      <c r="I5" s="4">
        <f t="shared" ref="I5:I40" si="0">+(F5/C5)*100</f>
        <v>0.93903054624177962</v>
      </c>
      <c r="J5" s="39">
        <f>+SUM($I$5:I5)/B5</f>
        <v>0.93903054624177962</v>
      </c>
      <c r="K5" s="5">
        <f>+SUM($E$5:E5)/H5</f>
        <v>-1</v>
      </c>
      <c r="L5" s="71"/>
      <c r="M5" s="28" t="s">
        <v>11</v>
      </c>
      <c r="N5" s="12">
        <f>+D41</f>
        <v>93399.032400000011</v>
      </c>
    </row>
    <row r="6" spans="1:14" x14ac:dyDescent="0.25">
      <c r="A6" s="216"/>
      <c r="B6" s="41">
        <v>2</v>
      </c>
      <c r="C6" s="42">
        <v>80164</v>
      </c>
      <c r="D6" s="11">
        <f t="shared" ref="D6:D41" si="1">+(1.5548*B6^3)-(86.508*B6^2)+(1609.6*B6)+73518</f>
        <v>76403.606400000004</v>
      </c>
      <c r="E6" s="11">
        <f t="shared" ref="E6:E39" si="2">+D6-C6</f>
        <v>-3760.3935999999958</v>
      </c>
      <c r="F6" s="11">
        <f t="shared" ref="F6:F40" si="3">+ABS(E6)</f>
        <v>3760.3935999999958</v>
      </c>
      <c r="G6" s="11">
        <f>+SUMSQ($E$5:E6)/B6</f>
        <v>7323291.7010355825</v>
      </c>
      <c r="H6" s="11">
        <f>+SUM($F$5:F6)/B6</f>
        <v>2235.8733999999968</v>
      </c>
      <c r="I6" s="4">
        <f t="shared" si="0"/>
        <v>4.6908757048051442</v>
      </c>
      <c r="J6" s="39">
        <f>+SUM($I$5:I6)/B6</f>
        <v>2.8149531255234619</v>
      </c>
      <c r="K6" s="5">
        <f>+SUM($E$5:E6)/H6</f>
        <v>-2</v>
      </c>
      <c r="L6" s="71"/>
      <c r="M6" s="28" t="s">
        <v>7</v>
      </c>
      <c r="N6" s="12">
        <f>+H40</f>
        <v>6704.1767555555543</v>
      </c>
    </row>
    <row r="7" spans="1:14" x14ac:dyDescent="0.25">
      <c r="A7" s="216"/>
      <c r="B7" s="41">
        <v>3</v>
      </c>
      <c r="C7" s="42">
        <v>85384</v>
      </c>
      <c r="D7" s="11">
        <f t="shared" si="1"/>
        <v>77610.207599999994</v>
      </c>
      <c r="E7" s="11">
        <f t="shared" si="2"/>
        <v>-7773.7924000000057</v>
      </c>
      <c r="F7" s="11">
        <f t="shared" si="3"/>
        <v>7773.7924000000057</v>
      </c>
      <c r="G7" s="11">
        <f>+SUMSQ($E$5:E7)/B7</f>
        <v>25026143.89345634</v>
      </c>
      <c r="H7" s="11">
        <f>+SUM($F$5:F7)/B7</f>
        <v>4081.8463999999999</v>
      </c>
      <c r="I7" s="4">
        <f t="shared" si="0"/>
        <v>9.1045071676192322</v>
      </c>
      <c r="J7" s="39">
        <f>+SUM($I$5:I7)/B7</f>
        <v>4.9114711395553856</v>
      </c>
      <c r="K7" s="5">
        <f>+SUM($E$5:E7)/H7</f>
        <v>-3</v>
      </c>
      <c r="L7" s="71"/>
      <c r="M7" s="29" t="s">
        <v>8</v>
      </c>
      <c r="N7" s="26">
        <f>+J40</f>
        <v>8.0311822707820397</v>
      </c>
    </row>
    <row r="8" spans="1:14" x14ac:dyDescent="0.25">
      <c r="A8" s="216"/>
      <c r="B8" s="41">
        <v>4</v>
      </c>
      <c r="C8" s="42">
        <v>68375</v>
      </c>
      <c r="D8" s="11">
        <f t="shared" si="1"/>
        <v>78671.779200000004</v>
      </c>
      <c r="E8" s="11">
        <f t="shared" si="2"/>
        <v>10296.779200000004</v>
      </c>
      <c r="F8" s="11">
        <f t="shared" si="3"/>
        <v>10296.779200000004</v>
      </c>
      <c r="G8" s="11">
        <f>+SUMSQ($E$5:E8)/B8</f>
        <v>45275523.393480435</v>
      </c>
      <c r="H8" s="11">
        <f>+SUM($F$5:F8)/B8</f>
        <v>5635.5796000000009</v>
      </c>
      <c r="I8" s="4">
        <f t="shared" si="0"/>
        <v>15.059274881170026</v>
      </c>
      <c r="J8" s="39">
        <f>+SUM($I$5:I8)/B8</f>
        <v>7.448422074959046</v>
      </c>
      <c r="K8" s="5">
        <f>+SUM($E$5:E8)/H8</f>
        <v>-0.34579584325274981</v>
      </c>
      <c r="L8" s="71"/>
      <c r="M8" s="28" t="s">
        <v>6</v>
      </c>
      <c r="N8" s="12">
        <f>+G40</f>
        <v>66551668.229568325</v>
      </c>
    </row>
    <row r="9" spans="1:14" x14ac:dyDescent="0.25">
      <c r="A9" s="216"/>
      <c r="B9" s="41">
        <v>5</v>
      </c>
      <c r="C9" s="42">
        <v>71351</v>
      </c>
      <c r="D9" s="11">
        <f t="shared" si="1"/>
        <v>79597.649999999994</v>
      </c>
      <c r="E9" s="11">
        <f t="shared" si="2"/>
        <v>8246.6499999999942</v>
      </c>
      <c r="F9" s="11">
        <f t="shared" si="3"/>
        <v>8246.6499999999942</v>
      </c>
      <c r="G9" s="11">
        <f>+SUMSQ($E$5:E9)/B9</f>
        <v>49821865.959284328</v>
      </c>
      <c r="H9" s="11">
        <f>+SUM($F$5:F9)/B9</f>
        <v>6157.7936799999998</v>
      </c>
      <c r="I9" s="4">
        <f t="shared" si="0"/>
        <v>11.557861837956013</v>
      </c>
      <c r="J9" s="39">
        <f>+SUM($I$5:I9)/B9</f>
        <v>8.2703100275584394</v>
      </c>
      <c r="K9" s="5">
        <f>+SUM($E$5:E9)/H9</f>
        <v>1.0227510578106929</v>
      </c>
      <c r="L9" s="71"/>
      <c r="M9" s="28" t="s">
        <v>38</v>
      </c>
      <c r="N9" s="6">
        <f>+MIN(K5:K40)</f>
        <v>-3</v>
      </c>
    </row>
    <row r="10" spans="1:14" x14ac:dyDescent="0.25">
      <c r="A10" s="216"/>
      <c r="B10" s="41">
        <v>6</v>
      </c>
      <c r="C10" s="42">
        <v>76752</v>
      </c>
      <c r="D10" s="11">
        <f t="shared" si="1"/>
        <v>80397.148799999995</v>
      </c>
      <c r="E10" s="11">
        <f t="shared" si="2"/>
        <v>3645.1487999999954</v>
      </c>
      <c r="F10" s="11">
        <f t="shared" si="3"/>
        <v>3645.1487999999954</v>
      </c>
      <c r="G10" s="11">
        <f>+SUMSQ($E$5:E10)/B10</f>
        <v>43732739.928427175</v>
      </c>
      <c r="H10" s="11">
        <f>+SUM($F$5:F10)/B10</f>
        <v>5739.0195333333322</v>
      </c>
      <c r="I10" s="4">
        <f t="shared" si="0"/>
        <v>4.749255784865535</v>
      </c>
      <c r="J10" s="39">
        <f>+SUM($I$5:I10)/B10</f>
        <v>7.6834676537762876</v>
      </c>
      <c r="K10" s="5">
        <f>+SUM($E$5:E10)/H10</f>
        <v>1.7325326638546721</v>
      </c>
      <c r="L10" s="71"/>
      <c r="M10" s="28" t="s">
        <v>39</v>
      </c>
      <c r="N10" s="6">
        <f>+MAX(K5:K40)</f>
        <v>3.9212930944882141</v>
      </c>
    </row>
    <row r="11" spans="1:14" x14ac:dyDescent="0.25">
      <c r="A11" s="216"/>
      <c r="B11" s="41">
        <v>7</v>
      </c>
      <c r="C11" s="42">
        <v>78805</v>
      </c>
      <c r="D11" s="11">
        <f t="shared" si="1"/>
        <v>81079.604399999997</v>
      </c>
      <c r="E11" s="11">
        <f t="shared" si="2"/>
        <v>2274.6043999999965</v>
      </c>
      <c r="F11" s="11">
        <f t="shared" si="3"/>
        <v>2274.6043999999965</v>
      </c>
      <c r="G11" s="11">
        <f>+SUMSQ($E$5:E11)/B11</f>
        <v>38224323.53529463</v>
      </c>
      <c r="H11" s="11">
        <f>+SUM($F$5:F11)/B11</f>
        <v>5244.1030857142841</v>
      </c>
      <c r="I11" s="4">
        <f t="shared" si="0"/>
        <v>2.8863706617600364</v>
      </c>
      <c r="J11" s="39">
        <f>+SUM($I$5:I11)/B11</f>
        <v>6.9981680834882525</v>
      </c>
      <c r="K11" s="5">
        <f>+SUM($E$5:E11)/H11</f>
        <v>2.3297870008090928</v>
      </c>
      <c r="L11" s="71"/>
      <c r="M11" s="71"/>
      <c r="N11" s="71"/>
    </row>
    <row r="12" spans="1:14" x14ac:dyDescent="0.25">
      <c r="A12" s="216"/>
      <c r="B12" s="41">
        <v>8</v>
      </c>
      <c r="C12" s="42">
        <v>86227</v>
      </c>
      <c r="D12" s="11">
        <f t="shared" si="1"/>
        <v>81654.345600000001</v>
      </c>
      <c r="E12" s="11">
        <f t="shared" si="2"/>
        <v>-4572.6543999999994</v>
      </c>
      <c r="F12" s="11">
        <f t="shared" si="3"/>
        <v>4572.6543999999994</v>
      </c>
      <c r="G12" s="11">
        <f>+SUMSQ($E$5:E12)/B12</f>
        <v>36059929.126112714</v>
      </c>
      <c r="H12" s="11">
        <f>+SUM($F$5:F12)/B12</f>
        <v>5160.1719999999987</v>
      </c>
      <c r="I12" s="4">
        <f t="shared" si="0"/>
        <v>5.303042434504273</v>
      </c>
      <c r="J12" s="39">
        <f>+SUM($I$5:I12)/B12</f>
        <v>6.7862773773652547</v>
      </c>
      <c r="K12" s="5">
        <f>+SUM($E$5:E12)/H12</f>
        <v>1.4815375921577796</v>
      </c>
      <c r="L12" s="71"/>
      <c r="M12" s="71"/>
      <c r="N12" s="71"/>
    </row>
    <row r="13" spans="1:14" x14ac:dyDescent="0.25">
      <c r="A13" s="216"/>
      <c r="B13" s="41">
        <v>9</v>
      </c>
      <c r="C13" s="42">
        <v>84956</v>
      </c>
      <c r="D13" s="11">
        <f t="shared" si="1"/>
        <v>82130.701199999996</v>
      </c>
      <c r="E13" s="11">
        <f t="shared" si="2"/>
        <v>-2825.2988000000041</v>
      </c>
      <c r="F13" s="11">
        <f t="shared" si="3"/>
        <v>2825.2988000000041</v>
      </c>
      <c r="G13" s="11">
        <f>+SUMSQ($E$5:E13)/B13</f>
        <v>32940194.035353687</v>
      </c>
      <c r="H13" s="11">
        <f>+SUM($F$5:F13)/B13</f>
        <v>4900.7416444444434</v>
      </c>
      <c r="I13" s="4">
        <f t="shared" si="0"/>
        <v>3.3256024294929185</v>
      </c>
      <c r="J13" s="39">
        <f>+SUM($I$5:I13)/B13</f>
        <v>6.4017579387127732</v>
      </c>
      <c r="K13" s="5">
        <f>+SUM($E$5:E13)/H13</f>
        <v>0.98346135129642331</v>
      </c>
      <c r="L13" s="71"/>
      <c r="M13" s="71"/>
      <c r="N13" s="71"/>
    </row>
    <row r="14" spans="1:14" x14ac:dyDescent="0.25">
      <c r="A14" s="216"/>
      <c r="B14" s="41">
        <v>10</v>
      </c>
      <c r="C14" s="42">
        <v>94954</v>
      </c>
      <c r="D14" s="11">
        <f t="shared" si="1"/>
        <v>82518</v>
      </c>
      <c r="E14" s="11">
        <f t="shared" si="2"/>
        <v>-12436</v>
      </c>
      <c r="F14" s="11">
        <f t="shared" si="3"/>
        <v>12436</v>
      </c>
      <c r="G14" s="11">
        <f>+SUMSQ($E$5:E14)/B14</f>
        <v>45111584.231818318</v>
      </c>
      <c r="H14" s="11">
        <f>+SUM($F$5:F14)/B14</f>
        <v>5654.2674799999995</v>
      </c>
      <c r="I14" s="4">
        <f t="shared" si="0"/>
        <v>13.096867957116077</v>
      </c>
      <c r="J14" s="39">
        <f>+SUM($I$5:I14)/B14</f>
        <v>7.0712689405531037</v>
      </c>
      <c r="K14" s="5">
        <f>+SUM($E$5:E14)/H14</f>
        <v>-1.3470020700188052</v>
      </c>
      <c r="L14" s="71"/>
      <c r="M14" s="71"/>
      <c r="N14" s="71"/>
    </row>
    <row r="15" spans="1:14" x14ac:dyDescent="0.25">
      <c r="A15" s="216"/>
      <c r="B15" s="41">
        <v>11</v>
      </c>
      <c r="C15" s="42">
        <v>76328</v>
      </c>
      <c r="D15" s="11">
        <f t="shared" si="1"/>
        <v>82825.570800000001</v>
      </c>
      <c r="E15" s="11">
        <f t="shared" si="2"/>
        <v>6497.5708000000013</v>
      </c>
      <c r="F15" s="11">
        <f t="shared" si="3"/>
        <v>6497.5708000000013</v>
      </c>
      <c r="G15" s="11">
        <f>+SUMSQ($E$5:E15)/B15</f>
        <v>44848569.87447235</v>
      </c>
      <c r="H15" s="11">
        <f>+SUM($F$5:F15)/B15</f>
        <v>5730.9314181818181</v>
      </c>
      <c r="I15" s="4">
        <f t="shared" si="0"/>
        <v>8.5126962582538539</v>
      </c>
      <c r="J15" s="39">
        <f>+SUM($I$5:I15)/B15</f>
        <v>7.2023077876168085</v>
      </c>
      <c r="K15" s="5">
        <f>+SUM($E$5:E15)/H15</f>
        <v>-0.19521071155217898</v>
      </c>
      <c r="L15" s="71"/>
      <c r="M15" s="71"/>
      <c r="N15" s="71"/>
    </row>
    <row r="16" spans="1:14" x14ac:dyDescent="0.25">
      <c r="A16" s="217"/>
      <c r="B16" s="41">
        <v>12</v>
      </c>
      <c r="C16" s="42">
        <v>99995</v>
      </c>
      <c r="D16" s="11">
        <f t="shared" si="1"/>
        <v>83062.742400000003</v>
      </c>
      <c r="E16" s="11">
        <f t="shared" si="2"/>
        <v>-16932.257599999997</v>
      </c>
      <c r="F16" s="11">
        <f t="shared" si="3"/>
        <v>16932.257599999997</v>
      </c>
      <c r="G16" s="11">
        <f>+SUMSQ($E$5:E16)/B16</f>
        <v>65002968.004329465</v>
      </c>
      <c r="H16" s="11">
        <f>+SUM($F$5:F16)/B16</f>
        <v>6664.375266666666</v>
      </c>
      <c r="I16" s="4">
        <f t="shared" si="0"/>
        <v>16.933104255212758</v>
      </c>
      <c r="J16" s="39">
        <f>+SUM($I$5:I16)/B16</f>
        <v>8.0132074932498032</v>
      </c>
      <c r="K16" s="5">
        <f>+SUM($E$5:E16)/H16</f>
        <v>-2.7085804861989131</v>
      </c>
      <c r="L16" s="71"/>
      <c r="M16" s="71"/>
      <c r="N16" s="71"/>
    </row>
    <row r="17" spans="1:14" x14ac:dyDescent="0.25">
      <c r="A17" s="215">
        <v>2022</v>
      </c>
      <c r="B17" s="41">
        <v>13</v>
      </c>
      <c r="C17" s="42">
        <v>78535</v>
      </c>
      <c r="D17" s="11">
        <f t="shared" si="1"/>
        <v>83238.843599999993</v>
      </c>
      <c r="E17" s="11">
        <f t="shared" si="2"/>
        <v>4703.8435999999929</v>
      </c>
      <c r="F17" s="11">
        <f t="shared" si="3"/>
        <v>4703.8435999999929</v>
      </c>
      <c r="G17" s="11">
        <f>+SUMSQ($E$5:E17)/B17</f>
        <v>61704750.82040111</v>
      </c>
      <c r="H17" s="11">
        <f>+SUM($F$5:F17)/B17</f>
        <v>6513.5651384615376</v>
      </c>
      <c r="I17" s="4">
        <f t="shared" si="0"/>
        <v>5.989486980327233</v>
      </c>
      <c r="J17" s="39">
        <f>+SUM($I$5:I17)/B17</f>
        <v>7.8575366845634518</v>
      </c>
      <c r="K17" s="5">
        <f>+SUM($E$5:E17)/H17</f>
        <v>-2.0491317606063779</v>
      </c>
      <c r="L17" s="71"/>
      <c r="M17" s="71"/>
      <c r="N17" s="71"/>
    </row>
    <row r="18" spans="1:14" x14ac:dyDescent="0.25">
      <c r="A18" s="216"/>
      <c r="B18" s="41">
        <v>14</v>
      </c>
      <c r="C18" s="42">
        <v>77580</v>
      </c>
      <c r="D18" s="11">
        <f t="shared" si="1"/>
        <v>83363.203200000004</v>
      </c>
      <c r="E18" s="11">
        <f t="shared" si="2"/>
        <v>5783.2032000000036</v>
      </c>
      <c r="F18" s="11">
        <f t="shared" si="3"/>
        <v>5783.2032000000036</v>
      </c>
      <c r="G18" s="11">
        <f>+SUMSQ($E$5:E18)/B18</f>
        <v>59686228.565550335</v>
      </c>
      <c r="H18" s="11">
        <f>+SUM($F$5:F18)/B18</f>
        <v>6461.3964285714274</v>
      </c>
      <c r="I18" s="4">
        <f t="shared" si="0"/>
        <v>7.4545027068832219</v>
      </c>
      <c r="J18" s="39">
        <f>+SUM($I$5:I18)/B18</f>
        <v>7.8287485433005779</v>
      </c>
      <c r="K18" s="5">
        <f>+SUM($E$5:E18)/H18</f>
        <v>-1.170637041639055</v>
      </c>
      <c r="L18" s="71"/>
      <c r="M18" s="71"/>
      <c r="N18" s="71"/>
    </row>
    <row r="19" spans="1:14" x14ac:dyDescent="0.25">
      <c r="A19" s="216"/>
      <c r="B19" s="41">
        <v>15</v>
      </c>
      <c r="C19" s="42">
        <v>86508</v>
      </c>
      <c r="D19" s="11">
        <f t="shared" si="1"/>
        <v>83445.149999999994</v>
      </c>
      <c r="E19" s="11">
        <f t="shared" si="2"/>
        <v>-3062.8500000000058</v>
      </c>
      <c r="F19" s="11">
        <f t="shared" si="3"/>
        <v>3062.8500000000058</v>
      </c>
      <c r="G19" s="11">
        <f>+SUMSQ($E$5:E19)/B19</f>
        <v>56332550.002680317</v>
      </c>
      <c r="H19" s="11">
        <f>+SUM($F$5:F19)/B19</f>
        <v>6234.8266666666659</v>
      </c>
      <c r="I19" s="4">
        <f t="shared" si="0"/>
        <v>3.5405396032736922</v>
      </c>
      <c r="J19" s="39">
        <f>+SUM($I$5:I19)/B19</f>
        <v>7.5428679472987854</v>
      </c>
      <c r="K19" s="5">
        <f>+SUM($E$5:E19)/H19</f>
        <v>-1.7044258915511181</v>
      </c>
      <c r="L19" s="71"/>
      <c r="M19" s="71"/>
      <c r="N19" s="71"/>
    </row>
    <row r="20" spans="1:14" x14ac:dyDescent="0.25">
      <c r="A20" s="216"/>
      <c r="B20" s="41">
        <v>16</v>
      </c>
      <c r="C20" s="42">
        <v>72863</v>
      </c>
      <c r="D20" s="11">
        <f t="shared" si="1"/>
        <v>83494.012799999997</v>
      </c>
      <c r="E20" s="11">
        <f t="shared" si="2"/>
        <v>10631.012799999997</v>
      </c>
      <c r="F20" s="11">
        <f t="shared" si="3"/>
        <v>10631.012799999997</v>
      </c>
      <c r="G20" s="11">
        <f>+SUMSQ($E$5:E20)/B20</f>
        <v>59875417.699623033</v>
      </c>
      <c r="H20" s="11">
        <f>+SUM($F$5:F20)/B20</f>
        <v>6509.5882999999994</v>
      </c>
      <c r="I20" s="4">
        <f t="shared" si="0"/>
        <v>14.590413241288442</v>
      </c>
      <c r="J20" s="39">
        <f>+SUM($I$5:I20)/B20</f>
        <v>7.983339528173139</v>
      </c>
      <c r="K20" s="5">
        <f>+SUM($E$5:E20)/H20</f>
        <v>6.4716842384322912E-4</v>
      </c>
      <c r="L20" s="71"/>
      <c r="M20" s="71"/>
      <c r="N20" s="71"/>
    </row>
    <row r="21" spans="1:14" x14ac:dyDescent="0.25">
      <c r="A21" s="216"/>
      <c r="B21" s="41">
        <v>17</v>
      </c>
      <c r="C21" s="42">
        <v>66963</v>
      </c>
      <c r="D21" s="11">
        <f t="shared" si="1"/>
        <v>83519.1204</v>
      </c>
      <c r="E21" s="11">
        <f t="shared" si="2"/>
        <v>16556.1204</v>
      </c>
      <c r="F21" s="11">
        <f t="shared" si="3"/>
        <v>16556.1204</v>
      </c>
      <c r="G21" s="11">
        <f>+SUMSQ($E$5:E21)/B21</f>
        <v>72477165.052544981</v>
      </c>
      <c r="H21" s="11">
        <f>+SUM($F$5:F21)/B21</f>
        <v>7100.5607764705874</v>
      </c>
      <c r="I21" s="4">
        <f t="shared" si="0"/>
        <v>24.724281170198466</v>
      </c>
      <c r="J21" s="39">
        <f>+SUM($I$5:I21)/B21</f>
        <v>8.9681008012334527</v>
      </c>
      <c r="K21" s="5">
        <f>+SUM($E$5:E21)/H21</f>
        <v>2.3322570880424851</v>
      </c>
      <c r="L21" s="71"/>
      <c r="M21" s="71"/>
      <c r="N21" s="71"/>
    </row>
    <row r="22" spans="1:14" x14ac:dyDescent="0.25">
      <c r="A22" s="216"/>
      <c r="B22" s="41">
        <v>18</v>
      </c>
      <c r="C22" s="42">
        <v>79438</v>
      </c>
      <c r="D22" s="11">
        <f t="shared" si="1"/>
        <v>83529.801600000006</v>
      </c>
      <c r="E22" s="11">
        <f t="shared" si="2"/>
        <v>4091.8016000000061</v>
      </c>
      <c r="F22" s="11">
        <f t="shared" si="3"/>
        <v>4091.8016000000061</v>
      </c>
      <c r="G22" s="11">
        <f>+SUMSQ($E$5:E22)/B22</f>
        <v>69380813.679279298</v>
      </c>
      <c r="H22" s="11">
        <f>+SUM($F$5:F22)/B22</f>
        <v>6933.407488888889</v>
      </c>
      <c r="I22" s="4">
        <f t="shared" si="0"/>
        <v>5.1509373347768141</v>
      </c>
      <c r="J22" s="39">
        <f>+SUM($I$5:I22)/B22</f>
        <v>8.7560361642080835</v>
      </c>
      <c r="K22" s="5">
        <f>+SUM($E$5:E22)/H22</f>
        <v>2.9786414303639299</v>
      </c>
      <c r="L22" s="71"/>
      <c r="M22" s="71"/>
      <c r="N22" s="71"/>
    </row>
    <row r="23" spans="1:14" x14ac:dyDescent="0.25">
      <c r="A23" s="216"/>
      <c r="B23" s="41">
        <v>19</v>
      </c>
      <c r="C23" s="42">
        <v>77103</v>
      </c>
      <c r="D23" s="11">
        <f t="shared" si="1"/>
        <v>83535.385200000004</v>
      </c>
      <c r="E23" s="11">
        <f t="shared" si="2"/>
        <v>6432.3852000000043</v>
      </c>
      <c r="F23" s="11">
        <f t="shared" si="3"/>
        <v>6432.3852000000043</v>
      </c>
      <c r="G23" s="11">
        <f>+SUMSQ($E$5:E23)/B23</f>
        <v>67906853.978326663</v>
      </c>
      <c r="H23" s="11">
        <f>+SUM($F$5:F23)/B23</f>
        <v>6907.0378947368417</v>
      </c>
      <c r="I23" s="4">
        <f t="shared" si="0"/>
        <v>8.3425874479592288</v>
      </c>
      <c r="J23" s="39">
        <f>+SUM($I$5:I23)/B23</f>
        <v>8.7342757054581437</v>
      </c>
      <c r="K23" s="5">
        <f>+SUM($E$5:E23)/H23</f>
        <v>3.9212930944882141</v>
      </c>
      <c r="L23" s="71"/>
      <c r="M23" s="71"/>
      <c r="N23" s="71"/>
    </row>
    <row r="24" spans="1:14" x14ac:dyDescent="0.25">
      <c r="A24" s="216"/>
      <c r="B24" s="41">
        <v>20</v>
      </c>
      <c r="C24" s="42">
        <v>91471</v>
      </c>
      <c r="D24" s="11">
        <f t="shared" si="1"/>
        <v>83545.200000000012</v>
      </c>
      <c r="E24" s="11">
        <f t="shared" si="2"/>
        <v>-7925.7999999999884</v>
      </c>
      <c r="F24" s="11">
        <f t="shared" si="3"/>
        <v>7925.7999999999884</v>
      </c>
      <c r="G24" s="11">
        <f>+SUMSQ($E$5:E24)/B24</f>
        <v>67652426.561410323</v>
      </c>
      <c r="H24" s="11">
        <f>+SUM($F$5:F24)/B24</f>
        <v>6957.9759999999997</v>
      </c>
      <c r="I24" s="4">
        <f t="shared" si="0"/>
        <v>8.6648227307015215</v>
      </c>
      <c r="J24" s="39">
        <f>+SUM($I$5:I24)/B24</f>
        <v>8.7308030567203136</v>
      </c>
      <c r="K24" s="5">
        <f>+SUM($E$5:E24)/H24</f>
        <v>2.7534903828354684</v>
      </c>
      <c r="L24" s="71"/>
      <c r="M24" s="71"/>
      <c r="N24" s="71"/>
    </row>
    <row r="25" spans="1:14" x14ac:dyDescent="0.25">
      <c r="A25" s="216"/>
      <c r="B25" s="41">
        <v>21</v>
      </c>
      <c r="C25" s="42">
        <v>91148</v>
      </c>
      <c r="D25" s="11">
        <f t="shared" si="1"/>
        <v>83568.574800000002</v>
      </c>
      <c r="E25" s="11">
        <f t="shared" si="2"/>
        <v>-7579.4251999999979</v>
      </c>
      <c r="F25" s="11">
        <f t="shared" si="3"/>
        <v>7579.4251999999979</v>
      </c>
      <c r="G25" s="11">
        <f>+SUMSQ($E$5:E25)/B25</f>
        <v>67166486.551933408</v>
      </c>
      <c r="H25" s="11">
        <f>+SUM($F$5:F25)/B25</f>
        <v>6987.5688190476185</v>
      </c>
      <c r="I25" s="4">
        <f t="shared" si="0"/>
        <v>8.315514547768462</v>
      </c>
      <c r="J25" s="39">
        <f>+SUM($I$5:I25)/B25</f>
        <v>8.7110274134368915</v>
      </c>
      <c r="K25" s="5">
        <f>+SUM($E$5:E25)/H25</f>
        <v>1.6571278365710924</v>
      </c>
      <c r="L25" s="71"/>
      <c r="M25" s="71"/>
      <c r="N25" s="71"/>
    </row>
    <row r="26" spans="1:14" x14ac:dyDescent="0.25">
      <c r="A26" s="216"/>
      <c r="B26" s="41">
        <v>22</v>
      </c>
      <c r="C26" s="42">
        <v>107460</v>
      </c>
      <c r="D26" s="11">
        <f t="shared" si="1"/>
        <v>83614.838400000008</v>
      </c>
      <c r="E26" s="11">
        <f t="shared" si="2"/>
        <v>-23845.161599999992</v>
      </c>
      <c r="F26" s="11">
        <f t="shared" si="3"/>
        <v>23845.161599999992</v>
      </c>
      <c r="G26" s="11">
        <f>+SUMSQ($E$5:E26)/B26</f>
        <v>89958543.150941625</v>
      </c>
      <c r="H26" s="11">
        <f>+SUM($F$5:F26)/B26</f>
        <v>7753.8230363636358</v>
      </c>
      <c r="I26" s="4">
        <f t="shared" si="0"/>
        <v>22.189802345058617</v>
      </c>
      <c r="J26" s="39">
        <f>+SUM($I$5:I26)/B26</f>
        <v>9.3236990012378786</v>
      </c>
      <c r="K26" s="5">
        <f>+SUM($E$5:E26)/H26</f>
        <v>-1.5819121409498142</v>
      </c>
      <c r="L26" s="71"/>
      <c r="M26" s="71"/>
      <c r="N26" s="71"/>
    </row>
    <row r="27" spans="1:14" x14ac:dyDescent="0.25">
      <c r="A27" s="216"/>
      <c r="B27" s="41">
        <v>23</v>
      </c>
      <c r="C27" s="42">
        <v>77570</v>
      </c>
      <c r="D27" s="11">
        <f t="shared" si="1"/>
        <v>83693.319600000003</v>
      </c>
      <c r="E27" s="11">
        <f t="shared" si="2"/>
        <v>6123.3196000000025</v>
      </c>
      <c r="F27" s="11">
        <f t="shared" si="3"/>
        <v>6123.3196000000025</v>
      </c>
      <c r="G27" s="11">
        <f>+SUMSQ($E$5:E27)/B27</f>
        <v>87677521.401933044</v>
      </c>
      <c r="H27" s="11">
        <f>+SUM($F$5:F27)/B27</f>
        <v>7682.9315826086959</v>
      </c>
      <c r="I27" s="4">
        <f t="shared" si="0"/>
        <v>7.8939275493103036</v>
      </c>
      <c r="J27" s="39">
        <f>+SUM($I$5:I27)/B27</f>
        <v>9.2615350250671149</v>
      </c>
      <c r="K27" s="5">
        <f>+SUM($E$5:E27)/H27</f>
        <v>-0.79950564884691044</v>
      </c>
      <c r="L27" s="71"/>
      <c r="M27" s="71"/>
      <c r="N27" s="71"/>
    </row>
    <row r="28" spans="1:14" x14ac:dyDescent="0.25">
      <c r="A28" s="217"/>
      <c r="B28" s="41">
        <v>24</v>
      </c>
      <c r="C28" s="42">
        <v>89156</v>
      </c>
      <c r="D28" s="11">
        <f t="shared" si="1"/>
        <v>83813.347199999989</v>
      </c>
      <c r="E28" s="11">
        <f t="shared" si="2"/>
        <v>-5342.6528000000108</v>
      </c>
      <c r="F28" s="11">
        <f t="shared" si="3"/>
        <v>5342.6528000000108</v>
      </c>
      <c r="G28" s="11">
        <f>+SUMSQ($E$5:E28)/B28</f>
        <v>85213622.132741988</v>
      </c>
      <c r="H28" s="11">
        <f>+SUM($F$5:F28)/B28</f>
        <v>7585.4199666666673</v>
      </c>
      <c r="I28" s="4">
        <f t="shared" si="0"/>
        <v>5.9924770065951938</v>
      </c>
      <c r="J28" s="39">
        <f>+SUM($I$5:I28)/B28</f>
        <v>9.1253242742974496</v>
      </c>
      <c r="K28" s="5">
        <f>+SUM($E$5:E28)/H28</f>
        <v>-1.5141152435159166</v>
      </c>
      <c r="L28" s="71"/>
      <c r="M28" s="71"/>
      <c r="N28" s="71"/>
    </row>
    <row r="29" spans="1:14" x14ac:dyDescent="0.25">
      <c r="A29" s="215">
        <v>2023</v>
      </c>
      <c r="B29" s="41">
        <v>25</v>
      </c>
      <c r="C29" s="42">
        <v>88182</v>
      </c>
      <c r="D29" s="11">
        <f t="shared" si="1"/>
        <v>83984.25</v>
      </c>
      <c r="E29" s="11">
        <f t="shared" si="2"/>
        <v>-4197.75</v>
      </c>
      <c r="F29" s="11">
        <f t="shared" si="3"/>
        <v>4197.75</v>
      </c>
      <c r="G29" s="11">
        <f>+SUMSQ($E$5:E29)/B29</f>
        <v>82509921.449932307</v>
      </c>
      <c r="H29" s="11">
        <f>+SUM($F$5:F29)/B29</f>
        <v>7449.913168</v>
      </c>
      <c r="I29" s="4">
        <f t="shared" si="0"/>
        <v>4.760325236442811</v>
      </c>
      <c r="J29" s="39">
        <f>+SUM($I$5:I29)/B29</f>
        <v>8.9507243127832652</v>
      </c>
      <c r="K29" s="5">
        <f>+SUM($E$5:E29)/H29</f>
        <v>-2.1051184955233824</v>
      </c>
      <c r="L29" s="71"/>
      <c r="M29" s="71"/>
      <c r="N29" s="71"/>
    </row>
    <row r="30" spans="1:14" x14ac:dyDescent="0.25">
      <c r="A30" s="216"/>
      <c r="B30" s="41">
        <v>26</v>
      </c>
      <c r="C30" s="42">
        <v>79803</v>
      </c>
      <c r="D30" s="11">
        <f t="shared" si="1"/>
        <v>84215.356800000009</v>
      </c>
      <c r="E30" s="11">
        <f t="shared" si="2"/>
        <v>4412.3568000000087</v>
      </c>
      <c r="F30" s="11">
        <f t="shared" si="3"/>
        <v>4412.3568000000087</v>
      </c>
      <c r="G30" s="11">
        <f>+SUMSQ($E$5:E30)/B30</f>
        <v>80085266.491492853</v>
      </c>
      <c r="H30" s="11">
        <f>+SUM($F$5:F30)/B30</f>
        <v>7333.0840769230772</v>
      </c>
      <c r="I30" s="4">
        <f t="shared" si="0"/>
        <v>5.5290613134844664</v>
      </c>
      <c r="J30" s="39">
        <f>+SUM($I$5:I30)/B30</f>
        <v>8.8191218897333119</v>
      </c>
      <c r="K30" s="5">
        <f>+SUM($E$5:E30)/H30</f>
        <v>-1.5369513129500445</v>
      </c>
      <c r="L30" s="71"/>
      <c r="M30" s="71"/>
      <c r="N30" s="71"/>
    </row>
    <row r="31" spans="1:14" x14ac:dyDescent="0.25">
      <c r="A31" s="216"/>
      <c r="B31" s="41">
        <v>27</v>
      </c>
      <c r="C31" s="42">
        <v>89841</v>
      </c>
      <c r="D31" s="11">
        <f t="shared" si="1"/>
        <v>84515.996400000004</v>
      </c>
      <c r="E31" s="11">
        <f t="shared" si="2"/>
        <v>-5325.0035999999964</v>
      </c>
      <c r="F31" s="11">
        <f t="shared" si="3"/>
        <v>5325.0035999999964</v>
      </c>
      <c r="G31" s="11">
        <f>+SUMSQ($E$5:E31)/B31</f>
        <v>78169355.263660267</v>
      </c>
      <c r="H31" s="11">
        <f>+SUM($F$5:F31)/B31</f>
        <v>7258.7107259259265</v>
      </c>
      <c r="I31" s="4">
        <f t="shared" si="0"/>
        <v>5.9271419507797063</v>
      </c>
      <c r="J31" s="39">
        <f>+SUM($I$5:I31)/B31</f>
        <v>8.7120115216239196</v>
      </c>
      <c r="K31" s="5">
        <f>+SUM($E$5:E31)/H31</f>
        <v>-2.2863008909730369</v>
      </c>
      <c r="L31" s="71"/>
      <c r="M31" s="71"/>
      <c r="N31" s="71"/>
    </row>
    <row r="32" spans="1:14" x14ac:dyDescent="0.25">
      <c r="A32" s="216"/>
      <c r="B32" s="41">
        <v>28</v>
      </c>
      <c r="C32" s="42">
        <v>77480</v>
      </c>
      <c r="D32" s="11">
        <f t="shared" si="1"/>
        <v>84895.497600000002</v>
      </c>
      <c r="E32" s="11">
        <f t="shared" si="2"/>
        <v>7415.4976000000024</v>
      </c>
      <c r="F32" s="11">
        <f t="shared" si="3"/>
        <v>7415.4976000000024</v>
      </c>
      <c r="G32" s="11">
        <f>+SUMSQ($E$5:E32)/B32</f>
        <v>77341507.027658328</v>
      </c>
      <c r="H32" s="11">
        <f>+SUM($F$5:F32)/B32</f>
        <v>7264.3102571428581</v>
      </c>
      <c r="I32" s="4">
        <f t="shared" si="0"/>
        <v>9.5708538977800757</v>
      </c>
      <c r="J32" s="39">
        <f>+SUM($I$5:I32)/B32</f>
        <v>8.7426844636294962</v>
      </c>
      <c r="K32" s="5">
        <f>+SUM($E$5:E32)/H32</f>
        <v>-1.2637262004294716</v>
      </c>
      <c r="L32" s="71"/>
      <c r="M32" s="71"/>
      <c r="N32" s="71"/>
    </row>
    <row r="33" spans="1:14" x14ac:dyDescent="0.25">
      <c r="A33" s="216"/>
      <c r="B33" s="41">
        <v>29</v>
      </c>
      <c r="C33" s="42">
        <v>77263</v>
      </c>
      <c r="D33" s="11">
        <f t="shared" si="1"/>
        <v>85363.189199999993</v>
      </c>
      <c r="E33" s="11">
        <f t="shared" si="2"/>
        <v>8100.1891999999934</v>
      </c>
      <c r="F33" s="11">
        <f t="shared" si="3"/>
        <v>8100.1891999999934</v>
      </c>
      <c r="G33" s="11">
        <f>+SUMSQ($E$5:E33)/B33</f>
        <v>76937077.994835511</v>
      </c>
      <c r="H33" s="11">
        <f>+SUM($F$5:F33)/B33</f>
        <v>7293.1336689655172</v>
      </c>
      <c r="I33" s="4">
        <f t="shared" si="0"/>
        <v>10.483917528441806</v>
      </c>
      <c r="J33" s="39">
        <f>+SUM($I$5:I33)/B33</f>
        <v>8.8027269831057815</v>
      </c>
      <c r="K33" s="5">
        <f>+SUM($E$5:E33)/H33</f>
        <v>-0.14807215238565166</v>
      </c>
      <c r="L33" s="71"/>
      <c r="M33" s="71"/>
      <c r="N33" s="71"/>
    </row>
    <row r="34" spans="1:14" x14ac:dyDescent="0.25">
      <c r="A34" s="216"/>
      <c r="B34" s="41">
        <v>30</v>
      </c>
      <c r="C34" s="42">
        <v>83227</v>
      </c>
      <c r="D34" s="11">
        <f t="shared" si="1"/>
        <v>85928.4</v>
      </c>
      <c r="E34" s="11">
        <f t="shared" si="2"/>
        <v>2701.3999999999942</v>
      </c>
      <c r="F34" s="11">
        <f t="shared" si="3"/>
        <v>2701.3999999999942</v>
      </c>
      <c r="G34" s="11">
        <f>+SUMSQ($E$5:E34)/B34</f>
        <v>74615760.79367432</v>
      </c>
      <c r="H34" s="11">
        <f>+SUM($F$5:F34)/B34</f>
        <v>7140.0758800000003</v>
      </c>
      <c r="I34" s="4">
        <f t="shared" si="0"/>
        <v>3.2458216684489338</v>
      </c>
      <c r="J34" s="39">
        <f>+SUM($I$5:I34)/B34</f>
        <v>8.6174968059505535</v>
      </c>
      <c r="K34" s="5">
        <f>+SUM($E$5:E34)/H34</f>
        <v>0.22709702631339615</v>
      </c>
      <c r="L34" s="71"/>
      <c r="M34" s="71"/>
      <c r="N34" s="71"/>
    </row>
    <row r="35" spans="1:14" x14ac:dyDescent="0.25">
      <c r="A35" s="216"/>
      <c r="B35" s="41">
        <v>31</v>
      </c>
      <c r="C35" s="42">
        <v>81132</v>
      </c>
      <c r="D35" s="11">
        <f t="shared" si="1"/>
        <v>86600.458799999993</v>
      </c>
      <c r="E35" s="11">
        <f t="shared" si="2"/>
        <v>5468.4587999999931</v>
      </c>
      <c r="F35" s="11">
        <f t="shared" si="3"/>
        <v>5468.4587999999931</v>
      </c>
      <c r="G35" s="11">
        <f>+SUMSQ($E$5:E35)/B35</f>
        <v>73173447.272823453</v>
      </c>
      <c r="H35" s="11">
        <f>+SUM($F$5:F35)/B35</f>
        <v>7086.1527483870968</v>
      </c>
      <c r="I35" s="4">
        <f t="shared" si="0"/>
        <v>6.74019967460434</v>
      </c>
      <c r="J35" s="39">
        <f>+SUM($I$5:I35)/B35</f>
        <v>8.5569388339716426</v>
      </c>
      <c r="K35" s="5">
        <f>+SUM($E$5:E35)/H35</f>
        <v>1.0005356999415185</v>
      </c>
      <c r="L35" s="71"/>
      <c r="M35" s="71"/>
      <c r="N35" s="71"/>
    </row>
    <row r="36" spans="1:14" x14ac:dyDescent="0.25">
      <c r="A36" s="216"/>
      <c r="B36" s="41">
        <v>32</v>
      </c>
      <c r="C36" s="42">
        <v>88863</v>
      </c>
      <c r="D36" s="11">
        <f t="shared" si="1"/>
        <v>87388.694400000008</v>
      </c>
      <c r="E36" s="11">
        <f t="shared" si="2"/>
        <v>-1474.3055999999924</v>
      </c>
      <c r="F36" s="11">
        <f t="shared" si="3"/>
        <v>1474.3055999999924</v>
      </c>
      <c r="G36" s="11">
        <f>+SUMSQ($E$5:E36)/B36</f>
        <v>70954701.32686621</v>
      </c>
      <c r="H36" s="11">
        <f>+SUM($F$5:F36)/B36</f>
        <v>6910.7825249999996</v>
      </c>
      <c r="I36" s="4">
        <f t="shared" si="0"/>
        <v>1.6590770061780409</v>
      </c>
      <c r="J36" s="39">
        <f>+SUM($I$5:I36)/B36</f>
        <v>8.3413806518530933</v>
      </c>
      <c r="K36" s="5">
        <f>+SUM($E$5:E36)/H36</f>
        <v>0.81259150894782439</v>
      </c>
      <c r="L36" s="71"/>
      <c r="M36" s="71"/>
      <c r="N36" s="71"/>
    </row>
    <row r="37" spans="1:14" x14ac:dyDescent="0.25">
      <c r="A37" s="216"/>
      <c r="B37" s="41">
        <v>33</v>
      </c>
      <c r="C37" s="42">
        <v>89823</v>
      </c>
      <c r="D37" s="11">
        <f t="shared" si="1"/>
        <v>88302.435599999997</v>
      </c>
      <c r="E37" s="11">
        <f t="shared" si="2"/>
        <v>-1520.5644000000029</v>
      </c>
      <c r="F37" s="11">
        <f t="shared" si="3"/>
        <v>1520.5644000000029</v>
      </c>
      <c r="G37" s="11">
        <f>+SUMSQ($E$5:E37)/B37</f>
        <v>68874622.986492902</v>
      </c>
      <c r="H37" s="11">
        <f>+SUM($F$5:F37)/B37</f>
        <v>6747.4425818181817</v>
      </c>
      <c r="I37" s="4">
        <f t="shared" si="0"/>
        <v>1.6928452623492902</v>
      </c>
      <c r="J37" s="39">
        <f>+SUM($I$5:I37)/B37</f>
        <v>8.1399098824741909</v>
      </c>
      <c r="K37" s="5">
        <f>+SUM($E$5:E37)/H37</f>
        <v>0.6069082841897312</v>
      </c>
      <c r="L37" s="71"/>
      <c r="M37" s="71"/>
      <c r="N37" s="71"/>
    </row>
    <row r="38" spans="1:14" x14ac:dyDescent="0.25">
      <c r="A38" s="216"/>
      <c r="B38" s="41">
        <v>34</v>
      </c>
      <c r="C38" s="42">
        <v>93478</v>
      </c>
      <c r="D38" s="11">
        <f t="shared" si="1"/>
        <v>89351.011200000008</v>
      </c>
      <c r="E38" s="11">
        <f t="shared" si="2"/>
        <v>-4126.9887999999919</v>
      </c>
      <c r="F38" s="11">
        <f t="shared" si="3"/>
        <v>4126.9887999999919</v>
      </c>
      <c r="G38" s="11">
        <f>+SUMSQ($E$5:E38)/B38</f>
        <v>67349841.032635048</v>
      </c>
      <c r="H38" s="11">
        <f>+SUM($F$5:F38)/B38</f>
        <v>6670.3704117647058</v>
      </c>
      <c r="I38" s="4">
        <f t="shared" si="0"/>
        <v>4.4149305718992613</v>
      </c>
      <c r="J38" s="39">
        <f>+SUM($I$5:I38)/B38</f>
        <v>8.0303516674572819</v>
      </c>
      <c r="K38" s="5">
        <f>+SUM($E$5:E38)/H38</f>
        <v>-4.7838422801391124E-3</v>
      </c>
      <c r="L38" s="71"/>
      <c r="M38" s="71"/>
      <c r="N38" s="71"/>
    </row>
    <row r="39" spans="1:14" x14ac:dyDescent="0.25">
      <c r="A39" s="216"/>
      <c r="B39" s="41">
        <v>35</v>
      </c>
      <c r="C39" s="42">
        <v>83241</v>
      </c>
      <c r="D39" s="11">
        <f t="shared" si="1"/>
        <v>90543.750000000015</v>
      </c>
      <c r="E39" s="11">
        <f t="shared" si="2"/>
        <v>7302.7500000000146</v>
      </c>
      <c r="F39" s="11">
        <f t="shared" si="3"/>
        <v>7302.7500000000146</v>
      </c>
      <c r="G39" s="11">
        <f>+SUMSQ($E$5:E39)/B39</f>
        <v>66949278.647774041</v>
      </c>
      <c r="H39" s="11">
        <f>+SUM($F$5:F39)/B39</f>
        <v>6688.4383999999991</v>
      </c>
      <c r="I39" s="4">
        <f t="shared" si="0"/>
        <v>8.7730205067214637</v>
      </c>
      <c r="J39" s="39">
        <f>+SUM($I$5:I39)/B39</f>
        <v>8.0515707771505447</v>
      </c>
      <c r="K39" s="5">
        <f>+SUM($E$5:E39)/H39</f>
        <v>1.08707587110319</v>
      </c>
      <c r="L39" s="71"/>
      <c r="M39" s="71"/>
      <c r="N39" s="71"/>
    </row>
    <row r="40" spans="1:14" x14ac:dyDescent="0.25">
      <c r="A40" s="216"/>
      <c r="B40" s="58">
        <v>36</v>
      </c>
      <c r="C40" s="66">
        <v>99145</v>
      </c>
      <c r="D40" s="67">
        <f t="shared" si="1"/>
        <v>91889.980800000019</v>
      </c>
      <c r="E40" s="11">
        <f>+D40-C40</f>
        <v>-7255.0191999999806</v>
      </c>
      <c r="F40" s="11">
        <f t="shared" si="3"/>
        <v>7255.0191999999806</v>
      </c>
      <c r="G40" s="31">
        <f>+SUMSQ($E$5:E40)/B40</f>
        <v>66551668.229568325</v>
      </c>
      <c r="H40" s="38">
        <f>+SUM($F$5:F40)/B40</f>
        <v>6704.1767555555543</v>
      </c>
      <c r="I40" s="4">
        <f t="shared" si="0"/>
        <v>7.3175845478843922</v>
      </c>
      <c r="J40" s="32">
        <f>+SUM($I$5:I40)/B40</f>
        <v>8.0311822707820397</v>
      </c>
      <c r="K40" s="40">
        <f>+SUM($E$5:E40)/H40</f>
        <v>2.3598423157526016E-3</v>
      </c>
      <c r="L40" s="71"/>
      <c r="M40" s="71"/>
      <c r="N40" s="71"/>
    </row>
    <row r="41" spans="1:14" x14ac:dyDescent="0.25">
      <c r="A41" s="3">
        <v>2024</v>
      </c>
      <c r="B41" s="3">
        <v>37</v>
      </c>
      <c r="C41" s="68"/>
      <c r="D41" s="25">
        <f t="shared" si="1"/>
        <v>93399.032400000011</v>
      </c>
      <c r="E41" s="72"/>
      <c r="F41" s="22">
        <f>+AVERAGE(F5:F40)</f>
        <v>6704.1767555555543</v>
      </c>
      <c r="G41" s="72"/>
      <c r="H41" s="72"/>
      <c r="I41" s="73">
        <f>+AVERAGE(I5:I40)</f>
        <v>8.0311822707820397</v>
      </c>
      <c r="J41" s="68"/>
      <c r="K41" s="68"/>
      <c r="L41" s="71"/>
      <c r="M41" s="71"/>
      <c r="N41" s="71"/>
    </row>
    <row r="44" spans="1:14" x14ac:dyDescent="0.25">
      <c r="B44" s="34"/>
      <c r="C44" s="16"/>
      <c r="G44" s="2"/>
      <c r="H44" s="2"/>
    </row>
    <row r="45" spans="1:14" x14ac:dyDescent="0.25">
      <c r="B45" s="34"/>
      <c r="C45" s="16"/>
      <c r="G45" s="27"/>
    </row>
    <row r="46" spans="1:14" x14ac:dyDescent="0.25">
      <c r="B46" s="34"/>
      <c r="C46" s="17"/>
      <c r="G46" s="15"/>
      <c r="H46" s="27"/>
    </row>
  </sheetData>
  <mergeCells count="4">
    <mergeCell ref="A5:A16"/>
    <mergeCell ref="A17:A28"/>
    <mergeCell ref="A29:A40"/>
    <mergeCell ref="A1:N1"/>
  </mergeCells>
  <conditionalFormatting sqref="K5:K40">
    <cfRule type="colorScale" priority="1">
      <colorScale>
        <cfvo type="min"/>
        <cfvo type="percentile" val="50"/>
        <cfvo type="max"/>
        <color theme="0"/>
        <color theme="5" tint="0.79998168889431442"/>
        <color theme="3" tint="9.9978637043366805E-2"/>
      </colorScale>
    </cfRule>
    <cfRule type="colorScale" priority="2">
      <colorScale>
        <cfvo type="min"/>
        <cfvo type="percentile" val="50"/>
        <cfvo type="max"/>
        <color theme="5" tint="0.79998168889431442"/>
        <color rgb="FFFFEB84"/>
        <color theme="9" tint="-0.249977111117893"/>
      </colorScale>
    </cfRule>
    <cfRule type="colorScale" priority="3">
      <colorScale>
        <cfvo type="min"/>
        <cfvo type="percentile" val="50"/>
        <cfvo type="max"/>
        <color theme="8" tint="0.79998168889431442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785C-1838-4DB1-9ED1-31CC0EDEBF24}">
  <dimension ref="A1:O41"/>
  <sheetViews>
    <sheetView zoomScale="73" zoomScaleNormal="73" workbookViewId="0">
      <selection activeCell="O10" sqref="N5:O10"/>
    </sheetView>
  </sheetViews>
  <sheetFormatPr baseColWidth="10" defaultColWidth="9.140625" defaultRowHeight="15" x14ac:dyDescent="0.25"/>
  <cols>
    <col min="1" max="2" width="9.140625" style="2"/>
    <col min="3" max="5" width="16.85546875" style="2" bestFit="1" customWidth="1"/>
    <col min="6" max="6" width="25.140625" style="2" bestFit="1" customWidth="1"/>
    <col min="7" max="7" width="16.85546875" style="2" bestFit="1" customWidth="1"/>
    <col min="8" max="8" width="25.140625" style="2" bestFit="1" customWidth="1"/>
    <col min="9" max="9" width="15.140625" style="2" bestFit="1" customWidth="1"/>
    <col min="10" max="10" width="9.140625" style="2"/>
    <col min="11" max="11" width="13" style="2" customWidth="1"/>
    <col min="12" max="12" width="12.28515625" style="2" customWidth="1"/>
    <col min="13" max="13" width="9.140625" style="2"/>
    <col min="14" max="14" width="10.7109375" style="2" bestFit="1" customWidth="1"/>
    <col min="15" max="15" width="13" style="2" bestFit="1" customWidth="1"/>
    <col min="16" max="16384" width="9.140625" style="2"/>
  </cols>
  <sheetData>
    <row r="1" spans="1:15" ht="27" customHeight="1" x14ac:dyDescent="0.25">
      <c r="A1" s="212" t="s">
        <v>62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4"/>
    </row>
    <row r="2" spans="1:15" ht="40.5" customHeight="1" x14ac:dyDescent="0.25">
      <c r="A2" s="50"/>
      <c r="B2" s="91"/>
      <c r="C2" s="50"/>
      <c r="D2" s="51"/>
      <c r="E2" s="50"/>
      <c r="F2" s="50" t="s">
        <v>36</v>
      </c>
      <c r="G2" s="50" t="s">
        <v>27</v>
      </c>
      <c r="H2" s="50"/>
      <c r="I2" s="50"/>
      <c r="J2" s="51" t="s">
        <v>28</v>
      </c>
      <c r="K2" s="50"/>
      <c r="L2" s="82"/>
      <c r="M2" s="86"/>
      <c r="N2" s="87"/>
      <c r="O2" s="88"/>
    </row>
    <row r="3" spans="1:15" ht="60" x14ac:dyDescent="0.25">
      <c r="A3" s="52"/>
      <c r="B3" s="91" t="s">
        <v>0</v>
      </c>
      <c r="C3" s="50" t="s">
        <v>24</v>
      </c>
      <c r="D3" s="76" t="s">
        <v>42</v>
      </c>
      <c r="E3" s="50" t="s">
        <v>35</v>
      </c>
      <c r="F3" s="50" t="s">
        <v>26</v>
      </c>
      <c r="G3" s="50" t="s">
        <v>30</v>
      </c>
      <c r="H3" s="50" t="s">
        <v>32</v>
      </c>
      <c r="I3" s="50" t="s">
        <v>31</v>
      </c>
      <c r="J3" s="50" t="s">
        <v>37</v>
      </c>
      <c r="K3" s="50" t="s">
        <v>33</v>
      </c>
      <c r="L3" s="82" t="s">
        <v>29</v>
      </c>
      <c r="M3" s="89"/>
      <c r="N3" s="77"/>
      <c r="O3" s="90"/>
    </row>
    <row r="4" spans="1:15" x14ac:dyDescent="0.25">
      <c r="A4" s="51" t="s">
        <v>20</v>
      </c>
      <c r="B4" s="92" t="s">
        <v>25</v>
      </c>
      <c r="C4" s="51" t="s">
        <v>46</v>
      </c>
      <c r="D4" s="51" t="s">
        <v>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40</v>
      </c>
      <c r="K4" s="51" t="s">
        <v>8</v>
      </c>
      <c r="L4" s="83" t="s">
        <v>9</v>
      </c>
      <c r="M4" s="89"/>
      <c r="N4" s="77"/>
      <c r="O4" s="90"/>
    </row>
    <row r="5" spans="1:15" x14ac:dyDescent="0.25">
      <c r="A5" s="222">
        <v>2021</v>
      </c>
      <c r="B5" s="93">
        <v>1</v>
      </c>
      <c r="C5" s="20">
        <v>75754</v>
      </c>
      <c r="D5" s="11"/>
      <c r="E5" s="11"/>
      <c r="F5" s="11"/>
      <c r="G5" s="11"/>
      <c r="H5" s="11"/>
      <c r="I5" s="11"/>
      <c r="J5" s="3"/>
      <c r="K5" s="3"/>
      <c r="L5" s="59"/>
      <c r="M5" s="89"/>
      <c r="N5" s="28" t="s">
        <v>11</v>
      </c>
      <c r="O5" s="12">
        <f>+E41</f>
        <v>91421.75</v>
      </c>
    </row>
    <row r="6" spans="1:15" x14ac:dyDescent="0.25">
      <c r="A6" s="223"/>
      <c r="B6" s="94">
        <v>2</v>
      </c>
      <c r="C6" s="20">
        <v>80164</v>
      </c>
      <c r="D6" s="11"/>
      <c r="E6" s="11"/>
      <c r="F6" s="11"/>
      <c r="G6" s="11"/>
      <c r="H6" s="11"/>
      <c r="I6" s="11"/>
      <c r="J6" s="3"/>
      <c r="K6" s="3"/>
      <c r="L6" s="59"/>
      <c r="M6" s="89"/>
      <c r="N6" s="28" t="s">
        <v>7</v>
      </c>
      <c r="O6" s="12">
        <f>+I40</f>
        <v>8337.21875</v>
      </c>
    </row>
    <row r="7" spans="1:15" x14ac:dyDescent="0.25">
      <c r="A7" s="223"/>
      <c r="B7" s="94">
        <v>3</v>
      </c>
      <c r="C7" s="20">
        <v>85384</v>
      </c>
      <c r="D7" s="11"/>
      <c r="E7" s="11"/>
      <c r="F7" s="11"/>
      <c r="G7" s="11"/>
      <c r="H7" s="11"/>
      <c r="I7" s="11"/>
      <c r="J7" s="3"/>
      <c r="K7" s="3"/>
      <c r="L7" s="59"/>
      <c r="M7" s="89"/>
      <c r="N7" s="29" t="s">
        <v>8</v>
      </c>
      <c r="O7" s="26">
        <f>+K40</f>
        <v>9.7996533775769361</v>
      </c>
    </row>
    <row r="8" spans="1:15" x14ac:dyDescent="0.25">
      <c r="A8" s="223"/>
      <c r="B8" s="94">
        <v>4</v>
      </c>
      <c r="C8" s="20">
        <v>68375</v>
      </c>
      <c r="D8" s="11">
        <f>+AVERAGE(C5:C8)</f>
        <v>77419.25</v>
      </c>
      <c r="E8" s="11"/>
      <c r="F8" s="11"/>
      <c r="G8" s="11"/>
      <c r="H8" s="11"/>
      <c r="I8" s="11"/>
      <c r="J8" s="3"/>
      <c r="K8" s="3"/>
      <c r="L8" s="59"/>
      <c r="M8" s="89"/>
      <c r="N8" s="28" t="s">
        <v>6</v>
      </c>
      <c r="O8" s="12">
        <f>+H40</f>
        <v>95913246.80859375</v>
      </c>
    </row>
    <row r="9" spans="1:15" x14ac:dyDescent="0.25">
      <c r="A9" s="223"/>
      <c r="B9" s="94">
        <v>5</v>
      </c>
      <c r="C9" s="20">
        <v>71351</v>
      </c>
      <c r="D9" s="11">
        <f t="shared" ref="D9" si="0">+AVERAGE(C6:C9)</f>
        <v>76318.5</v>
      </c>
      <c r="E9" s="11">
        <f>+D8</f>
        <v>77419.25</v>
      </c>
      <c r="F9" s="11">
        <f>+E9-C9</f>
        <v>6068.25</v>
      </c>
      <c r="G9" s="11">
        <f>+ABS(F9)</f>
        <v>6068.25</v>
      </c>
      <c r="H9" s="11">
        <f>+SUMSQ($F$9:F9)/(B9-4)</f>
        <v>36823658.0625</v>
      </c>
      <c r="I9" s="11">
        <f>+SUM($G$9:G9)/(B9-4)</f>
        <v>6068.25</v>
      </c>
      <c r="J9" s="5">
        <f t="shared" ref="J9:J40" si="1">+(G9/C9)*100</f>
        <v>8.504786197810823</v>
      </c>
      <c r="K9" s="5">
        <f>+AVERAGE($J$9:J9)</f>
        <v>8.504786197810823</v>
      </c>
      <c r="L9" s="84">
        <f>+SUM($F$9:F9)/I9</f>
        <v>1</v>
      </c>
      <c r="M9" s="89"/>
      <c r="N9" s="28" t="s">
        <v>38</v>
      </c>
      <c r="O9" s="6">
        <f>+L26</f>
        <v>-5.1834163787160925</v>
      </c>
    </row>
    <row r="10" spans="1:15" x14ac:dyDescent="0.25">
      <c r="A10" s="223"/>
      <c r="B10" s="94">
        <v>6</v>
      </c>
      <c r="C10" s="20">
        <v>76752</v>
      </c>
      <c r="D10" s="11">
        <f t="shared" ref="D10:D12" si="2">+AVERAGE(C7:C10)</f>
        <v>75465.5</v>
      </c>
      <c r="E10" s="11">
        <f t="shared" ref="E10:E39" si="3">+D9</f>
        <v>76318.5</v>
      </c>
      <c r="F10" s="11">
        <f t="shared" ref="F10:F39" si="4">+E10-C10</f>
        <v>-433.5</v>
      </c>
      <c r="G10" s="11">
        <f t="shared" ref="G10:G39" si="5">+ABS(F10)</f>
        <v>433.5</v>
      </c>
      <c r="H10" s="11">
        <f>+SUMSQ($F$9:F10)/(B10-4)</f>
        <v>18505790.15625</v>
      </c>
      <c r="I10" s="11">
        <f>+SUM($G$9:G10)/(B10-4)</f>
        <v>3250.875</v>
      </c>
      <c r="J10" s="5">
        <f t="shared" si="1"/>
        <v>0.56480612883051906</v>
      </c>
      <c r="K10" s="5">
        <f>+AVERAGE($J$9:J10)</f>
        <v>4.5347961633206708</v>
      </c>
      <c r="L10" s="84">
        <f>+SUM($F$9:F10)/I10</f>
        <v>1.733302572384358</v>
      </c>
      <c r="M10" s="89"/>
      <c r="N10" s="28" t="s">
        <v>39</v>
      </c>
      <c r="O10" s="6">
        <f>+L10</f>
        <v>1.733302572384358</v>
      </c>
    </row>
    <row r="11" spans="1:15" x14ac:dyDescent="0.25">
      <c r="A11" s="223"/>
      <c r="B11" s="94">
        <v>7</v>
      </c>
      <c r="C11" s="20">
        <v>78805</v>
      </c>
      <c r="D11" s="11">
        <f t="shared" si="2"/>
        <v>73820.75</v>
      </c>
      <c r="E11" s="11">
        <f t="shared" si="3"/>
        <v>75465.5</v>
      </c>
      <c r="F11" s="11">
        <f t="shared" si="4"/>
        <v>-3339.5</v>
      </c>
      <c r="G11" s="11">
        <f t="shared" si="5"/>
        <v>3339.5</v>
      </c>
      <c r="H11" s="11">
        <f>+SUMSQ($F$9:F11)/(B11-4)</f>
        <v>16054613.520833334</v>
      </c>
      <c r="I11" s="11">
        <f>+SUM($G$9:G11)/(B11-4)</f>
        <v>3280.4166666666665</v>
      </c>
      <c r="J11" s="5">
        <f t="shared" si="1"/>
        <v>4.2376752744115223</v>
      </c>
      <c r="K11" s="5">
        <f>+AVERAGE($J$9:J11)</f>
        <v>4.4357558670176216</v>
      </c>
      <c r="L11" s="84">
        <f>+SUM($F$9:F11)/I11</f>
        <v>0.69968245903721582</v>
      </c>
      <c r="M11" s="89"/>
      <c r="N11" s="77"/>
      <c r="O11" s="90"/>
    </row>
    <row r="12" spans="1:15" x14ac:dyDescent="0.25">
      <c r="A12" s="223"/>
      <c r="B12" s="94">
        <v>8</v>
      </c>
      <c r="C12" s="20">
        <v>86227</v>
      </c>
      <c r="D12" s="11">
        <f t="shared" si="2"/>
        <v>78283.75</v>
      </c>
      <c r="E12" s="11">
        <f>+D11</f>
        <v>73820.75</v>
      </c>
      <c r="F12" s="11">
        <f>+E12-C12</f>
        <v>-12406.25</v>
      </c>
      <c r="G12" s="11">
        <f>+ABS(F12)</f>
        <v>12406.25</v>
      </c>
      <c r="H12" s="11">
        <f>+SUMSQ($F$9:F12)/(B12-4)</f>
        <v>50519719.90625</v>
      </c>
      <c r="I12" s="11">
        <f>+SUM($G$9:G12)/(B12-4)</f>
        <v>5561.875</v>
      </c>
      <c r="J12" s="5">
        <f t="shared" si="1"/>
        <v>14.387894742945944</v>
      </c>
      <c r="K12" s="5">
        <f>+AVERAGE($J$9:J12)</f>
        <v>6.9237905859997024</v>
      </c>
      <c r="L12" s="84">
        <f>+SUM($F$9:F12)/I12</f>
        <v>-1.8179121249578605</v>
      </c>
      <c r="M12" s="89"/>
      <c r="N12" s="77"/>
      <c r="O12" s="90"/>
    </row>
    <row r="13" spans="1:15" x14ac:dyDescent="0.25">
      <c r="A13" s="223"/>
      <c r="B13" s="94">
        <v>9</v>
      </c>
      <c r="C13" s="20">
        <v>84956</v>
      </c>
      <c r="D13" s="11">
        <f t="shared" ref="D13:D20" si="6">+AVERAGE(C10:C13)</f>
        <v>81685</v>
      </c>
      <c r="E13" s="11">
        <f t="shared" si="3"/>
        <v>78283.75</v>
      </c>
      <c r="F13" s="11">
        <f t="shared" si="4"/>
        <v>-6672.25</v>
      </c>
      <c r="G13" s="11">
        <f t="shared" si="5"/>
        <v>6672.25</v>
      </c>
      <c r="H13" s="11">
        <f>+SUMSQ($F$9:F13)/(B13-4)</f>
        <v>49319559.9375</v>
      </c>
      <c r="I13" s="11">
        <f>+SUM($G$9:G13)/(B13-4)</f>
        <v>5783.95</v>
      </c>
      <c r="J13" s="5">
        <f t="shared" si="1"/>
        <v>7.8537713640001883</v>
      </c>
      <c r="K13" s="5">
        <f>+AVERAGE($J$9:J13)</f>
        <v>7.1097867415998</v>
      </c>
      <c r="L13" s="84">
        <f>+SUM($F$9:F13)/I13</f>
        <v>-2.901693479369635</v>
      </c>
      <c r="M13" s="89"/>
      <c r="N13" s="77"/>
      <c r="O13" s="90"/>
    </row>
    <row r="14" spans="1:15" x14ac:dyDescent="0.25">
      <c r="A14" s="223"/>
      <c r="B14" s="94">
        <v>10</v>
      </c>
      <c r="C14" s="20">
        <v>94954</v>
      </c>
      <c r="D14" s="11">
        <f t="shared" si="6"/>
        <v>86235.5</v>
      </c>
      <c r="E14" s="11">
        <f>+D13</f>
        <v>81685</v>
      </c>
      <c r="F14" s="11">
        <f>+E14-C14</f>
        <v>-13269</v>
      </c>
      <c r="G14" s="11">
        <f>+ABS(F14)</f>
        <v>13269</v>
      </c>
      <c r="H14" s="11">
        <f>+SUMSQ($F$9:F14)/(B14-4)</f>
        <v>70444026.78125</v>
      </c>
      <c r="I14" s="11">
        <f>+SUM($G$9:G14)/(B14-4)</f>
        <v>7031.458333333333</v>
      </c>
      <c r="J14" s="5">
        <f t="shared" si="1"/>
        <v>13.974134844240368</v>
      </c>
      <c r="K14" s="5">
        <f>+AVERAGE($J$9:J14)</f>
        <v>8.2538447587065615</v>
      </c>
      <c r="L14" s="84">
        <f>+SUM($F$9:F14)/I14</f>
        <v>-4.2739711415958048</v>
      </c>
      <c r="M14" s="89"/>
      <c r="N14" s="77"/>
      <c r="O14" s="90"/>
    </row>
    <row r="15" spans="1:15" x14ac:dyDescent="0.25">
      <c r="A15" s="223"/>
      <c r="B15" s="94">
        <v>11</v>
      </c>
      <c r="C15" s="20">
        <v>76328</v>
      </c>
      <c r="D15" s="11">
        <f t="shared" si="6"/>
        <v>85616.25</v>
      </c>
      <c r="E15" s="11">
        <f t="shared" si="3"/>
        <v>86235.5</v>
      </c>
      <c r="F15" s="11">
        <f t="shared" si="4"/>
        <v>9907.5</v>
      </c>
      <c r="G15" s="11">
        <f t="shared" si="5"/>
        <v>9907.5</v>
      </c>
      <c r="H15" s="11">
        <f>+SUMSQ($F$9:F15)/(B15-4)</f>
        <v>74403245.276785716</v>
      </c>
      <c r="I15" s="11">
        <f>+SUM($G$9:G15)/(B15-4)</f>
        <v>7442.3214285714284</v>
      </c>
      <c r="J15" s="5">
        <f t="shared" si="1"/>
        <v>12.980164552981869</v>
      </c>
      <c r="K15" s="5">
        <f>+AVERAGE($J$9:J15)</f>
        <v>8.9290333007458909</v>
      </c>
      <c r="L15" s="84">
        <f>+SUM($F$9:F15)/I15</f>
        <v>-2.7067831177867889</v>
      </c>
      <c r="M15" s="89"/>
      <c r="N15" s="77"/>
      <c r="O15" s="90"/>
    </row>
    <row r="16" spans="1:15" x14ac:dyDescent="0.25">
      <c r="A16" s="224"/>
      <c r="B16" s="94">
        <v>12</v>
      </c>
      <c r="C16" s="20">
        <v>99995</v>
      </c>
      <c r="D16" s="11">
        <f t="shared" si="6"/>
        <v>89058.25</v>
      </c>
      <c r="E16" s="11">
        <f t="shared" si="3"/>
        <v>85616.25</v>
      </c>
      <c r="F16" s="11">
        <f t="shared" si="4"/>
        <v>-14378.75</v>
      </c>
      <c r="G16" s="11">
        <f t="shared" si="5"/>
        <v>14378.75</v>
      </c>
      <c r="H16" s="11">
        <f>+SUMSQ($F$9:F16)/(B16-4)</f>
        <v>90946396.0625</v>
      </c>
      <c r="I16" s="11">
        <f>+SUM($G$9:G16)/(B16-4)</f>
        <v>8309.375</v>
      </c>
      <c r="J16" s="5">
        <f t="shared" si="1"/>
        <v>14.379468973448672</v>
      </c>
      <c r="K16" s="5">
        <f>+AVERAGE($J$9:J16)</f>
        <v>9.6103377598337385</v>
      </c>
      <c r="L16" s="84">
        <f>+SUM($F$9:F16)/I16</f>
        <v>-4.1547649492290333</v>
      </c>
      <c r="M16" s="89"/>
      <c r="N16" s="77"/>
      <c r="O16" s="90"/>
    </row>
    <row r="17" spans="1:15" x14ac:dyDescent="0.25">
      <c r="A17" s="222">
        <v>2022</v>
      </c>
      <c r="B17" s="94">
        <v>13</v>
      </c>
      <c r="C17" s="20">
        <v>78535</v>
      </c>
      <c r="D17" s="11">
        <f t="shared" si="6"/>
        <v>87453</v>
      </c>
      <c r="E17" s="11">
        <f t="shared" si="3"/>
        <v>89058.25</v>
      </c>
      <c r="F17" s="11">
        <f t="shared" si="4"/>
        <v>10523.25</v>
      </c>
      <c r="G17" s="11">
        <f t="shared" si="5"/>
        <v>10523.25</v>
      </c>
      <c r="H17" s="11">
        <f>+SUMSQ($F$9:F17)/(B17-4)</f>
        <v>93145551.006944448</v>
      </c>
      <c r="I17" s="11">
        <f>+SUM($G$9:G17)/(B17-4)</f>
        <v>8555.3611111111113</v>
      </c>
      <c r="J17" s="5">
        <f t="shared" si="1"/>
        <v>13.399439740243205</v>
      </c>
      <c r="K17" s="5">
        <f>+AVERAGE($J$9:J17)</f>
        <v>10.031349090990346</v>
      </c>
      <c r="L17" s="84">
        <f>+SUM($F$9:F17)/I17</f>
        <v>-2.8052877825145375</v>
      </c>
      <c r="M17" s="89"/>
      <c r="N17" s="77"/>
      <c r="O17" s="90"/>
    </row>
    <row r="18" spans="1:15" x14ac:dyDescent="0.25">
      <c r="A18" s="223"/>
      <c r="B18" s="94">
        <v>14</v>
      </c>
      <c r="C18" s="20">
        <v>77580</v>
      </c>
      <c r="D18" s="11">
        <f t="shared" si="6"/>
        <v>83109.5</v>
      </c>
      <c r="E18" s="11">
        <f t="shared" si="3"/>
        <v>87453</v>
      </c>
      <c r="F18" s="11">
        <f t="shared" si="4"/>
        <v>9873</v>
      </c>
      <c r="G18" s="11">
        <f t="shared" si="5"/>
        <v>9873</v>
      </c>
      <c r="H18" s="11">
        <f>+SUMSQ($F$9:F18)/(B18-4)</f>
        <v>93578608.806250006</v>
      </c>
      <c r="I18" s="11">
        <f>+SUM($G$9:G18)/(B18-4)</f>
        <v>8687.125</v>
      </c>
      <c r="J18" s="5">
        <f t="shared" si="1"/>
        <v>12.726218097447795</v>
      </c>
      <c r="K18" s="5">
        <f>+AVERAGE($J$9:J18)</f>
        <v>10.300835991636092</v>
      </c>
      <c r="L18" s="84">
        <f>+SUM($F$9:F18)/I18</f>
        <v>-1.6262284702936818</v>
      </c>
      <c r="M18" s="89"/>
      <c r="N18" s="77"/>
      <c r="O18" s="90"/>
    </row>
    <row r="19" spans="1:15" x14ac:dyDescent="0.25">
      <c r="A19" s="223"/>
      <c r="B19" s="94">
        <v>15</v>
      </c>
      <c r="C19" s="20">
        <v>86508</v>
      </c>
      <c r="D19" s="11">
        <f t="shared" si="6"/>
        <v>85654.5</v>
      </c>
      <c r="E19" s="11">
        <f t="shared" si="3"/>
        <v>83109.5</v>
      </c>
      <c r="F19" s="11">
        <f t="shared" si="4"/>
        <v>-3398.5</v>
      </c>
      <c r="G19" s="11">
        <f t="shared" si="5"/>
        <v>3398.5</v>
      </c>
      <c r="H19" s="11">
        <f>+SUMSQ($F$9:F19)/(B19-4)</f>
        <v>86121444.57386364</v>
      </c>
      <c r="I19" s="11">
        <f>+SUM($G$9:G19)/(B19-4)</f>
        <v>8206.3409090909099</v>
      </c>
      <c r="J19" s="5">
        <f t="shared" si="1"/>
        <v>3.9285384010727329</v>
      </c>
      <c r="K19" s="5">
        <f>+AVERAGE($J$9:J19)</f>
        <v>9.7215362106757865</v>
      </c>
      <c r="L19" s="84">
        <f>+SUM($F$9:F19)/I19</f>
        <v>-2.1356351380168879</v>
      </c>
      <c r="M19" s="89"/>
      <c r="N19" s="77"/>
      <c r="O19" s="90"/>
    </row>
    <row r="20" spans="1:15" x14ac:dyDescent="0.25">
      <c r="A20" s="223"/>
      <c r="B20" s="94">
        <v>16</v>
      </c>
      <c r="C20" s="20">
        <v>72863</v>
      </c>
      <c r="D20" s="11">
        <f t="shared" si="6"/>
        <v>78871.5</v>
      </c>
      <c r="E20" s="11">
        <f t="shared" si="3"/>
        <v>85654.5</v>
      </c>
      <c r="F20" s="11">
        <f t="shared" si="4"/>
        <v>12791.5</v>
      </c>
      <c r="G20" s="11">
        <f t="shared" si="5"/>
        <v>12791.5</v>
      </c>
      <c r="H20" s="11">
        <f>+SUMSQ($F$9:F20)/(B20-4)</f>
        <v>92579863.546875</v>
      </c>
      <c r="I20" s="11">
        <f>+SUM($G$9:G20)/(B20-4)</f>
        <v>8588.4375</v>
      </c>
      <c r="J20" s="5">
        <f t="shared" si="1"/>
        <v>17.555549455828061</v>
      </c>
      <c r="K20" s="5">
        <f>+AVERAGE($J$9:J20)</f>
        <v>10.374370647771809</v>
      </c>
      <c r="L20" s="84">
        <f>+SUM($F$9:F20)/I20</f>
        <v>-0.55123530910017104</v>
      </c>
      <c r="M20" s="89"/>
      <c r="N20" s="77"/>
      <c r="O20" s="90"/>
    </row>
    <row r="21" spans="1:15" x14ac:dyDescent="0.25">
      <c r="A21" s="223"/>
      <c r="B21" s="94">
        <v>17</v>
      </c>
      <c r="C21" s="20">
        <v>66963</v>
      </c>
      <c r="D21" s="11">
        <f t="shared" ref="D21:D40" si="7">+AVERAGE(C18:C21)</f>
        <v>75978.5</v>
      </c>
      <c r="E21" s="11">
        <f t="shared" si="3"/>
        <v>78871.5</v>
      </c>
      <c r="F21" s="11">
        <f t="shared" si="4"/>
        <v>11908.5</v>
      </c>
      <c r="G21" s="11">
        <f t="shared" si="5"/>
        <v>11908.5</v>
      </c>
      <c r="H21" s="11">
        <f>+SUMSQ($F$9:F21)/(B21-4)</f>
        <v>96366979.600961536</v>
      </c>
      <c r="I21" s="11">
        <f>+SUM($G$9:G21)/(B21-4)</f>
        <v>8843.8269230769238</v>
      </c>
      <c r="J21" s="5">
        <f t="shared" si="1"/>
        <v>17.783701447067784</v>
      </c>
      <c r="K21" s="5">
        <f>+AVERAGE($J$9:J21)</f>
        <v>10.944319170794577</v>
      </c>
      <c r="L21" s="84">
        <f>+SUM($F$9:F21)/I21</f>
        <v>0.8112155588752693</v>
      </c>
      <c r="M21" s="89"/>
      <c r="N21" s="77"/>
      <c r="O21" s="90"/>
    </row>
    <row r="22" spans="1:15" x14ac:dyDescent="0.25">
      <c r="A22" s="223"/>
      <c r="B22" s="94">
        <v>18</v>
      </c>
      <c r="C22" s="20">
        <v>79438</v>
      </c>
      <c r="D22" s="11">
        <f t="shared" si="7"/>
        <v>76443</v>
      </c>
      <c r="E22" s="11">
        <f t="shared" si="3"/>
        <v>75978.5</v>
      </c>
      <c r="F22" s="11">
        <f t="shared" si="4"/>
        <v>-3459.5</v>
      </c>
      <c r="G22" s="11">
        <f t="shared" si="5"/>
        <v>3459.5</v>
      </c>
      <c r="H22" s="11">
        <f>+SUMSQ($F$9:F22)/(B22-4)</f>
        <v>90338491.075892851</v>
      </c>
      <c r="I22" s="11">
        <f>+SUM($G$9:G22)/(B22-4)</f>
        <v>8459.2321428571431</v>
      </c>
      <c r="J22" s="5">
        <f t="shared" si="1"/>
        <v>4.3549686547999702</v>
      </c>
      <c r="K22" s="5">
        <f>+AVERAGE($J$9:J22)</f>
        <v>10.473651276794962</v>
      </c>
      <c r="L22" s="84">
        <f>+SUM($F$9:F22)/I22</f>
        <v>0.43913560205776864</v>
      </c>
      <c r="M22" s="89"/>
      <c r="N22" s="77"/>
      <c r="O22" s="90"/>
    </row>
    <row r="23" spans="1:15" x14ac:dyDescent="0.25">
      <c r="A23" s="223"/>
      <c r="B23" s="94">
        <v>19</v>
      </c>
      <c r="C23" s="20">
        <v>77103</v>
      </c>
      <c r="D23" s="11">
        <f t="shared" si="7"/>
        <v>74091.75</v>
      </c>
      <c r="E23" s="11">
        <f t="shared" si="3"/>
        <v>76443</v>
      </c>
      <c r="F23" s="11">
        <f t="shared" si="4"/>
        <v>-660</v>
      </c>
      <c r="G23" s="11">
        <f t="shared" si="5"/>
        <v>660</v>
      </c>
      <c r="H23" s="11">
        <f>+SUMSQ($F$9:F23)/(B23-4)</f>
        <v>84344965.004166663</v>
      </c>
      <c r="I23" s="11">
        <f>+SUM($G$9:G23)/(B23-4)</f>
        <v>7939.2833333333338</v>
      </c>
      <c r="J23" s="5">
        <f t="shared" si="1"/>
        <v>0.85599782109645539</v>
      </c>
      <c r="K23" s="5">
        <f>+AVERAGE($J$9:J23)</f>
        <v>9.832474379748394</v>
      </c>
      <c r="L23" s="84">
        <f>+SUM($F$9:F23)/I23</f>
        <v>0.3847639480473678</v>
      </c>
      <c r="M23" s="89"/>
      <c r="N23" s="77"/>
      <c r="O23" s="90"/>
    </row>
    <row r="24" spans="1:15" x14ac:dyDescent="0.25">
      <c r="A24" s="223"/>
      <c r="B24" s="94">
        <v>20</v>
      </c>
      <c r="C24" s="20">
        <v>91471</v>
      </c>
      <c r="D24" s="11">
        <f t="shared" si="7"/>
        <v>78743.75</v>
      </c>
      <c r="E24" s="11">
        <f t="shared" si="3"/>
        <v>74091.75</v>
      </c>
      <c r="F24" s="11">
        <f t="shared" si="4"/>
        <v>-17379.25</v>
      </c>
      <c r="G24" s="11">
        <f t="shared" si="5"/>
        <v>17379.25</v>
      </c>
      <c r="H24" s="11">
        <f>+SUMSQ($F$9:F24)/(B24-4)</f>
        <v>97950800.3515625</v>
      </c>
      <c r="I24" s="11">
        <f>+SUM($G$9:G24)/(B24-4)</f>
        <v>8529.28125</v>
      </c>
      <c r="J24" s="5">
        <f t="shared" si="1"/>
        <v>18.999737621759902</v>
      </c>
      <c r="K24" s="5">
        <f>+AVERAGE($J$9:J24)</f>
        <v>10.405428332374113</v>
      </c>
      <c r="L24" s="84">
        <f>+SUM($F$9:F24)/I24</f>
        <v>-1.6794498364091348</v>
      </c>
      <c r="M24" s="89"/>
      <c r="N24" s="77"/>
      <c r="O24" s="90"/>
    </row>
    <row r="25" spans="1:15" x14ac:dyDescent="0.25">
      <c r="A25" s="223"/>
      <c r="B25" s="94">
        <v>21</v>
      </c>
      <c r="C25" s="20">
        <v>91148</v>
      </c>
      <c r="D25" s="11">
        <f t="shared" si="7"/>
        <v>84790</v>
      </c>
      <c r="E25" s="11">
        <f t="shared" si="3"/>
        <v>78743.75</v>
      </c>
      <c r="F25" s="11">
        <f t="shared" si="4"/>
        <v>-12404.25</v>
      </c>
      <c r="G25" s="11">
        <f t="shared" si="5"/>
        <v>12404.25</v>
      </c>
      <c r="H25" s="11">
        <f>+SUMSQ($F$9:F25)/(B25-4)</f>
        <v>101239895.51102941</v>
      </c>
      <c r="I25" s="11">
        <f>+SUM($G$9:G25)/(B25-4)</f>
        <v>8757.2205882352937</v>
      </c>
      <c r="J25" s="5">
        <f t="shared" si="1"/>
        <v>13.608910782463685</v>
      </c>
      <c r="K25" s="5">
        <f>+AVERAGE($J$9:J25)</f>
        <v>10.593868476497029</v>
      </c>
      <c r="L25" s="84">
        <f>+SUM($F$9:F25)/I25</f>
        <v>-3.0521955831406355</v>
      </c>
      <c r="M25" s="89"/>
      <c r="N25" s="77"/>
      <c r="O25" s="90"/>
    </row>
    <row r="26" spans="1:15" x14ac:dyDescent="0.25">
      <c r="A26" s="223"/>
      <c r="B26" s="94">
        <v>22</v>
      </c>
      <c r="C26" s="20">
        <v>107460</v>
      </c>
      <c r="D26" s="11">
        <f t="shared" si="7"/>
        <v>91795.5</v>
      </c>
      <c r="E26" s="11">
        <f t="shared" si="3"/>
        <v>84790</v>
      </c>
      <c r="F26" s="11">
        <f t="shared" si="4"/>
        <v>-22670</v>
      </c>
      <c r="G26" s="11">
        <f t="shared" si="5"/>
        <v>22670</v>
      </c>
      <c r="H26" s="11">
        <f>+SUMSQ($F$9:F26)/(B26-4)</f>
        <v>124167062.42708333</v>
      </c>
      <c r="I26" s="11">
        <f>+SUM($G$9:G26)/(B26-4)</f>
        <v>9530.1527777777774</v>
      </c>
      <c r="J26" s="5">
        <f t="shared" si="1"/>
        <v>21.096221849990691</v>
      </c>
      <c r="K26" s="5">
        <f>+AVERAGE($J$9:J26)</f>
        <v>11.177332552802232</v>
      </c>
      <c r="L26" s="84">
        <f>+SUM($F$9:F26)/I26</f>
        <v>-5.1834163787160925</v>
      </c>
      <c r="M26" s="89"/>
      <c r="N26" s="77"/>
      <c r="O26" s="90"/>
    </row>
    <row r="27" spans="1:15" x14ac:dyDescent="0.25">
      <c r="A27" s="223"/>
      <c r="B27" s="94">
        <v>23</v>
      </c>
      <c r="C27" s="20">
        <v>77570</v>
      </c>
      <c r="D27" s="11">
        <f t="shared" si="7"/>
        <v>91912.25</v>
      </c>
      <c r="E27" s="11">
        <f t="shared" si="3"/>
        <v>91795.5</v>
      </c>
      <c r="F27" s="11">
        <f t="shared" si="4"/>
        <v>14225.5</v>
      </c>
      <c r="G27" s="11">
        <f t="shared" si="5"/>
        <v>14225.5</v>
      </c>
      <c r="H27" s="11">
        <f>+SUMSQ($F$9:F27)/(B27-4)</f>
        <v>128282735.47039473</v>
      </c>
      <c r="I27" s="11">
        <f>+SUM($G$9:G27)/(B27-4)</f>
        <v>9777.2763157894733</v>
      </c>
      <c r="J27" s="5">
        <f t="shared" si="1"/>
        <v>18.338919685445404</v>
      </c>
      <c r="K27" s="5">
        <f>+AVERAGE($J$9:J27)</f>
        <v>11.554258191362399</v>
      </c>
      <c r="L27" s="84">
        <f>+SUM($F$9:F27)/I27</f>
        <v>-3.5974487028865267</v>
      </c>
      <c r="M27" s="89"/>
      <c r="N27" s="77"/>
      <c r="O27" s="90"/>
    </row>
    <row r="28" spans="1:15" x14ac:dyDescent="0.25">
      <c r="A28" s="223"/>
      <c r="B28" s="94">
        <v>24</v>
      </c>
      <c r="C28" s="20">
        <v>89156</v>
      </c>
      <c r="D28" s="11">
        <f t="shared" si="7"/>
        <v>91333.5</v>
      </c>
      <c r="E28" s="11">
        <f t="shared" si="3"/>
        <v>91912.25</v>
      </c>
      <c r="F28" s="11">
        <f t="shared" si="4"/>
        <v>2756.25</v>
      </c>
      <c r="G28" s="11">
        <f t="shared" si="5"/>
        <v>2756.25</v>
      </c>
      <c r="H28" s="11">
        <f>+SUMSQ($F$9:F28)/(B28-4)</f>
        <v>122248444.40000001</v>
      </c>
      <c r="I28" s="11">
        <f>+SUM($G$9:G28)/(B28-4)</f>
        <v>9426.2250000000004</v>
      </c>
      <c r="J28" s="5">
        <f t="shared" si="1"/>
        <v>3.0914913185876443</v>
      </c>
      <c r="K28" s="5">
        <f>+AVERAGE($J$9:J28)</f>
        <v>11.131119847723662</v>
      </c>
      <c r="L28" s="84">
        <f>+SUM($F$9:F28)/I28</f>
        <v>-3.4390225143151154</v>
      </c>
      <c r="M28" s="89"/>
      <c r="N28" s="77"/>
      <c r="O28" s="90"/>
    </row>
    <row r="29" spans="1:15" x14ac:dyDescent="0.25">
      <c r="A29" s="222">
        <v>2023</v>
      </c>
      <c r="B29" s="94">
        <v>25</v>
      </c>
      <c r="C29" s="20">
        <v>88182</v>
      </c>
      <c r="D29" s="11">
        <f t="shared" si="7"/>
        <v>90592</v>
      </c>
      <c r="E29" s="11">
        <f t="shared" si="3"/>
        <v>91333.5</v>
      </c>
      <c r="F29" s="11">
        <f t="shared" si="4"/>
        <v>3151.5</v>
      </c>
      <c r="G29" s="11">
        <f t="shared" si="5"/>
        <v>3151.5</v>
      </c>
      <c r="H29" s="11">
        <f>+SUMSQ($F$9:F29)/(B29-4)</f>
        <v>116900040.01190476</v>
      </c>
      <c r="I29" s="11">
        <f>+SUM($G$9:G29)/(B29-4)</f>
        <v>9127.4285714285706</v>
      </c>
      <c r="J29" s="5">
        <f t="shared" si="1"/>
        <v>3.5738586106008032</v>
      </c>
      <c r="K29" s="5">
        <f>+AVERAGE($J$9:J29)</f>
        <v>10.771250265003525</v>
      </c>
      <c r="L29" s="84">
        <f>+SUM($F$9:F29)/I29</f>
        <v>-3.2063247354911417</v>
      </c>
      <c r="M29" s="89"/>
      <c r="N29" s="77"/>
      <c r="O29" s="90"/>
    </row>
    <row r="30" spans="1:15" x14ac:dyDescent="0.25">
      <c r="A30" s="223"/>
      <c r="B30" s="94">
        <v>26</v>
      </c>
      <c r="C30" s="20">
        <v>79803</v>
      </c>
      <c r="D30" s="11">
        <f t="shared" si="7"/>
        <v>83677.75</v>
      </c>
      <c r="E30" s="11">
        <f t="shared" si="3"/>
        <v>90592</v>
      </c>
      <c r="F30" s="11">
        <f t="shared" si="4"/>
        <v>10789</v>
      </c>
      <c r="G30" s="11">
        <f t="shared" si="5"/>
        <v>10789</v>
      </c>
      <c r="H30" s="11">
        <f>+SUMSQ($F$9:F30)/(B30-4)</f>
        <v>116877425.51136364</v>
      </c>
      <c r="I30" s="11">
        <f>+SUM($G$9:G30)/(B30-4)</f>
        <v>9202.954545454546</v>
      </c>
      <c r="J30" s="5">
        <f t="shared" si="1"/>
        <v>13.519541871859452</v>
      </c>
      <c r="K30" s="5">
        <f>+AVERAGE($J$9:J30)</f>
        <v>10.896172610769703</v>
      </c>
      <c r="L30" s="84">
        <f>+SUM($F$9:F30)/I30</f>
        <v>-2.0076704615612573</v>
      </c>
      <c r="M30" s="89"/>
      <c r="N30" s="77"/>
      <c r="O30" s="90"/>
    </row>
    <row r="31" spans="1:15" x14ac:dyDescent="0.25">
      <c r="A31" s="223"/>
      <c r="B31" s="94">
        <v>27</v>
      </c>
      <c r="C31" s="20">
        <v>89841</v>
      </c>
      <c r="D31" s="11">
        <f t="shared" si="7"/>
        <v>86745.5</v>
      </c>
      <c r="E31" s="11">
        <f t="shared" si="3"/>
        <v>83677.75</v>
      </c>
      <c r="F31" s="11">
        <f t="shared" si="4"/>
        <v>-6163.25</v>
      </c>
      <c r="G31" s="11">
        <f t="shared" si="5"/>
        <v>6163.25</v>
      </c>
      <c r="H31" s="11">
        <f>+SUMSQ($F$9:F31)/(B31-4)</f>
        <v>113447348.33967391</v>
      </c>
      <c r="I31" s="11">
        <f>+SUM($G$9:G31)/(B31-4)</f>
        <v>9070.79347826087</v>
      </c>
      <c r="J31" s="5">
        <f t="shared" si="1"/>
        <v>6.8601751984060728</v>
      </c>
      <c r="K31" s="5">
        <f>+AVERAGE($J$9:J31)</f>
        <v>10.720694462406067</v>
      </c>
      <c r="L31" s="84">
        <f>+SUM($F$9:F31)/I31</f>
        <v>-2.7163830881004847</v>
      </c>
      <c r="M31" s="89"/>
      <c r="N31" s="77"/>
      <c r="O31" s="90"/>
    </row>
    <row r="32" spans="1:15" x14ac:dyDescent="0.25">
      <c r="A32" s="223"/>
      <c r="B32" s="94">
        <v>28</v>
      </c>
      <c r="C32" s="20">
        <v>77480</v>
      </c>
      <c r="D32" s="11">
        <f t="shared" si="7"/>
        <v>83826.5</v>
      </c>
      <c r="E32" s="11">
        <f t="shared" si="3"/>
        <v>86745.5</v>
      </c>
      <c r="F32" s="11">
        <f t="shared" si="4"/>
        <v>9265.5</v>
      </c>
      <c r="G32" s="11">
        <f t="shared" si="5"/>
        <v>9265.5</v>
      </c>
      <c r="H32" s="11">
        <f>+SUMSQ($F$9:F32)/(B32-4)</f>
        <v>112297437.5859375</v>
      </c>
      <c r="I32" s="11">
        <f>+SUM($G$9:G32)/(B32-4)</f>
        <v>9078.90625</v>
      </c>
      <c r="J32" s="5">
        <f t="shared" si="1"/>
        <v>11.958569953536397</v>
      </c>
      <c r="K32" s="5">
        <f>+AVERAGE($J$9:J32)</f>
        <v>10.772272607869832</v>
      </c>
      <c r="L32" s="84">
        <f>+SUM($F$9:F32)/I32</f>
        <v>-1.6934033215730144</v>
      </c>
      <c r="M32" s="89"/>
      <c r="N32" s="77"/>
      <c r="O32" s="90"/>
    </row>
    <row r="33" spans="1:15" x14ac:dyDescent="0.25">
      <c r="A33" s="223"/>
      <c r="B33" s="94">
        <v>29</v>
      </c>
      <c r="C33" s="20">
        <v>77263</v>
      </c>
      <c r="D33" s="11">
        <f t="shared" si="7"/>
        <v>81096.75</v>
      </c>
      <c r="E33" s="11">
        <f t="shared" si="3"/>
        <v>83826.5</v>
      </c>
      <c r="F33" s="11">
        <f t="shared" si="4"/>
        <v>6563.5</v>
      </c>
      <c r="G33" s="11">
        <f t="shared" si="5"/>
        <v>6563.5</v>
      </c>
      <c r="H33" s="11">
        <f>+SUMSQ($F$9:F33)/(B33-4)</f>
        <v>109528721.3725</v>
      </c>
      <c r="I33" s="11">
        <f>+SUM($G$9:G33)/(B33-4)</f>
        <v>8978.2900000000009</v>
      </c>
      <c r="J33" s="5">
        <f t="shared" si="1"/>
        <v>8.4950105483866789</v>
      </c>
      <c r="K33" s="5">
        <f>+AVERAGE($J$9:J33)</f>
        <v>10.681182125490507</v>
      </c>
      <c r="L33" s="84">
        <f>+SUM($F$9:F33)/I33</f>
        <v>-0.98133943100523591</v>
      </c>
      <c r="M33" s="89"/>
      <c r="N33" s="77"/>
      <c r="O33" s="90"/>
    </row>
    <row r="34" spans="1:15" x14ac:dyDescent="0.25">
      <c r="A34" s="223"/>
      <c r="B34" s="94">
        <v>30</v>
      </c>
      <c r="C34" s="20">
        <v>83227</v>
      </c>
      <c r="D34" s="11">
        <f t="shared" si="7"/>
        <v>81952.75</v>
      </c>
      <c r="E34" s="11">
        <f t="shared" si="3"/>
        <v>81096.75</v>
      </c>
      <c r="F34" s="11">
        <f t="shared" si="4"/>
        <v>-2130.25</v>
      </c>
      <c r="G34" s="11">
        <f t="shared" si="5"/>
        <v>2130.25</v>
      </c>
      <c r="H34" s="11">
        <f>+SUMSQ($F$9:F34)/(B34-4)</f>
        <v>105490615.36057693</v>
      </c>
      <c r="I34" s="11">
        <f>+SUM($G$9:G34)/(B34-4)</f>
        <v>8714.9038461538457</v>
      </c>
      <c r="J34" s="5">
        <f t="shared" si="1"/>
        <v>2.5595660062239416</v>
      </c>
      <c r="K34" s="5">
        <f>+AVERAGE($J$9:J34)</f>
        <v>10.368812274749484</v>
      </c>
      <c r="L34" s="84">
        <f>+SUM($F$9:F34)/I34</f>
        <v>-1.2554355381475149</v>
      </c>
      <c r="M34" s="89"/>
      <c r="N34" s="77"/>
      <c r="O34" s="90"/>
    </row>
    <row r="35" spans="1:15" x14ac:dyDescent="0.25">
      <c r="A35" s="223"/>
      <c r="B35" s="94">
        <v>31</v>
      </c>
      <c r="C35" s="20">
        <v>81132</v>
      </c>
      <c r="D35" s="11">
        <f t="shared" si="7"/>
        <v>79775.5</v>
      </c>
      <c r="E35" s="11">
        <f t="shared" si="3"/>
        <v>81952.75</v>
      </c>
      <c r="F35" s="11">
        <f t="shared" si="4"/>
        <v>820.75</v>
      </c>
      <c r="G35" s="11">
        <f t="shared" si="5"/>
        <v>820.75</v>
      </c>
      <c r="H35" s="11">
        <f>+SUMSQ($F$9:F35)/(B35-4)</f>
        <v>101608504.8125</v>
      </c>
      <c r="I35" s="11">
        <f>+SUM($G$9:G35)/(B35-4)</f>
        <v>8422.5277777777774</v>
      </c>
      <c r="J35" s="5">
        <f t="shared" si="1"/>
        <v>1.0116230340679386</v>
      </c>
      <c r="K35" s="5">
        <f>+AVERAGE($J$9:J35)</f>
        <v>10.022249710279798</v>
      </c>
      <c r="L35" s="84">
        <f>+SUM($F$9:F35)/I35</f>
        <v>-1.2015692042834858</v>
      </c>
      <c r="M35" s="89"/>
      <c r="N35" s="77"/>
      <c r="O35" s="90"/>
    </row>
    <row r="36" spans="1:15" x14ac:dyDescent="0.25">
      <c r="A36" s="223"/>
      <c r="B36" s="94">
        <v>32</v>
      </c>
      <c r="C36" s="20">
        <v>88863</v>
      </c>
      <c r="D36" s="11">
        <f t="shared" si="7"/>
        <v>82621.25</v>
      </c>
      <c r="E36" s="11">
        <f t="shared" si="3"/>
        <v>79775.5</v>
      </c>
      <c r="F36" s="11">
        <f t="shared" si="4"/>
        <v>-9087.5</v>
      </c>
      <c r="G36" s="11">
        <f t="shared" si="5"/>
        <v>9087.5</v>
      </c>
      <c r="H36" s="11">
        <f>+SUMSQ($F$9:F36)/(B36-4)</f>
        <v>100929010.22098215</v>
      </c>
      <c r="I36" s="11">
        <f>+SUM($G$9:G36)/(B36-4)</f>
        <v>8446.2767857142862</v>
      </c>
      <c r="J36" s="5">
        <f t="shared" si="1"/>
        <v>10.226415943643588</v>
      </c>
      <c r="K36" s="5">
        <f>+AVERAGE($J$9:J36)</f>
        <v>10.029541361471361</v>
      </c>
      <c r="L36" s="84">
        <f>+SUM($F$9:F36)/I36</f>
        <v>-2.274108519920548</v>
      </c>
      <c r="M36" s="89"/>
      <c r="N36" s="77"/>
      <c r="O36" s="90"/>
    </row>
    <row r="37" spans="1:15" x14ac:dyDescent="0.25">
      <c r="A37" s="223"/>
      <c r="B37" s="94">
        <v>33</v>
      </c>
      <c r="C37" s="20">
        <v>89823</v>
      </c>
      <c r="D37" s="11">
        <f t="shared" si="7"/>
        <v>85761.25</v>
      </c>
      <c r="E37" s="11">
        <f t="shared" si="3"/>
        <v>82621.25</v>
      </c>
      <c r="F37" s="11">
        <f t="shared" si="4"/>
        <v>-7201.75</v>
      </c>
      <c r="G37" s="11">
        <f t="shared" si="5"/>
        <v>7201.75</v>
      </c>
      <c r="H37" s="11">
        <f>+SUMSQ($F$9:F37)/(B37-4)</f>
        <v>99237154.801724136</v>
      </c>
      <c r="I37" s="11">
        <f>+SUM($G$9:G37)/(B37-4)</f>
        <v>8403.3620689655181</v>
      </c>
      <c r="J37" s="5">
        <f t="shared" si="1"/>
        <v>8.0177126125825247</v>
      </c>
      <c r="K37" s="5">
        <f>+AVERAGE($J$9:J37)</f>
        <v>9.960167956337262</v>
      </c>
      <c r="L37" s="84">
        <f>+SUM($F$9:F37)/I37</f>
        <v>-3.1427302290749801</v>
      </c>
      <c r="M37" s="89"/>
      <c r="N37" s="77"/>
      <c r="O37" s="90"/>
    </row>
    <row r="38" spans="1:15" x14ac:dyDescent="0.25">
      <c r="A38" s="223"/>
      <c r="B38" s="94">
        <v>34</v>
      </c>
      <c r="C38" s="20">
        <v>93478</v>
      </c>
      <c r="D38" s="11">
        <f t="shared" si="7"/>
        <v>88324</v>
      </c>
      <c r="E38" s="11">
        <f t="shared" si="3"/>
        <v>85761.25</v>
      </c>
      <c r="F38" s="11">
        <f t="shared" si="4"/>
        <v>-7716.75</v>
      </c>
      <c r="G38" s="11">
        <f t="shared" si="5"/>
        <v>7716.75</v>
      </c>
      <c r="H38" s="11">
        <f>+SUMSQ($F$9:F38)/(B38-4)</f>
        <v>97914190.660416663</v>
      </c>
      <c r="I38" s="11">
        <f>+SUM($G$9:G38)/(B38-4)</f>
        <v>8380.4750000000004</v>
      </c>
      <c r="J38" s="5">
        <f t="shared" si="1"/>
        <v>8.255150944607287</v>
      </c>
      <c r="K38" s="5">
        <f>+AVERAGE($J$9:J38)</f>
        <v>9.9033340559462637</v>
      </c>
      <c r="L38" s="84">
        <f>+SUM($F$9:F38)/I38</f>
        <v>-4.0721140508145419</v>
      </c>
      <c r="M38" s="89"/>
      <c r="N38" s="77"/>
      <c r="O38" s="90"/>
    </row>
    <row r="39" spans="1:15" x14ac:dyDescent="0.25">
      <c r="A39" s="223"/>
      <c r="B39" s="94">
        <v>35</v>
      </c>
      <c r="C39" s="20">
        <v>83241</v>
      </c>
      <c r="D39" s="11">
        <f t="shared" si="7"/>
        <v>88851.25</v>
      </c>
      <c r="E39" s="11">
        <f t="shared" si="3"/>
        <v>88324</v>
      </c>
      <c r="F39" s="11">
        <f t="shared" si="4"/>
        <v>5083</v>
      </c>
      <c r="G39" s="11">
        <f t="shared" si="5"/>
        <v>5083</v>
      </c>
      <c r="H39" s="11">
        <f>+SUMSQ($F$9:F39)/(B39-4)</f>
        <v>95589116.413306445</v>
      </c>
      <c r="I39" s="11">
        <f>+SUM($G$9:G39)/(B39-4)</f>
        <v>8274.104838709678</v>
      </c>
      <c r="J39" s="5">
        <f t="shared" si="1"/>
        <v>6.1063658533655296</v>
      </c>
      <c r="K39" s="5">
        <f>+AVERAGE($J$9:J39)</f>
        <v>9.7808512107017229</v>
      </c>
      <c r="L39" s="84">
        <f>+SUM($F$9:F39)/I39</f>
        <v>-3.5101380229222729</v>
      </c>
      <c r="M39" s="89"/>
      <c r="N39" s="77"/>
      <c r="O39" s="90"/>
    </row>
    <row r="40" spans="1:15" x14ac:dyDescent="0.25">
      <c r="A40" s="224"/>
      <c r="B40" s="95">
        <v>36</v>
      </c>
      <c r="C40" s="20">
        <v>99145</v>
      </c>
      <c r="D40" s="11">
        <f t="shared" si="7"/>
        <v>91421.75</v>
      </c>
      <c r="E40" s="67">
        <f>+D39</f>
        <v>88851.25</v>
      </c>
      <c r="F40" s="67">
        <f t="shared" ref="F40" si="8">+E40-C40</f>
        <v>-10293.75</v>
      </c>
      <c r="G40" s="67">
        <f>+ABS(F40)</f>
        <v>10293.75</v>
      </c>
      <c r="H40" s="78">
        <f>+SUMSQ($F$9:F40)/(B40-4)</f>
        <v>95913246.80859375</v>
      </c>
      <c r="I40" s="79">
        <f>+SUM($G$9:G40)/(B40-4)</f>
        <v>8337.21875</v>
      </c>
      <c r="J40" s="80">
        <f t="shared" si="1"/>
        <v>10.382520550708559</v>
      </c>
      <c r="K40" s="80">
        <f>+AVERAGE($J$9:J40)</f>
        <v>9.7996533775769361</v>
      </c>
      <c r="L40" s="85">
        <f>+SUM($F$9:F40)/I40</f>
        <v>-4.718240120543796</v>
      </c>
      <c r="M40" s="89"/>
      <c r="N40" s="77"/>
      <c r="O40" s="90"/>
    </row>
    <row r="41" spans="1:15" x14ac:dyDescent="0.25">
      <c r="A41" s="18">
        <v>2024</v>
      </c>
      <c r="B41" s="62">
        <v>37</v>
      </c>
      <c r="C41" s="68"/>
      <c r="D41" s="72"/>
      <c r="E41" s="30">
        <f>+D40</f>
        <v>91421.75</v>
      </c>
      <c r="F41" s="72"/>
      <c r="G41" s="22">
        <f>+AVERAGE(G9:G40)</f>
        <v>8337.21875</v>
      </c>
      <c r="H41" s="72"/>
      <c r="I41" s="72"/>
      <c r="J41" s="32">
        <f>+AVERAGE(J9:J40)</f>
        <v>9.7996533775769361</v>
      </c>
      <c r="K41" s="68"/>
      <c r="L41" s="81"/>
      <c r="M41" s="96"/>
      <c r="N41" s="97"/>
      <c r="O41" s="98"/>
    </row>
  </sheetData>
  <mergeCells count="4">
    <mergeCell ref="A5:A16"/>
    <mergeCell ref="A17:A28"/>
    <mergeCell ref="A29:A40"/>
    <mergeCell ref="A1:O1"/>
  </mergeCells>
  <conditionalFormatting sqref="L9:L40">
    <cfRule type="colorScale" priority="14">
      <colorScale>
        <cfvo type="min"/>
        <cfvo type="percentile" val="50"/>
        <cfvo type="max"/>
        <color theme="0"/>
        <color theme="5" tint="0.79998168889431442"/>
        <color theme="3" tint="9.9978637043366805E-2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E33F-137A-4AA4-BB62-6F86AD1017B1}">
  <dimension ref="A1:P47"/>
  <sheetViews>
    <sheetView zoomScale="71" zoomScaleNormal="71" workbookViewId="0">
      <selection activeCell="P10" sqref="O5:P10"/>
    </sheetView>
  </sheetViews>
  <sheetFormatPr baseColWidth="10" defaultColWidth="9.140625" defaultRowHeight="15" x14ac:dyDescent="0.25"/>
  <cols>
    <col min="1" max="3" width="9.140625" style="2"/>
    <col min="4" max="4" width="16.85546875" style="2" bestFit="1" customWidth="1"/>
    <col min="5" max="5" width="23.5703125" style="2" bestFit="1" customWidth="1"/>
    <col min="6" max="8" width="17.85546875" style="2" bestFit="1" customWidth="1"/>
    <col min="9" max="9" width="28.85546875" style="2" bestFit="1" customWidth="1"/>
    <col min="10" max="10" width="17.28515625" style="2" bestFit="1" customWidth="1"/>
    <col min="11" max="11" width="10.5703125" style="2" bestFit="1" customWidth="1"/>
    <col min="12" max="12" width="20.7109375" style="2" bestFit="1" customWidth="1"/>
    <col min="13" max="14" width="9.140625" style="2"/>
    <col min="15" max="15" width="11.42578125" style="2" bestFit="1" customWidth="1"/>
    <col min="16" max="16" width="13.42578125" style="2" bestFit="1" customWidth="1"/>
    <col min="17" max="16384" width="9.140625" style="2"/>
  </cols>
  <sheetData>
    <row r="1" spans="1:16" ht="33" customHeight="1" x14ac:dyDescent="0.25">
      <c r="A1" s="212" t="s">
        <v>63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6"/>
    </row>
    <row r="2" spans="1:16" ht="32.25" customHeight="1" x14ac:dyDescent="0.25">
      <c r="A2" s="112"/>
      <c r="B2" s="114"/>
      <c r="C2" s="99"/>
      <c r="D2" s="99"/>
      <c r="E2" s="100"/>
      <c r="F2" s="99"/>
      <c r="G2" s="99" t="s">
        <v>36</v>
      </c>
      <c r="H2" s="99" t="s">
        <v>27</v>
      </c>
      <c r="I2" s="99"/>
      <c r="J2" s="99"/>
      <c r="K2" s="100" t="s">
        <v>28</v>
      </c>
      <c r="L2" s="99"/>
      <c r="M2" s="101"/>
      <c r="N2" s="86"/>
      <c r="O2" s="87"/>
      <c r="P2" s="88"/>
    </row>
    <row r="3" spans="1:16" ht="45" x14ac:dyDescent="0.25">
      <c r="A3" s="113"/>
      <c r="B3" s="114"/>
      <c r="C3" s="50" t="s">
        <v>0</v>
      </c>
      <c r="D3" s="50" t="s">
        <v>24</v>
      </c>
      <c r="E3" s="76" t="s">
        <v>42</v>
      </c>
      <c r="F3" s="50" t="s">
        <v>35</v>
      </c>
      <c r="G3" s="50" t="s">
        <v>26</v>
      </c>
      <c r="H3" s="50" t="s">
        <v>30</v>
      </c>
      <c r="I3" s="50" t="s">
        <v>32</v>
      </c>
      <c r="J3" s="50" t="s">
        <v>31</v>
      </c>
      <c r="K3" s="50" t="s">
        <v>37</v>
      </c>
      <c r="L3" s="50" t="s">
        <v>33</v>
      </c>
      <c r="M3" s="82" t="s">
        <v>29</v>
      </c>
      <c r="N3" s="89"/>
      <c r="O3" s="77"/>
      <c r="P3" s="90"/>
    </row>
    <row r="4" spans="1:16" x14ac:dyDescent="0.25">
      <c r="A4" s="113" t="s">
        <v>20</v>
      </c>
      <c r="B4" s="111" t="s">
        <v>18</v>
      </c>
      <c r="C4" s="51" t="s">
        <v>25</v>
      </c>
      <c r="D4" s="51" t="s">
        <v>46</v>
      </c>
      <c r="E4" s="51" t="s">
        <v>2</v>
      </c>
      <c r="F4" s="51" t="s">
        <v>3</v>
      </c>
      <c r="G4" s="51" t="s">
        <v>4</v>
      </c>
      <c r="H4" s="51" t="s">
        <v>5</v>
      </c>
      <c r="I4" s="51" t="s">
        <v>6</v>
      </c>
      <c r="J4" s="51" t="s">
        <v>7</v>
      </c>
      <c r="K4" s="51" t="s">
        <v>40</v>
      </c>
      <c r="L4" s="51" t="s">
        <v>8</v>
      </c>
      <c r="M4" s="83" t="s">
        <v>9</v>
      </c>
      <c r="N4" s="89"/>
      <c r="O4" s="77"/>
      <c r="P4" s="90"/>
    </row>
    <row r="5" spans="1:16" x14ac:dyDescent="0.25">
      <c r="A5" s="110"/>
      <c r="B5" s="62">
        <v>5.7445764553916659E-2</v>
      </c>
      <c r="C5" s="1">
        <v>0</v>
      </c>
      <c r="D5" s="1"/>
      <c r="E5" s="10">
        <f>+AVERAGE(D6:D41)</f>
        <v>83508.833333333328</v>
      </c>
      <c r="F5" s="1"/>
      <c r="G5" s="1"/>
      <c r="H5" s="1"/>
      <c r="I5" s="1"/>
      <c r="J5" s="1"/>
      <c r="K5" s="1"/>
      <c r="L5" s="1"/>
      <c r="M5" s="102"/>
      <c r="N5" s="89"/>
      <c r="O5" s="28" t="s">
        <v>11</v>
      </c>
      <c r="P5" s="12">
        <f>+F42</f>
        <v>85150.069933125633</v>
      </c>
    </row>
    <row r="6" spans="1:16" x14ac:dyDescent="0.25">
      <c r="A6" s="222">
        <v>2021</v>
      </c>
      <c r="B6" s="62">
        <f>+B5</f>
        <v>5.7445764553916659E-2</v>
      </c>
      <c r="C6" s="3">
        <v>1</v>
      </c>
      <c r="D6" s="20">
        <v>75754</v>
      </c>
      <c r="E6" s="7">
        <f>+(B6*D6)+((1-B6)*E5)</f>
        <v>83063.35100351178</v>
      </c>
      <c r="F6" s="11">
        <f>+E5</f>
        <v>83508.833333333328</v>
      </c>
      <c r="G6" s="11">
        <f>+F6-D6</f>
        <v>7754.8333333333285</v>
      </c>
      <c r="H6" s="11">
        <f>+ABS(G6)</f>
        <v>7754.8333333333285</v>
      </c>
      <c r="I6" s="11">
        <f>+SUMSQ($G$6:G6)/C6</f>
        <v>60137440.027777702</v>
      </c>
      <c r="J6" s="11">
        <f>+SUM($H$6:H6)/C6</f>
        <v>7754.8333333333285</v>
      </c>
      <c r="K6" s="5">
        <f>+(H6/D6)*100</f>
        <v>10.236863179942086</v>
      </c>
      <c r="L6" s="5">
        <f>+AVERAGE($K$6:K6)</f>
        <v>10.236863179942086</v>
      </c>
      <c r="M6" s="84">
        <f>+SUM($G$6:G6)/J6</f>
        <v>1</v>
      </c>
      <c r="N6" s="89"/>
      <c r="O6" s="28" t="s">
        <v>7</v>
      </c>
      <c r="P6" s="12">
        <f>+J41</f>
        <v>7268.6860445616976</v>
      </c>
    </row>
    <row r="7" spans="1:16" x14ac:dyDescent="0.25">
      <c r="A7" s="223"/>
      <c r="B7" s="62">
        <f t="shared" ref="B7:B18" si="0">+B6</f>
        <v>5.7445764553916659E-2</v>
      </c>
      <c r="C7" s="3">
        <v>2</v>
      </c>
      <c r="D7" s="20">
        <v>80164</v>
      </c>
      <c r="E7" s="7">
        <f t="shared" ref="E7:E41" si="1">+(B7*D7)+((1-B7)*E6)</f>
        <v>82896.795568404879</v>
      </c>
      <c r="F7" s="11">
        <f t="shared" ref="F7:F42" si="2">+E6</f>
        <v>83063.35100351178</v>
      </c>
      <c r="G7" s="11">
        <f t="shared" ref="G7:G41" si="3">+F7-D7</f>
        <v>2899.3510035117797</v>
      </c>
      <c r="H7" s="11">
        <f t="shared" ref="H7:H17" si="4">+ABS(G7)</f>
        <v>2899.3510035117797</v>
      </c>
      <c r="I7" s="11">
        <f>+SUMSQ($G$6:G7)/C7</f>
        <v>34271838.134671234</v>
      </c>
      <c r="J7" s="11">
        <f>+SUM($H$6:H7)/C7</f>
        <v>5327.0921684225541</v>
      </c>
      <c r="K7" s="5">
        <f t="shared" ref="K7:K41" si="5">+(H7/D7)*100</f>
        <v>3.616774366937503</v>
      </c>
      <c r="L7" s="5">
        <f>+AVERAGE($K$6:K7)</f>
        <v>6.9268187734397948</v>
      </c>
      <c r="M7" s="84">
        <f>+SUM($G$6:G7)/J7</f>
        <v>2</v>
      </c>
      <c r="N7" s="89"/>
      <c r="O7" s="29" t="s">
        <v>8</v>
      </c>
      <c r="P7" s="26">
        <f>+L41</f>
        <v>8.6260751148739097</v>
      </c>
    </row>
    <row r="8" spans="1:16" x14ac:dyDescent="0.25">
      <c r="A8" s="223"/>
      <c r="B8" s="62">
        <f t="shared" si="0"/>
        <v>5.7445764553916659E-2</v>
      </c>
      <c r="C8" s="3">
        <v>3</v>
      </c>
      <c r="D8" s="20">
        <v>85384</v>
      </c>
      <c r="E8" s="7">
        <f t="shared" si="1"/>
        <v>83039.674928579741</v>
      </c>
      <c r="F8" s="11">
        <f t="shared" si="2"/>
        <v>82896.795568404879</v>
      </c>
      <c r="G8" s="11">
        <f t="shared" si="3"/>
        <v>-2487.2044315951207</v>
      </c>
      <c r="H8" s="11">
        <f t="shared" si="4"/>
        <v>2487.2044315951207</v>
      </c>
      <c r="I8" s="11">
        <f>+SUMSQ($G$6:G8)/C8</f>
        <v>24909954.051296294</v>
      </c>
      <c r="J8" s="11">
        <f>+SUM($H$6:H8)/C8</f>
        <v>4380.4629228134099</v>
      </c>
      <c r="K8" s="5">
        <f t="shared" si="5"/>
        <v>2.9129631214221874</v>
      </c>
      <c r="L8" s="5">
        <f>+AVERAGE($K$6:K8)</f>
        <v>5.588866889433926</v>
      </c>
      <c r="M8" s="84">
        <f>+SUM($G$6:G8)/J8</f>
        <v>1.8644102345248563</v>
      </c>
      <c r="N8" s="89"/>
      <c r="O8" s="28" t="s">
        <v>6</v>
      </c>
      <c r="P8" s="12">
        <f>+I41</f>
        <v>80331253.703356624</v>
      </c>
    </row>
    <row r="9" spans="1:16" x14ac:dyDescent="0.25">
      <c r="A9" s="223"/>
      <c r="B9" s="62">
        <f t="shared" si="0"/>
        <v>5.7445764553916659E-2</v>
      </c>
      <c r="C9" s="3">
        <v>4</v>
      </c>
      <c r="D9" s="20">
        <v>68375</v>
      </c>
      <c r="E9" s="7">
        <f t="shared" si="1"/>
        <v>82197.251465372814</v>
      </c>
      <c r="F9" s="11">
        <f t="shared" si="2"/>
        <v>83039.674928579741</v>
      </c>
      <c r="G9" s="11">
        <f t="shared" si="3"/>
        <v>14664.674928579741</v>
      </c>
      <c r="H9" s="11">
        <f t="shared" si="4"/>
        <v>14664.674928579741</v>
      </c>
      <c r="I9" s="11">
        <f>+SUMSQ($G$6:G9)/C9</f>
        <v>72445638.228701025</v>
      </c>
      <c r="J9" s="11">
        <f>+SUM($H$6:H9)/C9</f>
        <v>6951.5159242549926</v>
      </c>
      <c r="K9" s="5">
        <f t="shared" si="5"/>
        <v>21.44742219901973</v>
      </c>
      <c r="L9" s="5">
        <f>+AVERAGE($K$6:K9)</f>
        <v>9.5535057168303759</v>
      </c>
      <c r="M9" s="84">
        <f>+SUM($G$6:G9)/J9</f>
        <v>3.2844138001851215</v>
      </c>
      <c r="N9" s="89"/>
      <c r="O9" s="28" t="s">
        <v>38</v>
      </c>
      <c r="P9" s="6">
        <f>+MIN(M6:M41)</f>
        <v>-3.9305856881842458</v>
      </c>
    </row>
    <row r="10" spans="1:16" x14ac:dyDescent="0.25">
      <c r="A10" s="223"/>
      <c r="B10" s="62">
        <f t="shared" si="0"/>
        <v>5.7445764553916659E-2</v>
      </c>
      <c r="C10" s="3">
        <v>5</v>
      </c>
      <c r="D10" s="20">
        <v>71351</v>
      </c>
      <c r="E10" s="7">
        <f t="shared" si="1"/>
        <v>81574.18025740044</v>
      </c>
      <c r="F10" s="11">
        <f t="shared" si="2"/>
        <v>82197.251465372814</v>
      </c>
      <c r="G10" s="11">
        <f t="shared" si="3"/>
        <v>10846.251465372814</v>
      </c>
      <c r="H10" s="11">
        <f t="shared" si="4"/>
        <v>10846.251465372814</v>
      </c>
      <c r="I10" s="11">
        <f>+SUMSQ($G$6:G10)/C10</f>
        <v>81484744.752981216</v>
      </c>
      <c r="J10" s="11">
        <f>+SUM($H$6:H10)/C10</f>
        <v>7730.4630324785567</v>
      </c>
      <c r="K10" s="5">
        <f t="shared" si="5"/>
        <v>15.201260620555862</v>
      </c>
      <c r="L10" s="5">
        <f>+AVERAGE($K$6:K10)</f>
        <v>10.683056697575473</v>
      </c>
      <c r="M10" s="84">
        <f>+SUM($G$6:G10)/J10</f>
        <v>4.3565186403077156</v>
      </c>
      <c r="N10" s="89"/>
      <c r="O10" s="28" t="s">
        <v>39</v>
      </c>
      <c r="P10" s="6">
        <f>+MAX(M6:M41)</f>
        <v>6.2424757281836918</v>
      </c>
    </row>
    <row r="11" spans="1:16" x14ac:dyDescent="0.25">
      <c r="A11" s="223"/>
      <c r="B11" s="62">
        <f t="shared" si="0"/>
        <v>5.7445764553916659E-2</v>
      </c>
      <c r="C11" s="3">
        <v>6</v>
      </c>
      <c r="D11" s="20">
        <v>76752</v>
      </c>
      <c r="E11" s="7">
        <f t="shared" si="1"/>
        <v>81297.166425697258</v>
      </c>
      <c r="F11" s="11">
        <f t="shared" si="2"/>
        <v>81574.18025740044</v>
      </c>
      <c r="G11" s="11">
        <f t="shared" si="3"/>
        <v>4822.1802574004396</v>
      </c>
      <c r="H11" s="11">
        <f t="shared" si="4"/>
        <v>4822.1802574004396</v>
      </c>
      <c r="I11" s="11">
        <f>+SUMSQ($G$6:G11)/C11</f>
        <v>71779524.366628096</v>
      </c>
      <c r="J11" s="11">
        <f>+SUM($H$6:H11)/C11</f>
        <v>7245.749236632204</v>
      </c>
      <c r="K11" s="5">
        <f t="shared" si="5"/>
        <v>6.2828072980514378</v>
      </c>
      <c r="L11" s="5">
        <f>+AVERAGE($K$6:K11)</f>
        <v>9.9496817976548009</v>
      </c>
      <c r="M11" s="84">
        <f>+SUM($G$6:G11)/J11</f>
        <v>5.313472119896006</v>
      </c>
      <c r="N11" s="89"/>
      <c r="O11" s="77"/>
      <c r="P11" s="90"/>
    </row>
    <row r="12" spans="1:16" x14ac:dyDescent="0.25">
      <c r="A12" s="223"/>
      <c r="B12" s="62">
        <f t="shared" si="0"/>
        <v>5.7445764553916659E-2</v>
      </c>
      <c r="C12" s="3">
        <v>7</v>
      </c>
      <c r="D12" s="20">
        <v>78805</v>
      </c>
      <c r="E12" s="7">
        <f t="shared" si="1"/>
        <v>81154.002019977474</v>
      </c>
      <c r="F12" s="11">
        <f t="shared" si="2"/>
        <v>81297.166425697258</v>
      </c>
      <c r="G12" s="11">
        <f t="shared" si="3"/>
        <v>2492.1664256972581</v>
      </c>
      <c r="H12" s="11">
        <f t="shared" si="4"/>
        <v>2492.1664256972581</v>
      </c>
      <c r="I12" s="11">
        <f>+SUMSQ($G$6:G12)/C12</f>
        <v>62412577.099020176</v>
      </c>
      <c r="J12" s="11">
        <f>+SUM($H$6:H12)/C12</f>
        <v>6566.6659779272113</v>
      </c>
      <c r="K12" s="5">
        <f t="shared" si="5"/>
        <v>3.162447085460641</v>
      </c>
      <c r="L12" s="5">
        <f>+AVERAGE($K$6:K12)</f>
        <v>8.9800768387699215</v>
      </c>
      <c r="M12" s="84">
        <f>+SUM($G$6:G12)/J12</f>
        <v>6.2424757281836918</v>
      </c>
      <c r="N12" s="89"/>
      <c r="O12" s="77"/>
      <c r="P12" s="90"/>
    </row>
    <row r="13" spans="1:16" x14ac:dyDescent="0.25">
      <c r="A13" s="223"/>
      <c r="B13" s="62">
        <f t="shared" si="0"/>
        <v>5.7445764553916659E-2</v>
      </c>
      <c r="C13" s="3">
        <v>8</v>
      </c>
      <c r="D13" s="20">
        <v>86227</v>
      </c>
      <c r="E13" s="7">
        <f t="shared" si="1"/>
        <v>81445.424267520342</v>
      </c>
      <c r="F13" s="11">
        <f t="shared" si="2"/>
        <v>81154.002019977474</v>
      </c>
      <c r="G13" s="11">
        <f t="shared" si="3"/>
        <v>-5072.9979800225265</v>
      </c>
      <c r="H13" s="11">
        <f t="shared" si="4"/>
        <v>5072.9979800225265</v>
      </c>
      <c r="I13" s="11">
        <f>+SUMSQ($G$6:G13)/C13</f>
        <v>57827918.52480673</v>
      </c>
      <c r="J13" s="11">
        <f>+SUM($H$6:H13)/C13</f>
        <v>6379.957478189126</v>
      </c>
      <c r="K13" s="5">
        <f t="shared" si="5"/>
        <v>5.8833056699438995</v>
      </c>
      <c r="L13" s="5">
        <f>+AVERAGE($K$6:K13)</f>
        <v>8.5929804426666685</v>
      </c>
      <c r="M13" s="84">
        <f>+SUM($G$6:G13)/J13</f>
        <v>5.6300147963482923</v>
      </c>
      <c r="N13" s="89"/>
      <c r="O13" s="77"/>
      <c r="P13" s="90"/>
    </row>
    <row r="14" spans="1:16" x14ac:dyDescent="0.25">
      <c r="A14" s="223"/>
      <c r="B14" s="62">
        <f t="shared" si="0"/>
        <v>5.7445764553916659E-2</v>
      </c>
      <c r="C14" s="3">
        <v>9</v>
      </c>
      <c r="D14" s="20">
        <v>84956</v>
      </c>
      <c r="E14" s="7">
        <f t="shared" si="1"/>
        <v>81647.09197449706</v>
      </c>
      <c r="F14" s="11">
        <f t="shared" si="2"/>
        <v>81445.424267520342</v>
      </c>
      <c r="G14" s="11">
        <f t="shared" si="3"/>
        <v>-3510.5757324796577</v>
      </c>
      <c r="H14" s="11">
        <f t="shared" si="4"/>
        <v>3510.5757324796577</v>
      </c>
      <c r="I14" s="11">
        <f>+SUMSQ($G$6:G14)/C14</f>
        <v>52771943.35243655</v>
      </c>
      <c r="J14" s="11">
        <f>+SUM($H$6:H14)/C14</f>
        <v>6061.1372842214078</v>
      </c>
      <c r="K14" s="5">
        <f t="shared" si="5"/>
        <v>4.1322281327742099</v>
      </c>
      <c r="L14" s="5">
        <f>+AVERAGE($K$6:K14)</f>
        <v>8.0973412971230623</v>
      </c>
      <c r="M14" s="84">
        <f>+SUM($G$6:G14)/J14</f>
        <v>5.3469634080332762</v>
      </c>
      <c r="N14" s="89"/>
      <c r="O14" s="77"/>
      <c r="P14" s="90"/>
    </row>
    <row r="15" spans="1:16" x14ac:dyDescent="0.25">
      <c r="A15" s="223"/>
      <c r="B15" s="62">
        <f t="shared" si="0"/>
        <v>5.7445764553916659E-2</v>
      </c>
      <c r="C15" s="3">
        <v>10</v>
      </c>
      <c r="D15" s="20">
        <v>94954</v>
      </c>
      <c r="E15" s="7">
        <f t="shared" si="1"/>
        <v>82411.517479870716</v>
      </c>
      <c r="F15" s="11">
        <f t="shared" si="2"/>
        <v>81647.09197449706</v>
      </c>
      <c r="G15" s="11">
        <f t="shared" si="3"/>
        <v>-13306.90802550294</v>
      </c>
      <c r="H15" s="11">
        <f t="shared" si="4"/>
        <v>13306.90802550294</v>
      </c>
      <c r="I15" s="11">
        <f>+SUMSQ($G$6:G15)/C15</f>
        <v>65202129.137112357</v>
      </c>
      <c r="J15" s="11">
        <f>+SUM($H$6:H15)/C15</f>
        <v>6785.7143583495608</v>
      </c>
      <c r="K15" s="5">
        <f t="shared" si="5"/>
        <v>14.014057359882617</v>
      </c>
      <c r="L15" s="5">
        <f>+AVERAGE($K$6:K15)</f>
        <v>8.6890129033990178</v>
      </c>
      <c r="M15" s="84">
        <f>+SUM($G$6:G15)/J15</f>
        <v>2.8149978374481854</v>
      </c>
      <c r="N15" s="89"/>
      <c r="O15" s="77"/>
      <c r="P15" s="90"/>
    </row>
    <row r="16" spans="1:16" x14ac:dyDescent="0.25">
      <c r="A16" s="223"/>
      <c r="B16" s="62">
        <f t="shared" si="0"/>
        <v>5.7445764553916659E-2</v>
      </c>
      <c r="C16" s="3">
        <v>11</v>
      </c>
      <c r="D16" s="20">
        <v>76328</v>
      </c>
      <c r="E16" s="7">
        <f t="shared" si="1"/>
        <v>82062.045167062417</v>
      </c>
      <c r="F16" s="11">
        <f t="shared" si="2"/>
        <v>82411.517479870716</v>
      </c>
      <c r="G16" s="11">
        <f t="shared" si="3"/>
        <v>6083.5174798707158</v>
      </c>
      <c r="H16" s="11">
        <f t="shared" si="4"/>
        <v>6083.5174798707158</v>
      </c>
      <c r="I16" s="11">
        <f>+SUMSQ($G$6:G16)/C16</f>
        <v>62639134.209001467</v>
      </c>
      <c r="J16" s="11">
        <f>+SUM($H$6:H16)/C16</f>
        <v>6721.8782784878476</v>
      </c>
      <c r="K16" s="5">
        <f t="shared" si="5"/>
        <v>7.9702304264106436</v>
      </c>
      <c r="L16" s="5">
        <f>+AVERAGE($K$6:K16)</f>
        <v>8.6236690418546189</v>
      </c>
      <c r="M16" s="84">
        <f>+SUM($G$6:G16)/J16</f>
        <v>3.7467635801687722</v>
      </c>
      <c r="N16" s="89"/>
      <c r="O16" s="77"/>
      <c r="P16" s="90"/>
    </row>
    <row r="17" spans="1:16" x14ac:dyDescent="0.25">
      <c r="A17" s="224"/>
      <c r="B17" s="62">
        <f t="shared" si="0"/>
        <v>5.7445764553916659E-2</v>
      </c>
      <c r="C17" s="3">
        <v>12</v>
      </c>
      <c r="D17" s="20">
        <v>99995</v>
      </c>
      <c r="E17" s="7">
        <f t="shared" si="1"/>
        <v>83092.217468151372</v>
      </c>
      <c r="F17" s="11">
        <f t="shared" si="2"/>
        <v>82062.045167062417</v>
      </c>
      <c r="G17" s="11">
        <f t="shared" si="3"/>
        <v>-17932.954832937583</v>
      </c>
      <c r="H17" s="11">
        <f t="shared" si="4"/>
        <v>17932.954832937583</v>
      </c>
      <c r="I17" s="11">
        <f>+SUMSQ($G$6:G17)/C17</f>
        <v>84218445.444932953</v>
      </c>
      <c r="J17" s="11">
        <f>+SUM($H$6:H17)/C17</f>
        <v>7656.1346580253257</v>
      </c>
      <c r="K17" s="5">
        <f t="shared" si="5"/>
        <v>17.933851525513859</v>
      </c>
      <c r="L17" s="5">
        <f>+AVERAGE($K$6:K17)</f>
        <v>9.3995175821595556</v>
      </c>
      <c r="M17" s="84">
        <f>+SUM($G$6:G17)/J17</f>
        <v>0.94725788079317486</v>
      </c>
      <c r="N17" s="89"/>
      <c r="O17" s="77"/>
      <c r="P17" s="90"/>
    </row>
    <row r="18" spans="1:16" x14ac:dyDescent="0.25">
      <c r="A18" s="222">
        <v>2022</v>
      </c>
      <c r="B18" s="62">
        <f t="shared" si="0"/>
        <v>5.7445764553916659E-2</v>
      </c>
      <c r="C18" s="3">
        <v>13</v>
      </c>
      <c r="D18" s="20">
        <v>78535</v>
      </c>
      <c r="E18" s="7">
        <f t="shared" si="1"/>
        <v>82830.424626454944</v>
      </c>
      <c r="F18" s="11">
        <f t="shared" si="2"/>
        <v>83092.217468151372</v>
      </c>
      <c r="G18" s="11">
        <f t="shared" si="3"/>
        <v>4557.2174681513716</v>
      </c>
      <c r="H18" s="11">
        <f>+ABS(G18)</f>
        <v>4557.2174681513716</v>
      </c>
      <c r="I18" s="11">
        <f>+SUMSQ($G$6:G18)/C18</f>
        <v>79337659.7224015</v>
      </c>
      <c r="J18" s="11">
        <f>+SUM($H$6:H18)/C18</f>
        <v>7417.7564126504058</v>
      </c>
      <c r="K18" s="5">
        <f t="shared" si="5"/>
        <v>5.802785341760198</v>
      </c>
      <c r="L18" s="5">
        <f>+AVERAGE($K$6:K18)</f>
        <v>9.1228458713596048</v>
      </c>
      <c r="M18" s="84">
        <f>+SUM($G$6:G18)/J18</f>
        <v>1.5920651343092569</v>
      </c>
      <c r="N18" s="89"/>
      <c r="O18" s="77"/>
      <c r="P18" s="90"/>
    </row>
    <row r="19" spans="1:16" x14ac:dyDescent="0.25">
      <c r="A19" s="223"/>
      <c r="B19" s="62">
        <f>+B18</f>
        <v>5.7445764553916659E-2</v>
      </c>
      <c r="C19" s="3">
        <v>14</v>
      </c>
      <c r="D19" s="20">
        <v>77580</v>
      </c>
      <c r="E19" s="7">
        <f t="shared" si="1"/>
        <v>82528.809969555528</v>
      </c>
      <c r="F19" s="11">
        <f t="shared" si="2"/>
        <v>82830.424626454944</v>
      </c>
      <c r="G19" s="11">
        <f t="shared" si="3"/>
        <v>5250.4246264549438</v>
      </c>
      <c r="H19" s="11">
        <f t="shared" ref="H19:H41" si="6">+ABS(G19)</f>
        <v>5250.4246264549438</v>
      </c>
      <c r="I19" s="11">
        <f>+SUMSQ($G$6:G19)/C19</f>
        <v>75639752.510664567</v>
      </c>
      <c r="J19" s="11">
        <f>+SUM($H$6:H19)/C19</f>
        <v>7262.94699935073</v>
      </c>
      <c r="K19" s="5">
        <f t="shared" si="5"/>
        <v>6.7677553834170459</v>
      </c>
      <c r="L19" s="5">
        <f>+AVERAGE($K$6:K19)</f>
        <v>8.9546251222208504</v>
      </c>
      <c r="M19" s="84">
        <f>+SUM($G$6:G19)/J19</f>
        <v>2.3489054769860824</v>
      </c>
      <c r="N19" s="89"/>
      <c r="O19" s="77"/>
      <c r="P19" s="90"/>
    </row>
    <row r="20" spans="1:16" x14ac:dyDescent="0.25">
      <c r="A20" s="223"/>
      <c r="B20" s="62">
        <f t="shared" ref="B20:B42" si="7">+B19</f>
        <v>5.7445764553916659E-2</v>
      </c>
      <c r="C20" s="3">
        <v>15</v>
      </c>
      <c r="D20" s="20">
        <v>86508</v>
      </c>
      <c r="E20" s="7">
        <f t="shared" si="1"/>
        <v>82757.39758315972</v>
      </c>
      <c r="F20" s="11">
        <f t="shared" si="2"/>
        <v>82528.809969555528</v>
      </c>
      <c r="G20" s="11">
        <f t="shared" si="3"/>
        <v>-3979.1900304444716</v>
      </c>
      <c r="H20" s="11">
        <f t="shared" si="6"/>
        <v>3979.1900304444716</v>
      </c>
      <c r="I20" s="11">
        <f>+SUMSQ($G$6:G20)/C20</f>
        <v>71652699.229846179</v>
      </c>
      <c r="J20" s="11">
        <f>+SUM($H$6:H20)/C20</f>
        <v>7044.0298680903124</v>
      </c>
      <c r="K20" s="5">
        <f t="shared" si="5"/>
        <v>4.5997942738757933</v>
      </c>
      <c r="L20" s="5">
        <f>+AVERAGE($K$6:K20)</f>
        <v>8.6643030656645141</v>
      </c>
      <c r="M20" s="84">
        <f>+SUM($G$6:G20)/J20</f>
        <v>1.8570031928238244</v>
      </c>
      <c r="N20" s="89"/>
      <c r="O20" s="77"/>
      <c r="P20" s="90"/>
    </row>
    <row r="21" spans="1:16" x14ac:dyDescent="0.25">
      <c r="A21" s="223"/>
      <c r="B21" s="62">
        <f t="shared" si="7"/>
        <v>5.7445764553916659E-2</v>
      </c>
      <c r="C21" s="3">
        <v>16</v>
      </c>
      <c r="D21" s="20">
        <v>72863</v>
      </c>
      <c r="E21" s="7">
        <f t="shared" si="1"/>
        <v>82189.006349194678</v>
      </c>
      <c r="F21" s="11">
        <f t="shared" si="2"/>
        <v>82757.39758315972</v>
      </c>
      <c r="G21" s="11">
        <f t="shared" si="3"/>
        <v>9894.3975831597199</v>
      </c>
      <c r="H21" s="11">
        <f t="shared" si="6"/>
        <v>9894.3975831597199</v>
      </c>
      <c r="I21" s="11">
        <f>+SUMSQ($G$6:G21)/C21</f>
        <v>73293099.49883309</v>
      </c>
      <c r="J21" s="11">
        <f>+SUM($H$6:H21)/C21</f>
        <v>7222.1778502821508</v>
      </c>
      <c r="K21" s="5">
        <f t="shared" si="5"/>
        <v>13.579454020778336</v>
      </c>
      <c r="L21" s="5">
        <f>+AVERAGE($K$6:K21)</f>
        <v>8.9715000003591285</v>
      </c>
      <c r="M21" s="84">
        <f>+SUM($G$6:G21)/J21</f>
        <v>3.1811988038555761</v>
      </c>
      <c r="N21" s="89"/>
      <c r="O21" s="77"/>
      <c r="P21" s="90"/>
    </row>
    <row r="22" spans="1:16" x14ac:dyDescent="0.25">
      <c r="A22" s="223"/>
      <c r="B22" s="62">
        <f t="shared" si="7"/>
        <v>5.7445764553916659E-2</v>
      </c>
      <c r="C22" s="3">
        <v>17</v>
      </c>
      <c r="D22" s="20">
        <v>66963</v>
      </c>
      <c r="E22" s="7">
        <f t="shared" si="1"/>
        <v>81314.336773362404</v>
      </c>
      <c r="F22" s="11">
        <f t="shared" si="2"/>
        <v>82189.006349194678</v>
      </c>
      <c r="G22" s="11">
        <f t="shared" si="3"/>
        <v>15226.006349194678</v>
      </c>
      <c r="H22" s="11">
        <f t="shared" si="6"/>
        <v>15226.006349194678</v>
      </c>
      <c r="I22" s="11">
        <f>+SUMSQ($G$6:G22)/C22</f>
        <v>82618874.195708603</v>
      </c>
      <c r="J22" s="11">
        <f>+SUM($H$6:H22)/C22</f>
        <v>7692.9912913946528</v>
      </c>
      <c r="K22" s="5">
        <f t="shared" si="5"/>
        <v>22.737939383233545</v>
      </c>
      <c r="L22" s="5">
        <f>+AVERAGE($K$6:K22)</f>
        <v>9.7812905522929174</v>
      </c>
      <c r="M22" s="84">
        <f>+SUM($G$6:G22)/J22</f>
        <v>4.9657133929783823</v>
      </c>
      <c r="N22" s="89"/>
      <c r="O22" s="77"/>
      <c r="P22" s="90"/>
    </row>
    <row r="23" spans="1:16" x14ac:dyDescent="0.25">
      <c r="A23" s="223"/>
      <c r="B23" s="62">
        <f t="shared" si="7"/>
        <v>5.7445764553916659E-2</v>
      </c>
      <c r="C23" s="3">
        <v>18</v>
      </c>
      <c r="D23" s="20">
        <v>79438</v>
      </c>
      <c r="E23" s="7">
        <f t="shared" si="1"/>
        <v>81206.549172855972</v>
      </c>
      <c r="F23" s="11">
        <f t="shared" si="2"/>
        <v>81314.336773362404</v>
      </c>
      <c r="G23" s="11">
        <f t="shared" si="3"/>
        <v>1876.3367733624036</v>
      </c>
      <c r="H23" s="11">
        <f t="shared" si="6"/>
        <v>1876.3367733624036</v>
      </c>
      <c r="I23" s="11">
        <f>+SUMSQ($G$6:G23)/C23</f>
        <v>78224527.834117681</v>
      </c>
      <c r="J23" s="11">
        <f>+SUM($H$6:H23)/C23</f>
        <v>7369.8438181706397</v>
      </c>
      <c r="K23" s="5">
        <f t="shared" si="5"/>
        <v>2.3620141158669701</v>
      </c>
      <c r="L23" s="5">
        <f>+AVERAGE($K$6:K23)</f>
        <v>9.3691085280470308</v>
      </c>
      <c r="M23" s="84">
        <f>+SUM($G$6:G23)/J23</f>
        <v>5.4380428744357072</v>
      </c>
      <c r="N23" s="89"/>
      <c r="O23" s="77"/>
      <c r="P23" s="90"/>
    </row>
    <row r="24" spans="1:16" x14ac:dyDescent="0.25">
      <c r="A24" s="223"/>
      <c r="B24" s="62">
        <f t="shared" si="7"/>
        <v>5.7445764553916659E-2</v>
      </c>
      <c r="C24" s="3">
        <v>19</v>
      </c>
      <c r="D24" s="20">
        <v>77103</v>
      </c>
      <c r="E24" s="7">
        <f t="shared" si="1"/>
        <v>80970.817653236663</v>
      </c>
      <c r="F24" s="11">
        <f t="shared" si="2"/>
        <v>81206.549172855972</v>
      </c>
      <c r="G24" s="11">
        <f t="shared" si="3"/>
        <v>4103.5491728559718</v>
      </c>
      <c r="H24" s="11">
        <f t="shared" si="6"/>
        <v>4103.5491728559718</v>
      </c>
      <c r="I24" s="11">
        <f>+SUMSQ($G$6:G24)/C24</f>
        <v>74993716.675166577</v>
      </c>
      <c r="J24" s="11">
        <f>+SUM($H$6:H24)/C24</f>
        <v>7197.9335736803941</v>
      </c>
      <c r="K24" s="5">
        <f t="shared" si="5"/>
        <v>5.3221653798892019</v>
      </c>
      <c r="L24" s="5">
        <f>+AVERAGE($K$6:K24)</f>
        <v>9.1561115202492509</v>
      </c>
      <c r="M24" s="84">
        <f>+SUM($G$6:G24)/J24</f>
        <v>6.1380221672944009</v>
      </c>
      <c r="N24" s="89"/>
      <c r="O24" s="77"/>
      <c r="P24" s="90"/>
    </row>
    <row r="25" spans="1:16" x14ac:dyDescent="0.25">
      <c r="A25" s="223"/>
      <c r="B25" s="62">
        <f t="shared" si="7"/>
        <v>5.7445764553916659E-2</v>
      </c>
      <c r="C25" s="3">
        <v>20</v>
      </c>
      <c r="D25" s="20">
        <v>91471</v>
      </c>
      <c r="E25" s="7">
        <f t="shared" si="1"/>
        <v>81574.008656102014</v>
      </c>
      <c r="F25" s="11">
        <f t="shared" si="2"/>
        <v>80970.817653236663</v>
      </c>
      <c r="G25" s="11">
        <f t="shared" si="3"/>
        <v>-10500.182346763337</v>
      </c>
      <c r="H25" s="11">
        <f t="shared" si="6"/>
        <v>10500.182346763337</v>
      </c>
      <c r="I25" s="11">
        <f>+SUMSQ($G$6:G25)/C25</f>
        <v>76756722.307172269</v>
      </c>
      <c r="J25" s="11">
        <f>+SUM($H$6:H25)/C25</f>
        <v>7363.0460123345401</v>
      </c>
      <c r="K25" s="5">
        <f t="shared" si="5"/>
        <v>11.479247353547393</v>
      </c>
      <c r="L25" s="5">
        <f>+AVERAGE($K$6:K25)</f>
        <v>9.2722683119141571</v>
      </c>
      <c r="M25" s="84">
        <f>+SUM($G$6:G25)/J25</f>
        <v>4.5743152264399072</v>
      </c>
      <c r="N25" s="89"/>
      <c r="O25" s="77"/>
      <c r="P25" s="90"/>
    </row>
    <row r="26" spans="1:16" x14ac:dyDescent="0.25">
      <c r="A26" s="223"/>
      <c r="B26" s="62">
        <f t="shared" si="7"/>
        <v>5.7445764553916659E-2</v>
      </c>
      <c r="C26" s="3">
        <v>21</v>
      </c>
      <c r="D26" s="20">
        <v>91148</v>
      </c>
      <c r="E26" s="7">
        <f t="shared" si="1"/>
        <v>82123.993908684803</v>
      </c>
      <c r="F26" s="11">
        <f t="shared" si="2"/>
        <v>81574.008656102014</v>
      </c>
      <c r="G26" s="11">
        <f t="shared" si="3"/>
        <v>-9573.9913438979856</v>
      </c>
      <c r="H26" s="11">
        <f t="shared" si="6"/>
        <v>9573.9913438979856</v>
      </c>
      <c r="I26" s="11">
        <f>+SUMSQ($G$6:G26)/C26</f>
        <v>77466464.590308532</v>
      </c>
      <c r="J26" s="11">
        <f>+SUM($H$6:H26)/C26</f>
        <v>7468.3291233613718</v>
      </c>
      <c r="K26" s="5">
        <f t="shared" si="5"/>
        <v>10.503786527294055</v>
      </c>
      <c r="L26" s="5">
        <f>+AVERAGE($K$6:K26)</f>
        <v>9.3309120364560592</v>
      </c>
      <c r="M26" s="84">
        <f>+SUM($G$6:G26)/J26</f>
        <v>3.2278842757336093</v>
      </c>
      <c r="N26" s="89"/>
      <c r="O26" s="77"/>
      <c r="P26" s="90"/>
    </row>
    <row r="27" spans="1:16" x14ac:dyDescent="0.25">
      <c r="A27" s="223"/>
      <c r="B27" s="62">
        <f t="shared" si="7"/>
        <v>5.7445764553916659E-2</v>
      </c>
      <c r="C27" s="3">
        <v>22</v>
      </c>
      <c r="D27" s="20">
        <v>107460</v>
      </c>
      <c r="E27" s="7">
        <f t="shared" si="1"/>
        <v>83579.440149343092</v>
      </c>
      <c r="F27" s="11">
        <f t="shared" si="2"/>
        <v>82123.993908684803</v>
      </c>
      <c r="G27" s="11">
        <f t="shared" si="3"/>
        <v>-25336.006091315197</v>
      </c>
      <c r="H27" s="11">
        <f t="shared" si="6"/>
        <v>25336.006091315197</v>
      </c>
      <c r="I27" s="11">
        <f>+SUMSQ($G$6:G27)/C27</f>
        <v>103123134.59343816</v>
      </c>
      <c r="J27" s="11">
        <f>+SUM($H$6:H27)/C27</f>
        <v>8280.4962582683638</v>
      </c>
      <c r="K27" s="5">
        <f t="shared" si="5"/>
        <v>23.577150652629069</v>
      </c>
      <c r="L27" s="5">
        <f>+AVERAGE($K$6:K27)</f>
        <v>9.9784683371911953</v>
      </c>
      <c r="M27" s="84">
        <f>+SUM($G$6:G27)/J27</f>
        <v>-0.14843360949367621</v>
      </c>
      <c r="N27" s="89"/>
      <c r="O27" s="77"/>
      <c r="P27" s="90"/>
    </row>
    <row r="28" spans="1:16" x14ac:dyDescent="0.25">
      <c r="A28" s="223"/>
      <c r="B28" s="62">
        <f t="shared" si="7"/>
        <v>5.7445764553916659E-2</v>
      </c>
      <c r="C28" s="3">
        <v>23</v>
      </c>
      <c r="D28" s="20">
        <v>77570</v>
      </c>
      <c r="E28" s="7">
        <f t="shared" si="1"/>
        <v>83234.223265423061</v>
      </c>
      <c r="F28" s="11">
        <f t="shared" si="2"/>
        <v>83579.440149343092</v>
      </c>
      <c r="G28" s="11">
        <f t="shared" si="3"/>
        <v>6009.4401493430923</v>
      </c>
      <c r="H28" s="11">
        <f t="shared" si="6"/>
        <v>6009.4401493430923</v>
      </c>
      <c r="I28" s="11">
        <f>+SUMSQ($G$6:G28)/C28</f>
        <v>100209666.60713811</v>
      </c>
      <c r="J28" s="11">
        <f>+SUM($H$6:H28)/C28</f>
        <v>8181.7546883150908</v>
      </c>
      <c r="K28" s="5">
        <f t="shared" si="5"/>
        <v>7.7471189239952203</v>
      </c>
      <c r="L28" s="5">
        <f>+AVERAGE($K$6:K28)</f>
        <v>9.8814531453131096</v>
      </c>
      <c r="M28" s="84">
        <f>+SUM($G$6:G28)/J28</f>
        <v>0.58426784759955663</v>
      </c>
      <c r="N28" s="89"/>
      <c r="O28" s="77"/>
      <c r="P28" s="90"/>
    </row>
    <row r="29" spans="1:16" x14ac:dyDescent="0.25">
      <c r="A29" s="224"/>
      <c r="B29" s="62">
        <f t="shared" si="7"/>
        <v>5.7445764553916659E-2</v>
      </c>
      <c r="C29" s="3">
        <v>24</v>
      </c>
      <c r="D29" s="20">
        <v>89156</v>
      </c>
      <c r="E29" s="7">
        <f t="shared" si="1"/>
        <v>83574.404257458431</v>
      </c>
      <c r="F29" s="11">
        <f t="shared" si="2"/>
        <v>83234.223265423061</v>
      </c>
      <c r="G29" s="11">
        <f t="shared" si="3"/>
        <v>-5921.7767345769389</v>
      </c>
      <c r="H29" s="11">
        <f t="shared" si="6"/>
        <v>5921.7767345769389</v>
      </c>
      <c r="I29" s="11">
        <f>+SUMSQ($G$6:G29)/C29</f>
        <v>97495407.152431384</v>
      </c>
      <c r="J29" s="11">
        <f>+SUM($H$6:H29)/C29</f>
        <v>8087.5889402426683</v>
      </c>
      <c r="K29" s="5">
        <f t="shared" si="5"/>
        <v>6.642039497708442</v>
      </c>
      <c r="L29" s="5">
        <f>+AVERAGE($K$6:K29)</f>
        <v>9.7464775766629153</v>
      </c>
      <c r="M29" s="84">
        <f>+SUM($G$6:G29)/J29</f>
        <v>-0.14113483532377091</v>
      </c>
      <c r="N29" s="89"/>
      <c r="O29" s="77"/>
      <c r="P29" s="90"/>
    </row>
    <row r="30" spans="1:16" x14ac:dyDescent="0.25">
      <c r="A30" s="222">
        <v>2023</v>
      </c>
      <c r="B30" s="62">
        <f t="shared" si="7"/>
        <v>5.7445764553916659E-2</v>
      </c>
      <c r="C30" s="3">
        <v>25</v>
      </c>
      <c r="D30" s="20">
        <v>88182</v>
      </c>
      <c r="E30" s="7">
        <f t="shared" si="1"/>
        <v>83839.0911176441</v>
      </c>
      <c r="F30" s="11">
        <f t="shared" si="2"/>
        <v>83574.404257458431</v>
      </c>
      <c r="G30" s="11">
        <f t="shared" si="3"/>
        <v>-4607.5957425415691</v>
      </c>
      <c r="H30" s="11">
        <f t="shared" si="6"/>
        <v>4607.5957425415691</v>
      </c>
      <c r="I30" s="11">
        <f>+SUMSQ($G$6:G30)/C30</f>
        <v>94444788.407401621</v>
      </c>
      <c r="J30" s="11">
        <f>+SUM($H$6:H30)/C30</f>
        <v>7948.3892123346241</v>
      </c>
      <c r="K30" s="5">
        <f t="shared" si="5"/>
        <v>5.225097800618685</v>
      </c>
      <c r="L30" s="5">
        <f>+AVERAGE($K$6:K30)</f>
        <v>9.5656223856211469</v>
      </c>
      <c r="M30" s="84">
        <f>+SUM($G$6:G30)/J30</f>
        <v>-0.72329576750814961</v>
      </c>
      <c r="N30" s="89"/>
      <c r="O30" s="77"/>
      <c r="P30" s="90"/>
    </row>
    <row r="31" spans="1:16" x14ac:dyDescent="0.25">
      <c r="A31" s="223"/>
      <c r="B31" s="62">
        <f t="shared" si="7"/>
        <v>5.7445764553916659E-2</v>
      </c>
      <c r="C31" s="3">
        <v>26</v>
      </c>
      <c r="D31" s="20">
        <v>79803</v>
      </c>
      <c r="E31" s="7">
        <f t="shared" si="1"/>
        <v>83607.234777581762</v>
      </c>
      <c r="F31" s="11">
        <f t="shared" si="2"/>
        <v>83839.0911176441</v>
      </c>
      <c r="G31" s="11">
        <f t="shared" si="3"/>
        <v>4036.0911176441004</v>
      </c>
      <c r="H31" s="11">
        <f t="shared" si="6"/>
        <v>4036.0911176441004</v>
      </c>
      <c r="I31" s="11">
        <f>+SUMSQ($G$6:G31)/C31</f>
        <v>91438836.21903716</v>
      </c>
      <c r="J31" s="11">
        <f>+SUM($H$6:H31)/C31</f>
        <v>7797.9162086926808</v>
      </c>
      <c r="K31" s="5">
        <f t="shared" si="5"/>
        <v>5.0575681586457906</v>
      </c>
      <c r="L31" s="5">
        <f>+AVERAGE($K$6:K31)</f>
        <v>9.3922356845836319</v>
      </c>
      <c r="M31" s="84">
        <f>+SUM($G$6:G31)/J31</f>
        <v>-0.21966703825766593</v>
      </c>
      <c r="N31" s="89"/>
      <c r="O31" s="77"/>
      <c r="P31" s="90"/>
    </row>
    <row r="32" spans="1:16" x14ac:dyDescent="0.25">
      <c r="A32" s="223"/>
      <c r="B32" s="62">
        <f t="shared" si="7"/>
        <v>5.7445764553916659E-2</v>
      </c>
      <c r="C32" s="3">
        <v>27</v>
      </c>
      <c r="D32" s="20">
        <v>89841</v>
      </c>
      <c r="E32" s="7">
        <f t="shared" si="1"/>
        <v>83965.338186833193</v>
      </c>
      <c r="F32" s="11">
        <f t="shared" si="2"/>
        <v>83607.234777581762</v>
      </c>
      <c r="G32" s="11">
        <f t="shared" si="3"/>
        <v>-6233.7652224182384</v>
      </c>
      <c r="H32" s="11">
        <f t="shared" si="6"/>
        <v>6233.7652224182384</v>
      </c>
      <c r="I32" s="11">
        <f>+SUMSQ($G$6:G32)/C32</f>
        <v>89491465.575673983</v>
      </c>
      <c r="J32" s="11">
        <f>+SUM($H$6:H32)/C32</f>
        <v>7739.984690682516</v>
      </c>
      <c r="K32" s="5">
        <f t="shared" si="5"/>
        <v>6.9386641092799932</v>
      </c>
      <c r="L32" s="5">
        <f>+AVERAGE($K$6:K32)</f>
        <v>9.3013626632760893</v>
      </c>
      <c r="M32" s="84">
        <f>+SUM($G$6:G32)/J32</f>
        <v>-1.0267087982912355</v>
      </c>
      <c r="N32" s="89"/>
      <c r="O32" s="77"/>
      <c r="P32" s="90"/>
    </row>
    <row r="33" spans="1:16" x14ac:dyDescent="0.25">
      <c r="A33" s="223"/>
      <c r="B33" s="62">
        <f t="shared" si="7"/>
        <v>5.7445764553916659E-2</v>
      </c>
      <c r="C33" s="3">
        <v>28</v>
      </c>
      <c r="D33" s="20">
        <v>77480</v>
      </c>
      <c r="E33" s="7">
        <f t="shared" si="1"/>
        <v>83592.782976299844</v>
      </c>
      <c r="F33" s="11">
        <f t="shared" si="2"/>
        <v>83965.338186833193</v>
      </c>
      <c r="G33" s="11">
        <f t="shared" si="3"/>
        <v>6485.3381868331926</v>
      </c>
      <c r="H33" s="11">
        <f t="shared" si="6"/>
        <v>6485.3381868331926</v>
      </c>
      <c r="I33" s="11">
        <f>+SUMSQ($G$6:G33)/C33</f>
        <v>87797470.783599809</v>
      </c>
      <c r="J33" s="11">
        <f>+SUM($H$6:H33)/C33</f>
        <v>7695.1758869736123</v>
      </c>
      <c r="K33" s="5">
        <f t="shared" si="5"/>
        <v>8.3703383929184216</v>
      </c>
      <c r="L33" s="5">
        <f>+AVERAGE($K$6:K33)</f>
        <v>9.2681117964776014</v>
      </c>
      <c r="M33" s="84">
        <f>+SUM($G$6:G33)/J33</f>
        <v>-0.1899075752386406</v>
      </c>
      <c r="N33" s="89"/>
      <c r="O33" s="77"/>
      <c r="P33" s="90"/>
    </row>
    <row r="34" spans="1:16" x14ac:dyDescent="0.25">
      <c r="A34" s="223"/>
      <c r="B34" s="62">
        <f t="shared" si="7"/>
        <v>5.7445764553916659E-2</v>
      </c>
      <c r="C34" s="3">
        <v>29</v>
      </c>
      <c r="D34" s="20">
        <v>77263</v>
      </c>
      <c r="E34" s="7">
        <f t="shared" si="1"/>
        <v>83229.163753765926</v>
      </c>
      <c r="F34" s="11">
        <f t="shared" si="2"/>
        <v>83592.782976299844</v>
      </c>
      <c r="G34" s="11">
        <f t="shared" si="3"/>
        <v>6329.7829762998444</v>
      </c>
      <c r="H34" s="11">
        <f t="shared" si="6"/>
        <v>6329.7829762998444</v>
      </c>
      <c r="I34" s="11">
        <f>+SUMSQ($G$6:G34)/C34</f>
        <v>86151563.257512063</v>
      </c>
      <c r="J34" s="11">
        <f>+SUM($H$6:H34)/C34</f>
        <v>7648.0933728124473</v>
      </c>
      <c r="K34" s="5">
        <f t="shared" si="5"/>
        <v>8.1925151447650801</v>
      </c>
      <c r="L34" s="5">
        <f>+AVERAGE($K$6:K34)</f>
        <v>9.231022256763378</v>
      </c>
      <c r="M34" s="84">
        <f>+SUM($G$6:G34)/J34</f>
        <v>0.63655221572949505</v>
      </c>
      <c r="N34" s="89"/>
      <c r="O34" s="77"/>
      <c r="P34" s="90"/>
    </row>
    <row r="35" spans="1:16" x14ac:dyDescent="0.25">
      <c r="A35" s="223"/>
      <c r="B35" s="62">
        <f t="shared" si="7"/>
        <v>5.7445764553916659E-2</v>
      </c>
      <c r="C35" s="3">
        <v>30</v>
      </c>
      <c r="D35" s="20">
        <v>83227</v>
      </c>
      <c r="E35" s="7">
        <f t="shared" si="1"/>
        <v>83229.039455276536</v>
      </c>
      <c r="F35" s="11">
        <f t="shared" si="2"/>
        <v>83229.163753765926</v>
      </c>
      <c r="G35" s="11">
        <f t="shared" si="3"/>
        <v>2.1637537659262307</v>
      </c>
      <c r="H35" s="11">
        <f t="shared" si="6"/>
        <v>2.1637537659262307</v>
      </c>
      <c r="I35" s="11">
        <f>+SUMSQ($G$6:G35)/C35</f>
        <v>83279844.638322666</v>
      </c>
      <c r="J35" s="11">
        <f>+SUM($H$6:H35)/C35</f>
        <v>7393.2290521775631</v>
      </c>
      <c r="K35" s="5">
        <f t="shared" si="5"/>
        <v>2.5998218918454716E-3</v>
      </c>
      <c r="L35" s="5">
        <f>+AVERAGE($K$6:K35)</f>
        <v>8.9234081756009935</v>
      </c>
      <c r="M35" s="84">
        <f>+SUM($G$6:G35)/J35</f>
        <v>0.65878853501788948</v>
      </c>
      <c r="N35" s="89"/>
      <c r="O35" s="77"/>
      <c r="P35" s="90"/>
    </row>
    <row r="36" spans="1:16" x14ac:dyDescent="0.25">
      <c r="A36" s="223"/>
      <c r="B36" s="62">
        <f t="shared" si="7"/>
        <v>5.7445764553916659E-2</v>
      </c>
      <c r="C36" s="3">
        <v>31</v>
      </c>
      <c r="D36" s="20">
        <v>81132</v>
      </c>
      <c r="E36" s="7">
        <f t="shared" si="1"/>
        <v>83108.573420468441</v>
      </c>
      <c r="F36" s="11">
        <f t="shared" si="2"/>
        <v>83229.039455276536</v>
      </c>
      <c r="G36" s="11">
        <f t="shared" si="3"/>
        <v>2097.0394552765356</v>
      </c>
      <c r="H36" s="11">
        <f t="shared" si="6"/>
        <v>2097.0394552765356</v>
      </c>
      <c r="I36" s="11">
        <f>+SUMSQ($G$6:G36)/C36</f>
        <v>80735255.278279573</v>
      </c>
      <c r="J36" s="11">
        <f>+SUM($H$6:H36)/C36</f>
        <v>7222.3842264710784</v>
      </c>
      <c r="K36" s="5">
        <f t="shared" si="5"/>
        <v>2.5847254539226641</v>
      </c>
      <c r="L36" s="5">
        <f>+AVERAGE($K$6:K36)</f>
        <v>8.7189345394178215</v>
      </c>
      <c r="M36" s="84">
        <f>+SUM($G$6:G36)/J36</f>
        <v>0.96472491259534254</v>
      </c>
      <c r="N36" s="89"/>
      <c r="O36" s="77"/>
      <c r="P36" s="90"/>
    </row>
    <row r="37" spans="1:16" x14ac:dyDescent="0.25">
      <c r="A37" s="223"/>
      <c r="B37" s="62">
        <f t="shared" si="7"/>
        <v>5.7445764553916659E-2</v>
      </c>
      <c r="C37" s="3">
        <v>32</v>
      </c>
      <c r="D37" s="20">
        <v>88863</v>
      </c>
      <c r="E37" s="7">
        <f t="shared" si="1"/>
        <v>83439.140854899015</v>
      </c>
      <c r="F37" s="11">
        <f t="shared" si="2"/>
        <v>83108.573420468441</v>
      </c>
      <c r="G37" s="11">
        <f t="shared" si="3"/>
        <v>-5754.4265795315587</v>
      </c>
      <c r="H37" s="11">
        <f t="shared" si="6"/>
        <v>5754.4265795315587</v>
      </c>
      <c r="I37" s="11">
        <f>+SUMSQ($G$6:G37)/C37</f>
        <v>79247073.090183929</v>
      </c>
      <c r="J37" s="11">
        <f>+SUM($H$6:H37)/C37</f>
        <v>7176.5105500042191</v>
      </c>
      <c r="K37" s="5">
        <f t="shared" si="5"/>
        <v>6.4756159251111916</v>
      </c>
      <c r="L37" s="5">
        <f>+AVERAGE($K$6:K37)</f>
        <v>8.6488308327207388</v>
      </c>
      <c r="M37" s="84">
        <f>+SUM($G$6:G37)/J37</f>
        <v>0.16904976361806087</v>
      </c>
      <c r="N37" s="89"/>
      <c r="O37" s="77"/>
      <c r="P37" s="90"/>
    </row>
    <row r="38" spans="1:16" x14ac:dyDescent="0.25">
      <c r="A38" s="223"/>
      <c r="B38" s="62">
        <f t="shared" si="7"/>
        <v>5.7445764553916659E-2</v>
      </c>
      <c r="C38" s="3">
        <v>33</v>
      </c>
      <c r="D38" s="20">
        <v>89823</v>
      </c>
      <c r="E38" s="7">
        <f t="shared" si="1"/>
        <v>83805.866524293844</v>
      </c>
      <c r="F38" s="11">
        <f t="shared" si="2"/>
        <v>83439.140854899015</v>
      </c>
      <c r="G38" s="11">
        <f t="shared" si="3"/>
        <v>-6383.8591451009852</v>
      </c>
      <c r="H38" s="11">
        <f t="shared" si="6"/>
        <v>6383.8591451009852</v>
      </c>
      <c r="I38" s="11">
        <f>+SUMSQ($G$6:G38)/C38</f>
        <v>78080605.953647733</v>
      </c>
      <c r="J38" s="11">
        <f>+SUM($H$6:H38)/C38</f>
        <v>7152.490810461697</v>
      </c>
      <c r="K38" s="5">
        <f t="shared" si="5"/>
        <v>7.107154231211366</v>
      </c>
      <c r="L38" s="5">
        <f>+AVERAGE($K$6:K38)</f>
        <v>8.6021133599477277</v>
      </c>
      <c r="M38" s="84">
        <f>+SUM($G$6:G38)/J38</f>
        <v>-0.72291903199054686</v>
      </c>
      <c r="N38" s="89"/>
      <c r="O38" s="77"/>
      <c r="P38" s="90"/>
    </row>
    <row r="39" spans="1:16" x14ac:dyDescent="0.25">
      <c r="A39" s="223"/>
      <c r="B39" s="62">
        <f t="shared" si="7"/>
        <v>5.7445764553916659E-2</v>
      </c>
      <c r="C39" s="3">
        <v>34</v>
      </c>
      <c r="D39" s="20">
        <v>93478</v>
      </c>
      <c r="E39" s="7">
        <f t="shared" si="1"/>
        <v>84361.489626673312</v>
      </c>
      <c r="F39" s="11">
        <f t="shared" si="2"/>
        <v>83805.866524293844</v>
      </c>
      <c r="G39" s="11">
        <f t="shared" si="3"/>
        <v>-9672.1334757061559</v>
      </c>
      <c r="H39" s="11">
        <f t="shared" si="6"/>
        <v>9672.1334757061559</v>
      </c>
      <c r="I39" s="11">
        <f>+SUMSQ($G$6:G39)/C39</f>
        <v>78535593.013007373</v>
      </c>
      <c r="J39" s="11">
        <f>+SUM($H$6:H39)/C39</f>
        <v>7226.5979476747689</v>
      </c>
      <c r="K39" s="5">
        <f t="shared" si="5"/>
        <v>10.346962360882941</v>
      </c>
      <c r="L39" s="5">
        <f>+AVERAGE($K$6:K39)</f>
        <v>8.6534324482105269</v>
      </c>
      <c r="M39" s="84">
        <f>+SUM($G$6:G39)/J39</f>
        <v>-2.053913240531422</v>
      </c>
      <c r="N39" s="89"/>
      <c r="O39" s="77"/>
      <c r="P39" s="90"/>
    </row>
    <row r="40" spans="1:16" x14ac:dyDescent="0.25">
      <c r="A40" s="223"/>
      <c r="B40" s="62">
        <f t="shared" si="7"/>
        <v>5.7445764553916659E-2</v>
      </c>
      <c r="C40" s="3">
        <v>35</v>
      </c>
      <c r="D40" s="20">
        <v>83241</v>
      </c>
      <c r="E40" s="7">
        <f t="shared" si="1"/>
        <v>84297.122243394333</v>
      </c>
      <c r="F40" s="11">
        <f t="shared" si="2"/>
        <v>84361.489626673312</v>
      </c>
      <c r="G40" s="11">
        <f t="shared" si="3"/>
        <v>1120.4896266733122</v>
      </c>
      <c r="H40" s="11">
        <f t="shared" si="6"/>
        <v>1120.4896266733122</v>
      </c>
      <c r="I40" s="11">
        <f>+SUMSQ($G$6:G40)/C40</f>
        <v>76327590.269878089</v>
      </c>
      <c r="J40" s="11">
        <f>+SUM($H$6:H40)/C40</f>
        <v>7052.1377099318706</v>
      </c>
      <c r="K40" s="5">
        <f t="shared" si="5"/>
        <v>1.3460790075483382</v>
      </c>
      <c r="L40" s="5">
        <f>+AVERAGE($K$6:K40)</f>
        <v>8.444650921334464</v>
      </c>
      <c r="M40" s="84">
        <f>+SUM($G$6:G40)/J40</f>
        <v>-1.9458377227556527</v>
      </c>
      <c r="N40" s="89"/>
      <c r="O40" s="77"/>
      <c r="P40" s="90"/>
    </row>
    <row r="41" spans="1:16" x14ac:dyDescent="0.25">
      <c r="A41" s="224"/>
      <c r="B41" s="103">
        <f t="shared" si="7"/>
        <v>5.7445764553916659E-2</v>
      </c>
      <c r="C41" s="33">
        <v>36</v>
      </c>
      <c r="D41" s="20">
        <v>99145</v>
      </c>
      <c r="E41" s="104">
        <f t="shared" si="1"/>
        <v>85150.069933125633</v>
      </c>
      <c r="F41" s="67">
        <f t="shared" si="2"/>
        <v>84297.122243394333</v>
      </c>
      <c r="G41" s="67">
        <f t="shared" si="3"/>
        <v>-14847.877756605667</v>
      </c>
      <c r="H41" s="67">
        <f t="shared" si="6"/>
        <v>14847.877756605667</v>
      </c>
      <c r="I41" s="105">
        <f>+SUMSQ($G$6:G41)/C41</f>
        <v>80331253.703356624</v>
      </c>
      <c r="J41" s="79">
        <f>+SUM($H$6:H41)/C41</f>
        <v>7268.6860445616976</v>
      </c>
      <c r="K41" s="80">
        <f t="shared" si="5"/>
        <v>14.975921888754517</v>
      </c>
      <c r="L41" s="106">
        <f>+AVERAGE($K$6:K41)</f>
        <v>8.6260751148739097</v>
      </c>
      <c r="M41" s="85">
        <f>+SUM($G$6:G41)/J41</f>
        <v>-3.9305856881842458</v>
      </c>
      <c r="N41" s="89"/>
      <c r="O41" s="77"/>
      <c r="P41" s="90"/>
    </row>
    <row r="42" spans="1:16" x14ac:dyDescent="0.25">
      <c r="A42" s="3">
        <v>2024</v>
      </c>
      <c r="B42" s="62">
        <f t="shared" si="7"/>
        <v>5.7445764553916659E-2</v>
      </c>
      <c r="C42" s="3">
        <v>37</v>
      </c>
      <c r="D42" s="108"/>
      <c r="E42" s="109"/>
      <c r="F42" s="43">
        <f t="shared" si="2"/>
        <v>85150.069933125633</v>
      </c>
      <c r="G42" s="108"/>
      <c r="H42" s="22">
        <f>+AVERAGE(H6:H41)</f>
        <v>7268.6860445616976</v>
      </c>
      <c r="I42" s="108"/>
      <c r="J42" s="108"/>
      <c r="K42" s="107">
        <f>+AVERAGE(K6:K41)</f>
        <v>8.6260751148739097</v>
      </c>
      <c r="L42" s="108"/>
      <c r="M42" s="108"/>
      <c r="N42" s="96"/>
      <c r="O42" s="97"/>
      <c r="P42" s="98"/>
    </row>
    <row r="44" spans="1:16" x14ac:dyDescent="0.25">
      <c r="J44" s="15"/>
    </row>
    <row r="45" spans="1:16" x14ac:dyDescent="0.25">
      <c r="H45" s="34"/>
      <c r="I45" s="34"/>
      <c r="J45" s="34"/>
      <c r="K45" s="34"/>
    </row>
    <row r="46" spans="1:16" x14ac:dyDescent="0.25">
      <c r="H46" s="34"/>
      <c r="I46"/>
      <c r="J46" s="17"/>
      <c r="K46" s="35"/>
    </row>
    <row r="47" spans="1:16" x14ac:dyDescent="0.25">
      <c r="H47" s="34"/>
      <c r="I47"/>
      <c r="J47" s="17"/>
      <c r="K47" s="35"/>
    </row>
  </sheetData>
  <mergeCells count="4">
    <mergeCell ref="A1:P1"/>
    <mergeCell ref="A30:A41"/>
    <mergeCell ref="A18:A29"/>
    <mergeCell ref="A6:A17"/>
  </mergeCells>
  <conditionalFormatting sqref="M6:M41">
    <cfRule type="colorScale" priority="17">
      <colorScale>
        <cfvo type="min"/>
        <cfvo type="percentile" val="50"/>
        <cfvo type="max"/>
        <color theme="0"/>
        <color theme="5" tint="0.79998168889431442"/>
        <color theme="7" tint="-0.499984740745262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78E1-661F-4734-AB68-236215841A32}">
  <dimension ref="A1:R46"/>
  <sheetViews>
    <sheetView topLeftCell="D1" zoomScale="78" zoomScaleNormal="78" workbookViewId="0">
      <selection activeCell="Q12" sqref="Q12:R17"/>
    </sheetView>
  </sheetViews>
  <sheetFormatPr baseColWidth="10" defaultColWidth="9.140625" defaultRowHeight="15" x14ac:dyDescent="0.25"/>
  <cols>
    <col min="1" max="1" width="6.140625" style="2" bestFit="1" customWidth="1"/>
    <col min="2" max="2" width="9.85546875" style="2" bestFit="1" customWidth="1"/>
    <col min="3" max="3" width="15.140625" style="2" bestFit="1" customWidth="1"/>
    <col min="4" max="4" width="10.42578125" style="2" customWidth="1"/>
    <col min="5" max="5" width="16.85546875" style="2" bestFit="1" customWidth="1"/>
    <col min="6" max="6" width="23.5703125" style="2" bestFit="1" customWidth="1"/>
    <col min="7" max="7" width="16.28515625" style="2" bestFit="1" customWidth="1"/>
    <col min="8" max="8" width="17.85546875" style="2" bestFit="1" customWidth="1"/>
    <col min="9" max="10" width="16.85546875" style="2" bestFit="1" customWidth="1"/>
    <col min="11" max="11" width="26.140625" style="2" bestFit="1" customWidth="1"/>
    <col min="12" max="12" width="15.140625" style="2" bestFit="1" customWidth="1"/>
    <col min="13" max="13" width="14.140625" style="2" customWidth="1"/>
    <col min="14" max="14" width="15.42578125" style="2" customWidth="1"/>
    <col min="15" max="15" width="14.140625" style="2" customWidth="1"/>
    <col min="16" max="16" width="9.140625" style="2"/>
    <col min="17" max="17" width="12.140625" style="2" bestFit="1" customWidth="1"/>
    <col min="18" max="18" width="12.7109375" style="2" bestFit="1" customWidth="1"/>
    <col min="19" max="16384" width="9.140625" style="2"/>
  </cols>
  <sheetData>
    <row r="1" spans="1:18" ht="31.5" customHeight="1" x14ac:dyDescent="0.25">
      <c r="A1" s="212" t="s">
        <v>64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8"/>
    </row>
    <row r="2" spans="1:18" ht="45.75" customHeight="1" x14ac:dyDescent="0.25">
      <c r="A2" s="116"/>
      <c r="B2" s="117"/>
      <c r="C2" s="74"/>
      <c r="D2" s="74"/>
      <c r="E2" s="74"/>
      <c r="F2" s="131" t="s">
        <v>21</v>
      </c>
      <c r="G2" s="132" t="s">
        <v>22</v>
      </c>
      <c r="H2" s="133" t="s">
        <v>45</v>
      </c>
      <c r="I2" s="133" t="s">
        <v>36</v>
      </c>
      <c r="J2" s="133" t="s">
        <v>27</v>
      </c>
      <c r="K2" s="133"/>
      <c r="L2" s="133"/>
      <c r="M2" s="132" t="s">
        <v>28</v>
      </c>
      <c r="N2" s="133"/>
      <c r="O2" s="133"/>
      <c r="P2" s="77"/>
      <c r="Q2" s="77"/>
      <c r="R2" s="90"/>
    </row>
    <row r="3" spans="1:18" ht="45" x14ac:dyDescent="0.25">
      <c r="A3" s="121"/>
      <c r="B3" s="122"/>
      <c r="C3" s="55"/>
      <c r="D3" s="128" t="s">
        <v>0</v>
      </c>
      <c r="E3" s="128" t="s">
        <v>24</v>
      </c>
      <c r="F3" s="129" t="s">
        <v>42</v>
      </c>
      <c r="G3" s="130" t="s">
        <v>44</v>
      </c>
      <c r="H3" s="128" t="s">
        <v>35</v>
      </c>
      <c r="I3" s="128" t="s">
        <v>26</v>
      </c>
      <c r="J3" s="128" t="s">
        <v>30</v>
      </c>
      <c r="K3" s="128" t="s">
        <v>32</v>
      </c>
      <c r="L3" s="128" t="s">
        <v>31</v>
      </c>
      <c r="M3" s="128" t="s">
        <v>37</v>
      </c>
      <c r="N3" s="128" t="s">
        <v>33</v>
      </c>
      <c r="O3" s="128" t="s">
        <v>29</v>
      </c>
      <c r="P3" s="77"/>
      <c r="Q3" s="77"/>
      <c r="R3" s="90"/>
    </row>
    <row r="4" spans="1:18" x14ac:dyDescent="0.25">
      <c r="A4" s="115" t="s">
        <v>18</v>
      </c>
      <c r="B4" s="119" t="s">
        <v>19</v>
      </c>
      <c r="C4" s="75" t="s">
        <v>20</v>
      </c>
      <c r="D4" s="75" t="s">
        <v>25</v>
      </c>
      <c r="E4" s="75" t="s">
        <v>1</v>
      </c>
      <c r="F4" s="120" t="s">
        <v>2</v>
      </c>
      <c r="G4" s="75" t="s">
        <v>10</v>
      </c>
      <c r="H4" s="75" t="s">
        <v>3</v>
      </c>
      <c r="I4" s="75" t="s">
        <v>4</v>
      </c>
      <c r="J4" s="75" t="s">
        <v>5</v>
      </c>
      <c r="K4" s="75" t="s">
        <v>6</v>
      </c>
      <c r="L4" s="75" t="s">
        <v>7</v>
      </c>
      <c r="M4" s="75" t="s">
        <v>40</v>
      </c>
      <c r="N4" s="75" t="s">
        <v>8</v>
      </c>
      <c r="O4" s="75" t="s">
        <v>9</v>
      </c>
      <c r="P4" s="77"/>
      <c r="Q4" s="77"/>
      <c r="R4" s="90"/>
    </row>
    <row r="5" spans="1:18" x14ac:dyDescent="0.25">
      <c r="A5" s="5">
        <v>0.05</v>
      </c>
      <c r="B5" s="5">
        <v>0.35399999999999998</v>
      </c>
      <c r="C5" s="125"/>
      <c r="D5" s="1">
        <v>0</v>
      </c>
      <c r="E5" s="126"/>
      <c r="F5" s="13">
        <f>+R6</f>
        <v>77831.385714285701</v>
      </c>
      <c r="G5" s="13">
        <f>+R7</f>
        <v>306.88906048906057</v>
      </c>
      <c r="H5" s="127"/>
      <c r="I5" s="127"/>
      <c r="J5" s="127"/>
      <c r="K5" s="127"/>
      <c r="L5" s="127"/>
      <c r="M5" s="126"/>
      <c r="N5" s="126"/>
      <c r="O5" s="126"/>
      <c r="P5" s="77"/>
      <c r="Q5" s="77"/>
      <c r="R5" s="90"/>
    </row>
    <row r="6" spans="1:18" x14ac:dyDescent="0.25">
      <c r="A6" s="5">
        <f>+A5</f>
        <v>0.05</v>
      </c>
      <c r="B6" s="5">
        <f>+B5</f>
        <v>0.35399999999999998</v>
      </c>
      <c r="C6" s="4">
        <v>2021</v>
      </c>
      <c r="D6" s="3">
        <v>1</v>
      </c>
      <c r="E6" s="21">
        <v>75754</v>
      </c>
      <c r="F6" s="11">
        <f>+(A6*E6)+((1-A6)*(F5+G5))</f>
        <v>78019.061036036015</v>
      </c>
      <c r="G6" s="11">
        <f>+(B6*(F6-F5)+((1-B6)*G5))</f>
        <v>264.68739697554417</v>
      </c>
      <c r="H6" s="11">
        <f>+F5+G5</f>
        <v>78138.274774774764</v>
      </c>
      <c r="I6" s="11">
        <f>+H6-E6</f>
        <v>2384.2747747747635</v>
      </c>
      <c r="J6" s="11">
        <f>+ABS(I6)</f>
        <v>2384.2747747747635</v>
      </c>
      <c r="K6" s="11">
        <f>+SUMSQ($I$6:I6)/D6</f>
        <v>5684766.2016272489</v>
      </c>
      <c r="L6" s="11">
        <f>+SUM($J$6:J6)/D6</f>
        <v>2384.2747747747635</v>
      </c>
      <c r="M6" s="5">
        <f>+(J6/E6)*100</f>
        <v>3.1473912595701399</v>
      </c>
      <c r="N6" s="5">
        <f>+AVERAGE($M$6:M6)</f>
        <v>3.1473912595701399</v>
      </c>
      <c r="O6" s="5">
        <f>+SUM($I$6:I6)/L6</f>
        <v>1</v>
      </c>
      <c r="P6" s="77"/>
      <c r="Q6" s="28" t="s">
        <v>21</v>
      </c>
      <c r="R6" s="8">
        <f>INTERCEPT(E6:E41,D6:D41)</f>
        <v>77831.385714285701</v>
      </c>
    </row>
    <row r="7" spans="1:18" x14ac:dyDescent="0.25">
      <c r="A7" s="5">
        <f t="shared" ref="A7:A42" si="0">+A6</f>
        <v>0.05</v>
      </c>
      <c r="B7" s="5">
        <f t="shared" ref="B7:B42" si="1">+B6</f>
        <v>0.35399999999999998</v>
      </c>
      <c r="C7" s="4">
        <v>2021</v>
      </c>
      <c r="D7" s="3">
        <v>2</v>
      </c>
      <c r="E7" s="21">
        <v>80164</v>
      </c>
      <c r="F7" s="11">
        <f t="shared" ref="F7:F13" si="2">+(A7*E7)+((1-A7)*(F6+G6))</f>
        <v>78377.76101136097</v>
      </c>
      <c r="G7" s="11">
        <f t="shared" ref="G7:G13" si="3">+(B7*(F7-F6)+((1-B7)*G6))</f>
        <v>297.96784971123549</v>
      </c>
      <c r="H7" s="11">
        <f t="shared" ref="H7:H14" si="4">+F6+G6</f>
        <v>78283.748433011555</v>
      </c>
      <c r="I7" s="11">
        <f t="shared" ref="I7:I41" si="5">+H7-E7</f>
        <v>-1880.2515669884451</v>
      </c>
      <c r="J7" s="11">
        <f t="shared" ref="J7:J41" si="6">+ABS(I7)</f>
        <v>1880.2515669884451</v>
      </c>
      <c r="K7" s="11">
        <f>+SUMSQ($I$6:I7)/D7</f>
        <v>4610056.0783948759</v>
      </c>
      <c r="L7" s="11">
        <f>+SUM($J$6:J7)/D7</f>
        <v>2132.2631708816043</v>
      </c>
      <c r="M7" s="5">
        <f t="shared" ref="M7:M41" si="7">+(J7/E7)*100</f>
        <v>2.3455061710848324</v>
      </c>
      <c r="N7" s="5">
        <f>+AVERAGE($M$6:M7)</f>
        <v>2.7464487153274861</v>
      </c>
      <c r="O7" s="5">
        <f>+SUM($I$6:I7)/L7</f>
        <v>0.23637945572071445</v>
      </c>
      <c r="P7" s="77"/>
      <c r="Q7" s="28" t="s">
        <v>22</v>
      </c>
      <c r="R7" s="8">
        <f>+SLOPE(E6:E41,D6:D41)</f>
        <v>306.88906048906057</v>
      </c>
    </row>
    <row r="8" spans="1:18" x14ac:dyDescent="0.25">
      <c r="A8" s="5">
        <f t="shared" si="0"/>
        <v>0.05</v>
      </c>
      <c r="B8" s="5">
        <f t="shared" si="1"/>
        <v>0.35399999999999998</v>
      </c>
      <c r="C8" s="4">
        <v>2021</v>
      </c>
      <c r="D8" s="3">
        <v>3</v>
      </c>
      <c r="E8" s="21">
        <v>85384</v>
      </c>
      <c r="F8" s="11">
        <f t="shared" si="2"/>
        <v>79011.142418018586</v>
      </c>
      <c r="G8" s="11">
        <f t="shared" si="3"/>
        <v>416.70424887025422</v>
      </c>
      <c r="H8" s="11">
        <f t="shared" si="4"/>
        <v>78675.728861072203</v>
      </c>
      <c r="I8" s="11">
        <f t="shared" si="5"/>
        <v>-6708.2711389277974</v>
      </c>
      <c r="J8" s="11">
        <f t="shared" si="6"/>
        <v>6708.2711389277974</v>
      </c>
      <c r="K8" s="11">
        <f>+SUMSQ($I$6:I8)/D8</f>
        <v>18073671.276720468</v>
      </c>
      <c r="L8" s="11">
        <f>+SUM($J$6:J8)/D8</f>
        <v>3657.5991602303352</v>
      </c>
      <c r="M8" s="5">
        <f t="shared" si="7"/>
        <v>7.8565903903867209</v>
      </c>
      <c r="N8" s="5">
        <f>+AVERAGE($M$6:M8)</f>
        <v>4.4498292736805647</v>
      </c>
      <c r="O8" s="134">
        <f>+SUM($I$6:I8)/L8</f>
        <v>-1.696262400374887</v>
      </c>
      <c r="P8" s="77"/>
      <c r="Q8" s="28" t="s">
        <v>23</v>
      </c>
      <c r="R8" s="26">
        <f>RSQ(E6:E18,D6:D18)</f>
        <v>0.22284183966074084</v>
      </c>
    </row>
    <row r="9" spans="1:18" x14ac:dyDescent="0.25">
      <c r="A9" s="5">
        <f t="shared" si="0"/>
        <v>0.05</v>
      </c>
      <c r="B9" s="5">
        <f t="shared" si="1"/>
        <v>0.35399999999999998</v>
      </c>
      <c r="C9" s="4">
        <v>2021</v>
      </c>
      <c r="D9" s="3">
        <v>4</v>
      </c>
      <c r="E9" s="21">
        <v>68375</v>
      </c>
      <c r="F9" s="11">
        <f t="shared" si="2"/>
        <v>78875.204333544403</v>
      </c>
      <c r="G9" s="11">
        <f t="shared" si="3"/>
        <v>221.06886286632354</v>
      </c>
      <c r="H9" s="11">
        <f t="shared" si="4"/>
        <v>79427.846666888843</v>
      </c>
      <c r="I9" s="11">
        <f t="shared" si="5"/>
        <v>11052.846666888843</v>
      </c>
      <c r="J9" s="11">
        <f t="shared" si="6"/>
        <v>11052.846666888843</v>
      </c>
      <c r="K9" s="11">
        <f>+SUMSQ($I$6:I9)/D9</f>
        <v>44096608.317979306</v>
      </c>
      <c r="L9" s="11">
        <f>+SUM($J$6:J9)/D9</f>
        <v>5506.4110368949623</v>
      </c>
      <c r="M9" s="5">
        <f t="shared" si="7"/>
        <v>16.165040829087886</v>
      </c>
      <c r="N9" s="5">
        <f>+AVERAGE($M$6:M9)</f>
        <v>7.3786321625323943</v>
      </c>
      <c r="O9" s="5">
        <f>+SUM($I$6:I9)/L9</f>
        <v>0.88053701462894507</v>
      </c>
      <c r="P9" s="77"/>
      <c r="Q9" s="28" t="s">
        <v>18</v>
      </c>
      <c r="R9" s="8">
        <f>+A5</f>
        <v>0.05</v>
      </c>
    </row>
    <row r="10" spans="1:18" x14ac:dyDescent="0.25">
      <c r="A10" s="5">
        <f t="shared" si="0"/>
        <v>0.05</v>
      </c>
      <c r="B10" s="5">
        <f t="shared" si="1"/>
        <v>0.35399999999999998</v>
      </c>
      <c r="C10" s="4">
        <v>2021</v>
      </c>
      <c r="D10" s="3">
        <v>5</v>
      </c>
      <c r="E10" s="21">
        <v>71351</v>
      </c>
      <c r="F10" s="11">
        <f t="shared" si="2"/>
        <v>78709.00953659018</v>
      </c>
      <c r="G10" s="11">
        <f t="shared" si="3"/>
        <v>83.977527289849917</v>
      </c>
      <c r="H10" s="11">
        <f t="shared" si="4"/>
        <v>79096.273196410722</v>
      </c>
      <c r="I10" s="11">
        <f t="shared" si="5"/>
        <v>7745.2731964107224</v>
      </c>
      <c r="J10" s="11">
        <f t="shared" si="6"/>
        <v>7745.2731964107224</v>
      </c>
      <c r="K10" s="11">
        <f>+SUMSQ($I$6:I10)/D10</f>
        <v>47275138.031791121</v>
      </c>
      <c r="L10" s="11">
        <f>+SUM($J$6:J10)/D10</f>
        <v>5954.1834687981145</v>
      </c>
      <c r="M10" s="5">
        <f t="shared" si="7"/>
        <v>10.855171190888315</v>
      </c>
      <c r="N10" s="5">
        <f>+AVERAGE($M$6:M10)</f>
        <v>8.0739399682035788</v>
      </c>
      <c r="O10" s="5">
        <f>+SUM($I$6:I10)/L10</f>
        <v>2.1151299751097912</v>
      </c>
      <c r="P10" s="77"/>
      <c r="Q10" s="28" t="s">
        <v>19</v>
      </c>
      <c r="R10" s="26">
        <f>+B5</f>
        <v>0.35399999999999998</v>
      </c>
    </row>
    <row r="11" spans="1:18" x14ac:dyDescent="0.25">
      <c r="A11" s="5">
        <f t="shared" si="0"/>
        <v>0.05</v>
      </c>
      <c r="B11" s="5">
        <f t="shared" si="1"/>
        <v>0.35399999999999998</v>
      </c>
      <c r="C11" s="4">
        <v>2021</v>
      </c>
      <c r="D11" s="3">
        <v>6</v>
      </c>
      <c r="E11" s="21">
        <v>76752</v>
      </c>
      <c r="F11" s="11">
        <f t="shared" si="2"/>
        <v>78690.937710686034</v>
      </c>
      <c r="G11" s="11">
        <f t="shared" si="3"/>
        <v>47.852056259175377</v>
      </c>
      <c r="H11" s="11">
        <f t="shared" si="4"/>
        <v>78792.987063880035</v>
      </c>
      <c r="I11" s="11">
        <f t="shared" si="5"/>
        <v>2040.9870638800348</v>
      </c>
      <c r="J11" s="11">
        <f t="shared" si="6"/>
        <v>2040.9870638800348</v>
      </c>
      <c r="K11" s="11">
        <f>+SUMSQ($I$6:I11)/D11</f>
        <v>40090219.725646876</v>
      </c>
      <c r="L11" s="11">
        <f>+SUM($J$6:J11)/D11</f>
        <v>5301.9840679784347</v>
      </c>
      <c r="M11" s="5">
        <f t="shared" si="7"/>
        <v>2.6591972377006918</v>
      </c>
      <c r="N11" s="5">
        <f>+AVERAGE($M$6:M11)</f>
        <v>7.171482846453098</v>
      </c>
      <c r="O11" s="5">
        <f>+SUM($I$6:I11)/L11</f>
        <v>2.7602608397912762</v>
      </c>
      <c r="P11" s="77"/>
      <c r="Q11" s="77"/>
      <c r="R11" s="90"/>
    </row>
    <row r="12" spans="1:18" x14ac:dyDescent="0.25">
      <c r="A12" s="5">
        <f t="shared" si="0"/>
        <v>0.05</v>
      </c>
      <c r="B12" s="5">
        <f t="shared" si="1"/>
        <v>0.35399999999999998</v>
      </c>
      <c r="C12" s="4">
        <v>2021</v>
      </c>
      <c r="D12" s="3">
        <v>7</v>
      </c>
      <c r="E12" s="21">
        <v>78805</v>
      </c>
      <c r="F12" s="11">
        <f t="shared" si="2"/>
        <v>78742.100278597936</v>
      </c>
      <c r="G12" s="11">
        <f t="shared" si="3"/>
        <v>49.023977384240759</v>
      </c>
      <c r="H12" s="11">
        <f t="shared" si="4"/>
        <v>78738.789766945207</v>
      </c>
      <c r="I12" s="11">
        <f t="shared" si="5"/>
        <v>-66.210233054793207</v>
      </c>
      <c r="J12" s="11">
        <f t="shared" si="6"/>
        <v>66.210233054793207</v>
      </c>
      <c r="K12" s="11">
        <f>+SUMSQ($I$6:I12)/D12</f>
        <v>34363671.735548921</v>
      </c>
      <c r="L12" s="11">
        <f>+SUM($J$6:J12)/D12</f>
        <v>4554.0163772750575</v>
      </c>
      <c r="M12" s="5">
        <f t="shared" si="7"/>
        <v>8.4017807315263246E-2</v>
      </c>
      <c r="N12" s="5">
        <f>+AVERAGE($M$6:M12)</f>
        <v>6.158987840861978</v>
      </c>
      <c r="O12" s="5">
        <f>+SUM($I$6:I12)/L12</f>
        <v>3.199076936939043</v>
      </c>
      <c r="P12" s="77"/>
      <c r="Q12" s="28" t="s">
        <v>11</v>
      </c>
      <c r="R12" s="12">
        <f>+H42</f>
        <v>88054.858253311497</v>
      </c>
    </row>
    <row r="13" spans="1:18" x14ac:dyDescent="0.25">
      <c r="A13" s="5">
        <f t="shared" si="0"/>
        <v>0.05</v>
      </c>
      <c r="B13" s="5">
        <f t="shared" si="1"/>
        <v>0.35399999999999998</v>
      </c>
      <c r="C13" s="4">
        <v>2021</v>
      </c>
      <c r="D13" s="3">
        <v>8</v>
      </c>
      <c r="E13" s="21">
        <v>86227</v>
      </c>
      <c r="F13" s="11">
        <f t="shared" si="2"/>
        <v>79162.918043183075</v>
      </c>
      <c r="G13" s="11">
        <f t="shared" si="3"/>
        <v>180.63897805335881</v>
      </c>
      <c r="H13" s="11">
        <f t="shared" si="4"/>
        <v>78791.124255982184</v>
      </c>
      <c r="I13" s="11">
        <f t="shared" si="5"/>
        <v>-7435.875744017816</v>
      </c>
      <c r="J13" s="11">
        <f t="shared" si="6"/>
        <v>7435.875744017816</v>
      </c>
      <c r="K13" s="11">
        <f>+SUMSQ($I$6:I13)/D13</f>
        <v>36979743.778664365</v>
      </c>
      <c r="L13" s="11">
        <f>+SUM($J$6:J13)/D13</f>
        <v>4914.248798117902</v>
      </c>
      <c r="M13" s="5">
        <f t="shared" si="7"/>
        <v>8.6236048384123496</v>
      </c>
      <c r="N13" s="5">
        <f>+AVERAGE($M$6:M13)</f>
        <v>6.4670649655557746</v>
      </c>
      <c r="O13" s="5">
        <f>+SUM($I$6:I13)/L13</f>
        <v>1.4514472734260582</v>
      </c>
      <c r="P13" s="77"/>
      <c r="Q13" s="28" t="s">
        <v>7</v>
      </c>
      <c r="R13" s="12">
        <f>L41</f>
        <v>7155.893686768386</v>
      </c>
    </row>
    <row r="14" spans="1:18" x14ac:dyDescent="0.25">
      <c r="A14" s="5">
        <f t="shared" si="0"/>
        <v>0.05</v>
      </c>
      <c r="B14" s="5">
        <f t="shared" si="1"/>
        <v>0.35399999999999998</v>
      </c>
      <c r="C14" s="4">
        <v>2021</v>
      </c>
      <c r="D14" s="3">
        <v>9</v>
      </c>
      <c r="E14" s="21">
        <v>84956</v>
      </c>
      <c r="F14" s="11">
        <f t="shared" ref="F14:F21" si="8">+(A14*E14)+((1-A14)*(F13+G13))</f>
        <v>79624.179170174611</v>
      </c>
      <c r="G14" s="11">
        <f t="shared" ref="G14:G21" si="9">+(B14*(F14-F13)+((1-B14)*G13))</f>
        <v>279.97921877747353</v>
      </c>
      <c r="H14" s="11">
        <f t="shared" si="4"/>
        <v>79343.55702123644</v>
      </c>
      <c r="I14" s="11">
        <f t="shared" si="5"/>
        <v>-5612.4429787635599</v>
      </c>
      <c r="J14" s="11">
        <f t="shared" si="6"/>
        <v>5612.4429787635599</v>
      </c>
      <c r="K14" s="11">
        <f>+SUMSQ($I$6:I14)/D14</f>
        <v>36370829.602131926</v>
      </c>
      <c r="L14" s="11">
        <f>+SUM($J$6:J14)/D14</f>
        <v>4991.8259293007532</v>
      </c>
      <c r="M14" s="5">
        <f t="shared" si="7"/>
        <v>6.6062938212292952</v>
      </c>
      <c r="N14" s="5">
        <f>+AVERAGE($M$6:M14)</f>
        <v>6.4825348384083874</v>
      </c>
      <c r="O14" s="5">
        <f>+SUM($I$6:I14)/L14</f>
        <v>0.30456391343255784</v>
      </c>
      <c r="P14" s="77"/>
      <c r="Q14" s="29" t="s">
        <v>8</v>
      </c>
      <c r="R14" s="26">
        <f>+N41</f>
        <v>8.5654702744118012</v>
      </c>
    </row>
    <row r="15" spans="1:18" x14ac:dyDescent="0.25">
      <c r="A15" s="5">
        <f t="shared" si="0"/>
        <v>0.05</v>
      </c>
      <c r="B15" s="5">
        <f t="shared" si="1"/>
        <v>0.35399999999999998</v>
      </c>
      <c r="C15" s="4">
        <v>2021</v>
      </c>
      <c r="D15" s="3">
        <v>10</v>
      </c>
      <c r="E15" s="21">
        <v>94954</v>
      </c>
      <c r="F15" s="11">
        <f t="shared" si="8"/>
        <v>80656.650469504471</v>
      </c>
      <c r="G15" s="11">
        <f t="shared" si="9"/>
        <v>546.36141529301835</v>
      </c>
      <c r="H15" s="11">
        <f>+F14+G14</f>
        <v>79904.158388952084</v>
      </c>
      <c r="I15" s="11">
        <f t="shared" si="5"/>
        <v>-15049.841611047916</v>
      </c>
      <c r="J15" s="11">
        <f t="shared" si="6"/>
        <v>15049.841611047916</v>
      </c>
      <c r="K15" s="11">
        <f>+SUMSQ($I$6:I15)/D15</f>
        <v>55383519.893681668</v>
      </c>
      <c r="L15" s="11">
        <f>+SUM($J$6:J15)/D15</f>
        <v>5997.6274974754688</v>
      </c>
      <c r="M15" s="5">
        <f t="shared" si="7"/>
        <v>15.849613087440146</v>
      </c>
      <c r="N15" s="5">
        <f>+AVERAGE($M$6:M15)</f>
        <v>7.4192426633115627</v>
      </c>
      <c r="O15" s="5">
        <f>+SUM($I$6:I15)/L15</f>
        <v>-2.2558105811907838</v>
      </c>
      <c r="P15" s="77"/>
      <c r="Q15" s="28" t="s">
        <v>6</v>
      </c>
      <c r="R15" s="12">
        <f>+K41</f>
        <v>77622853.276308626</v>
      </c>
    </row>
    <row r="16" spans="1:18" x14ac:dyDescent="0.25">
      <c r="A16" s="5">
        <f t="shared" si="0"/>
        <v>0.05</v>
      </c>
      <c r="B16" s="5">
        <f t="shared" si="1"/>
        <v>0.35399999999999998</v>
      </c>
      <c r="C16" s="4">
        <v>2021</v>
      </c>
      <c r="D16" s="3">
        <v>11</v>
      </c>
      <c r="E16" s="21">
        <v>76328</v>
      </c>
      <c r="F16" s="11">
        <f t="shared" si="8"/>
        <v>80959.26129055761</v>
      </c>
      <c r="G16" s="11">
        <f t="shared" si="9"/>
        <v>460.07370493210084</v>
      </c>
      <c r="H16" s="11">
        <f>+F15+G15</f>
        <v>81203.011884797495</v>
      </c>
      <c r="I16" s="11">
        <f t="shared" si="5"/>
        <v>4875.0118847974954</v>
      </c>
      <c r="J16" s="11">
        <f t="shared" si="6"/>
        <v>4875.0118847974954</v>
      </c>
      <c r="K16" s="11">
        <f>+SUMSQ($I$6:I16)/D16</f>
        <v>52509176.346703053</v>
      </c>
      <c r="L16" s="11">
        <f>+SUM($J$6:J16)/D16</f>
        <v>5895.571532686562</v>
      </c>
      <c r="M16" s="5">
        <f t="shared" si="7"/>
        <v>6.3869246997137292</v>
      </c>
      <c r="N16" s="5">
        <f>+AVERAGE($M$6:M16)</f>
        <v>7.3253955757117604</v>
      </c>
      <c r="O16" s="5">
        <f>+SUM($I$6:I16)/L16</f>
        <v>-1.4679661909054449</v>
      </c>
      <c r="P16" s="77"/>
      <c r="Q16" s="28" t="s">
        <v>38</v>
      </c>
      <c r="R16" s="6">
        <f>+MIN(O6:O41)</f>
        <v>-3.9167435581146188</v>
      </c>
    </row>
    <row r="17" spans="1:18" x14ac:dyDescent="0.25">
      <c r="A17" s="5">
        <f t="shared" si="0"/>
        <v>0.05</v>
      </c>
      <c r="B17" s="5">
        <f t="shared" si="1"/>
        <v>0.35399999999999998</v>
      </c>
      <c r="C17" s="4">
        <v>2021</v>
      </c>
      <c r="D17" s="3">
        <v>12</v>
      </c>
      <c r="E17" s="21">
        <v>99995</v>
      </c>
      <c r="F17" s="11">
        <f t="shared" si="8"/>
        <v>82348.118245715217</v>
      </c>
      <c r="G17" s="11">
        <f t="shared" si="9"/>
        <v>788.86297551193024</v>
      </c>
      <c r="H17" s="11">
        <f t="shared" ref="H17:H41" si="10">+F16+G16</f>
        <v>81419.334995489713</v>
      </c>
      <c r="I17" s="11">
        <f t="shared" si="5"/>
        <v>-18575.665004510287</v>
      </c>
      <c r="J17" s="11">
        <f t="shared" si="6"/>
        <v>18575.665004510287</v>
      </c>
      <c r="K17" s="11">
        <f>+SUMSQ($I$6:I17)/D17</f>
        <v>76888022.514460146</v>
      </c>
      <c r="L17" s="11">
        <f>+SUM($J$6:J17)/D17</f>
        <v>6952.2459886718725</v>
      </c>
      <c r="M17" s="5">
        <f t="shared" si="7"/>
        <v>18.576593834201997</v>
      </c>
      <c r="N17" s="5">
        <f>+AVERAGE($M$6:M17)</f>
        <v>8.2629954305859474</v>
      </c>
      <c r="O17" s="5">
        <f>+SUM($I$6:I17)/L17</f>
        <v>-3.9167435581146188</v>
      </c>
      <c r="P17" s="77"/>
      <c r="Q17" s="28" t="s">
        <v>39</v>
      </c>
      <c r="R17" s="6">
        <f>+MAX(O6:O41)</f>
        <v>3.199076936939043</v>
      </c>
    </row>
    <row r="18" spans="1:18" x14ac:dyDescent="0.25">
      <c r="A18" s="5">
        <f t="shared" si="0"/>
        <v>0.05</v>
      </c>
      <c r="B18" s="5">
        <f t="shared" si="1"/>
        <v>0.35399999999999998</v>
      </c>
      <c r="C18" s="4">
        <v>2022</v>
      </c>
      <c r="D18" s="33">
        <v>13</v>
      </c>
      <c r="E18" s="21">
        <v>78535</v>
      </c>
      <c r="F18" s="11">
        <f t="shared" si="8"/>
        <v>82906.882160165784</v>
      </c>
      <c r="G18" s="11">
        <f t="shared" si="9"/>
        <v>707.40790789620746</v>
      </c>
      <c r="H18" s="11">
        <f t="shared" si="10"/>
        <v>83136.98122122715</v>
      </c>
      <c r="I18" s="11">
        <f t="shared" si="5"/>
        <v>4601.9812212271499</v>
      </c>
      <c r="J18" s="11">
        <f t="shared" si="6"/>
        <v>4601.9812212271499</v>
      </c>
      <c r="K18" s="11">
        <f>+SUMSQ($I$6:I18)/D18</f>
        <v>72602653.948773012</v>
      </c>
      <c r="L18" s="11">
        <f>+SUM($J$6:J18)/D18</f>
        <v>6771.4563911761252</v>
      </c>
      <c r="M18" s="5">
        <f t="shared" si="7"/>
        <v>5.8597838176954857</v>
      </c>
      <c r="N18" s="5">
        <f>+AVERAGE($M$6:M18)</f>
        <v>8.0781329988251418</v>
      </c>
      <c r="O18" s="5">
        <f>+SUM($I$6:I18)/L18</f>
        <v>-3.3417011292900529</v>
      </c>
      <c r="P18" s="77"/>
      <c r="Q18" s="77"/>
      <c r="R18" s="90"/>
    </row>
    <row r="19" spans="1:18" x14ac:dyDescent="0.25">
      <c r="A19" s="5">
        <f t="shared" si="0"/>
        <v>0.05</v>
      </c>
      <c r="B19" s="5">
        <f t="shared" si="1"/>
        <v>0.35399999999999998</v>
      </c>
      <c r="C19" s="4">
        <v>2022</v>
      </c>
      <c r="D19" s="3">
        <v>14</v>
      </c>
      <c r="E19" s="21">
        <v>77580</v>
      </c>
      <c r="F19" s="11">
        <f>+(A19*E19)+((1-A19)*(F18+G18))</f>
        <v>83312.575564658895</v>
      </c>
      <c r="G19" s="11">
        <f t="shared" si="9"/>
        <v>600.6009736915114</v>
      </c>
      <c r="H19" s="11">
        <f t="shared" si="10"/>
        <v>83614.290068061993</v>
      </c>
      <c r="I19" s="11">
        <f t="shared" si="5"/>
        <v>6034.2900680619932</v>
      </c>
      <c r="J19" s="11">
        <f t="shared" si="6"/>
        <v>6034.2900680619932</v>
      </c>
      <c r="K19" s="11">
        <f>+SUMSQ($I$6:I19)/D19</f>
        <v>70017654.139968619</v>
      </c>
      <c r="L19" s="11">
        <f>+SUM($J$6:J19)/D19</f>
        <v>6718.8016538108295</v>
      </c>
      <c r="M19" s="5">
        <f t="shared" si="7"/>
        <v>7.7781516731915357</v>
      </c>
      <c r="N19" s="5">
        <f>+AVERAGE($M$6:M19)</f>
        <v>8.0567057612798845</v>
      </c>
      <c r="O19" s="5">
        <f>+SUM($I$6:I19)/L19</f>
        <v>-2.4697697976926793</v>
      </c>
      <c r="P19" s="77"/>
      <c r="Q19" s="77"/>
      <c r="R19" s="90"/>
    </row>
    <row r="20" spans="1:18" x14ac:dyDescent="0.25">
      <c r="A20" s="5">
        <f t="shared" si="0"/>
        <v>0.05</v>
      </c>
      <c r="B20" s="5">
        <f t="shared" si="1"/>
        <v>0.35399999999999998</v>
      </c>
      <c r="C20" s="4">
        <v>2022</v>
      </c>
      <c r="D20" s="3">
        <v>15</v>
      </c>
      <c r="E20" s="21">
        <v>86508</v>
      </c>
      <c r="F20" s="11">
        <f t="shared" si="8"/>
        <v>84042.917711432878</v>
      </c>
      <c r="G20" s="11">
        <f t="shared" si="9"/>
        <v>646.52934896270631</v>
      </c>
      <c r="H20" s="11">
        <f t="shared" si="10"/>
        <v>83913.17653835041</v>
      </c>
      <c r="I20" s="11">
        <f t="shared" si="5"/>
        <v>-2594.8234616495902</v>
      </c>
      <c r="J20" s="11">
        <f t="shared" si="6"/>
        <v>2594.8234616495902</v>
      </c>
      <c r="K20" s="11">
        <f>+SUMSQ($I$6:I20)/D20</f>
        <v>65798684.450445861</v>
      </c>
      <c r="L20" s="11">
        <f>+SUM($J$6:J20)/D20</f>
        <v>6443.8697743334142</v>
      </c>
      <c r="M20" s="5">
        <f t="shared" si="7"/>
        <v>2.9995184973061337</v>
      </c>
      <c r="N20" s="5">
        <f>+AVERAGE($M$6:M20)</f>
        <v>7.7195599436816336</v>
      </c>
      <c r="O20" s="5">
        <f>+SUM($I$6:I20)/L20</f>
        <v>-2.9778250546511358</v>
      </c>
      <c r="P20" s="77"/>
      <c r="Q20" s="77"/>
      <c r="R20" s="90"/>
    </row>
    <row r="21" spans="1:18" x14ac:dyDescent="0.25">
      <c r="A21" s="5">
        <f t="shared" si="0"/>
        <v>0.05</v>
      </c>
      <c r="B21" s="5">
        <f t="shared" si="1"/>
        <v>0.35399999999999998</v>
      </c>
      <c r="C21" s="4">
        <v>2022</v>
      </c>
      <c r="D21" s="3">
        <v>16</v>
      </c>
      <c r="E21" s="21">
        <v>72863</v>
      </c>
      <c r="F21" s="11">
        <f t="shared" si="8"/>
        <v>84098.124707375799</v>
      </c>
      <c r="G21" s="11">
        <f t="shared" si="9"/>
        <v>437.20123599370226</v>
      </c>
      <c r="H21" s="11">
        <f t="shared" si="10"/>
        <v>84689.447060395585</v>
      </c>
      <c r="I21" s="11">
        <f t="shared" si="5"/>
        <v>11826.447060395585</v>
      </c>
      <c r="J21" s="11">
        <f t="shared" si="6"/>
        <v>11826.447060395585</v>
      </c>
      <c r="K21" s="11">
        <f>+SUMSQ($I$6:I21)/D21</f>
        <v>70427819.801814198</v>
      </c>
      <c r="L21" s="11">
        <f>+SUM($J$6:J21)/D21</f>
        <v>6780.2808547122995</v>
      </c>
      <c r="M21" s="5">
        <f t="shared" si="7"/>
        <v>16.231073467185794</v>
      </c>
      <c r="N21" s="5">
        <f>+AVERAGE($M$6:M21)</f>
        <v>8.2515295389006447</v>
      </c>
      <c r="O21" s="5">
        <f>+SUM($I$6:I21)/L21</f>
        <v>-1.085835522197703</v>
      </c>
      <c r="P21" s="77"/>
      <c r="Q21" s="77"/>
      <c r="R21" s="90"/>
    </row>
    <row r="22" spans="1:18" x14ac:dyDescent="0.25">
      <c r="A22" s="5">
        <f t="shared" si="0"/>
        <v>0.05</v>
      </c>
      <c r="B22" s="5">
        <f t="shared" si="1"/>
        <v>0.35399999999999998</v>
      </c>
      <c r="C22" s="4">
        <v>2022</v>
      </c>
      <c r="D22" s="3">
        <v>17</v>
      </c>
      <c r="E22" s="21">
        <v>66963</v>
      </c>
      <c r="F22" s="11">
        <f t="shared" ref="F22:F41" si="11">+(A22*E22)+((1-A22)*(F21+G21))</f>
        <v>83656.709646201023</v>
      </c>
      <c r="G22" s="11">
        <f t="shared" ref="G22:G41" si="12">+(B22*(F22-F21)+((1-B22)*G21))</f>
        <v>126.17106679606118</v>
      </c>
      <c r="H22" s="11">
        <f t="shared" si="10"/>
        <v>84535.325943369506</v>
      </c>
      <c r="I22" s="11">
        <f t="shared" si="5"/>
        <v>17572.325943369506</v>
      </c>
      <c r="J22" s="11">
        <f t="shared" si="6"/>
        <v>17572.325943369506</v>
      </c>
      <c r="K22" s="11">
        <f>+SUMSQ($I$6:I22)/D22</f>
        <v>84448926.817002609</v>
      </c>
      <c r="L22" s="11">
        <f>+SUM($J$6:J22)/D22</f>
        <v>7415.107036398018</v>
      </c>
      <c r="M22" s="5">
        <f t="shared" si="7"/>
        <v>26.241843918835038</v>
      </c>
      <c r="N22" s="5">
        <f>+AVERAGE($M$6:M22)</f>
        <v>9.3097833259556086</v>
      </c>
      <c r="O22" s="5">
        <f>+SUM($I$6:I22)/L22</f>
        <v>1.3769263330560839</v>
      </c>
      <c r="P22" s="77"/>
      <c r="Q22" s="77"/>
      <c r="R22" s="90"/>
    </row>
    <row r="23" spans="1:18" x14ac:dyDescent="0.25">
      <c r="A23" s="5">
        <f t="shared" si="0"/>
        <v>0.05</v>
      </c>
      <c r="B23" s="5">
        <f t="shared" si="1"/>
        <v>0.35399999999999998</v>
      </c>
      <c r="C23" s="4">
        <v>2022</v>
      </c>
      <c r="D23" s="33">
        <v>18</v>
      </c>
      <c r="E23" s="21">
        <v>79438</v>
      </c>
      <c r="F23" s="11">
        <f t="shared" si="11"/>
        <v>83565.636677347211</v>
      </c>
      <c r="G23" s="11">
        <f t="shared" si="12"/>
        <v>49.26667817600601</v>
      </c>
      <c r="H23" s="11">
        <f t="shared" si="10"/>
        <v>83782.880712997081</v>
      </c>
      <c r="I23" s="11">
        <f t="shared" si="5"/>
        <v>4344.880712997081</v>
      </c>
      <c r="J23" s="11">
        <f t="shared" si="6"/>
        <v>4344.880712997081</v>
      </c>
      <c r="K23" s="11">
        <f>+SUMSQ($I$6:I23)/D23</f>
        <v>80806096.905512139</v>
      </c>
      <c r="L23" s="11">
        <f>+SUM($J$6:J23)/D23</f>
        <v>7244.5389073201877</v>
      </c>
      <c r="M23" s="5">
        <f t="shared" si="7"/>
        <v>5.4695242994499873</v>
      </c>
      <c r="N23" s="5">
        <f>+AVERAGE($M$6:M23)</f>
        <v>9.0964356022608523</v>
      </c>
      <c r="O23" s="5">
        <f>+SUM($I$6:I23)/L23</f>
        <v>2.0090908531302176</v>
      </c>
      <c r="P23" s="77"/>
      <c r="Q23" s="77"/>
      <c r="R23" s="90"/>
    </row>
    <row r="24" spans="1:18" x14ac:dyDescent="0.25">
      <c r="A24" s="5">
        <f t="shared" si="0"/>
        <v>0.05</v>
      </c>
      <c r="B24" s="5">
        <f t="shared" si="1"/>
        <v>0.35399999999999998</v>
      </c>
      <c r="C24" s="4">
        <v>2022</v>
      </c>
      <c r="D24" s="3">
        <v>19</v>
      </c>
      <c r="E24" s="21">
        <v>77103</v>
      </c>
      <c r="F24" s="11">
        <f t="shared" si="11"/>
        <v>83289.308187747039</v>
      </c>
      <c r="G24" s="11">
        <f t="shared" si="12"/>
        <v>-65.994011216760811</v>
      </c>
      <c r="H24" s="11">
        <f t="shared" si="10"/>
        <v>83614.903355523216</v>
      </c>
      <c r="I24" s="11">
        <f t="shared" si="5"/>
        <v>6511.9033555232163</v>
      </c>
      <c r="J24" s="11">
        <f t="shared" si="6"/>
        <v>6511.9033555232163</v>
      </c>
      <c r="K24" s="11">
        <f>+SUMSQ($I$6:I24)/D24</f>
        <v>78784980.505836472</v>
      </c>
      <c r="L24" s="11">
        <f>+SUM($J$6:J24)/D24</f>
        <v>7205.9791414361371</v>
      </c>
      <c r="M24" s="5">
        <f t="shared" si="7"/>
        <v>8.4457198235129844</v>
      </c>
      <c r="N24" s="5">
        <f>+AVERAGE($M$6:M24)</f>
        <v>9.0621874033793848</v>
      </c>
      <c r="O24" s="5">
        <f>+SUM($I$6:I24)/L24</f>
        <v>2.92352223006402</v>
      </c>
      <c r="P24" s="77"/>
      <c r="Q24" s="77"/>
      <c r="R24" s="90"/>
    </row>
    <row r="25" spans="1:18" x14ac:dyDescent="0.25">
      <c r="A25" s="5">
        <f t="shared" si="0"/>
        <v>0.05</v>
      </c>
      <c r="B25" s="5">
        <f t="shared" si="1"/>
        <v>0.35399999999999998</v>
      </c>
      <c r="C25" s="4">
        <v>2022</v>
      </c>
      <c r="D25" s="3">
        <v>20</v>
      </c>
      <c r="E25" s="21">
        <v>91471</v>
      </c>
      <c r="F25" s="11">
        <f t="shared" si="11"/>
        <v>83635.698467703754</v>
      </c>
      <c r="G25" s="11">
        <f t="shared" si="12"/>
        <v>79.990027858649597</v>
      </c>
      <c r="H25" s="11">
        <f t="shared" si="10"/>
        <v>83223.314176530272</v>
      </c>
      <c r="I25" s="11">
        <f t="shared" si="5"/>
        <v>-8247.6858234697283</v>
      </c>
      <c r="J25" s="11">
        <f t="shared" si="6"/>
        <v>8247.6858234697283</v>
      </c>
      <c r="K25" s="11">
        <f>+SUMSQ($I$6:I25)/D25</f>
        <v>78246947.552677825</v>
      </c>
      <c r="L25" s="11">
        <f>+SUM($J$6:J25)/D25</f>
        <v>7258.0644755378162</v>
      </c>
      <c r="M25" s="5">
        <f t="shared" si="7"/>
        <v>9.0167220468451514</v>
      </c>
      <c r="N25" s="5">
        <f>+AVERAGE($M$6:M25)</f>
        <v>9.059914135552674</v>
      </c>
      <c r="O25" s="5">
        <f>+SUM($I$6:I25)/L25</f>
        <v>1.7661946141566303</v>
      </c>
      <c r="P25" s="77"/>
      <c r="Q25" s="77"/>
      <c r="R25" s="90"/>
    </row>
    <row r="26" spans="1:18" x14ac:dyDescent="0.25">
      <c r="A26" s="5">
        <f t="shared" si="0"/>
        <v>0.05</v>
      </c>
      <c r="B26" s="5">
        <f t="shared" si="1"/>
        <v>0.35399999999999998</v>
      </c>
      <c r="C26" s="4">
        <v>2022</v>
      </c>
      <c r="D26" s="3">
        <v>21</v>
      </c>
      <c r="E26" s="21">
        <v>91148</v>
      </c>
      <c r="F26" s="11">
        <f t="shared" si="11"/>
        <v>84087.304070784274</v>
      </c>
      <c r="G26" s="11">
        <f t="shared" si="12"/>
        <v>211.54194148719148</v>
      </c>
      <c r="H26" s="11">
        <f t="shared" si="10"/>
        <v>83715.688495562397</v>
      </c>
      <c r="I26" s="11">
        <f t="shared" si="5"/>
        <v>-7432.3115044376027</v>
      </c>
      <c r="J26" s="11">
        <f t="shared" si="6"/>
        <v>7432.3115044376027</v>
      </c>
      <c r="K26" s="11">
        <f>+SUMSQ($I$6:I26)/D26</f>
        <v>77151343.112026289</v>
      </c>
      <c r="L26" s="11">
        <f>+SUM($J$6:J26)/D26</f>
        <v>7266.3619531044724</v>
      </c>
      <c r="M26" s="5">
        <f>+(J26/E26)*100</f>
        <v>8.1541136442243403</v>
      </c>
      <c r="N26" s="5">
        <f>+AVERAGE($M$6:M26)</f>
        <v>9.0167807788227528</v>
      </c>
      <c r="O26" s="5">
        <f>+SUM($I$6:I26)/L26</f>
        <v>0.74133974005484082</v>
      </c>
      <c r="P26" s="77"/>
      <c r="Q26" s="77"/>
      <c r="R26" s="90"/>
    </row>
    <row r="27" spans="1:18" x14ac:dyDescent="0.25">
      <c r="A27" s="5">
        <f t="shared" si="0"/>
        <v>0.05</v>
      </c>
      <c r="B27" s="5">
        <f t="shared" si="1"/>
        <v>0.35399999999999998</v>
      </c>
      <c r="C27" s="4">
        <v>2022</v>
      </c>
      <c r="D27" s="3">
        <v>22</v>
      </c>
      <c r="E27" s="21">
        <v>107460</v>
      </c>
      <c r="F27" s="11">
        <f t="shared" si="11"/>
        <v>85456.903711657884</v>
      </c>
      <c r="G27" s="11">
        <f t="shared" si="12"/>
        <v>621.49436706998358</v>
      </c>
      <c r="H27" s="11">
        <f t="shared" si="10"/>
        <v>84298.84601227146</v>
      </c>
      <c r="I27" s="11">
        <f t="shared" si="5"/>
        <v>-23161.15398772854</v>
      </c>
      <c r="J27" s="11">
        <f t="shared" si="6"/>
        <v>23161.15398772854</v>
      </c>
      <c r="K27" s="11">
        <f>+SUMSQ($I$6:I27)/D27</f>
        <v>98028057.245264784</v>
      </c>
      <c r="L27" s="11">
        <f>+SUM($J$6:J27)/D27</f>
        <v>7988.852500132838</v>
      </c>
      <c r="M27" s="5">
        <f t="shared" si="7"/>
        <v>21.553279348342212</v>
      </c>
      <c r="N27" s="5">
        <f>+AVERAGE($M$6:M27)</f>
        <v>9.5866216228918191</v>
      </c>
      <c r="O27" s="5">
        <f>+SUM($I$6:I27)/L27</f>
        <v>-2.2248891321969126</v>
      </c>
      <c r="P27" s="77"/>
      <c r="Q27" s="77"/>
      <c r="R27" s="90"/>
    </row>
    <row r="28" spans="1:18" x14ac:dyDescent="0.25">
      <c r="A28" s="5">
        <f t="shared" si="0"/>
        <v>0.05</v>
      </c>
      <c r="B28" s="5">
        <f t="shared" si="1"/>
        <v>0.35399999999999998</v>
      </c>
      <c r="C28" s="4">
        <v>2022</v>
      </c>
      <c r="D28" s="33">
        <v>23</v>
      </c>
      <c r="E28" s="21">
        <v>77570</v>
      </c>
      <c r="F28" s="11">
        <f t="shared" si="11"/>
        <v>85652.978174791468</v>
      </c>
      <c r="G28" s="11">
        <f t="shared" si="12"/>
        <v>470.89572107649803</v>
      </c>
      <c r="H28" s="11">
        <f t="shared" si="10"/>
        <v>86078.398078727871</v>
      </c>
      <c r="I28" s="11">
        <f t="shared" si="5"/>
        <v>8508.3980787278706</v>
      </c>
      <c r="J28" s="11">
        <f t="shared" si="6"/>
        <v>8508.3980787278706</v>
      </c>
      <c r="K28" s="11">
        <f>+SUMSQ($I$6:I28)/D28</f>
        <v>96913482.489648938</v>
      </c>
      <c r="L28" s="11">
        <f>+SUM($J$6:J28)/D28</f>
        <v>8011.441438332623</v>
      </c>
      <c r="M28" s="5">
        <f t="shared" si="7"/>
        <v>10.968670979409399</v>
      </c>
      <c r="N28" s="5">
        <f>+AVERAGE($M$6:M28)</f>
        <v>9.6467107253491058</v>
      </c>
      <c r="O28" s="5">
        <f>+SUM($I$6:I28)/L28</f>
        <v>-1.1565850039428456</v>
      </c>
      <c r="P28" s="77"/>
      <c r="Q28" s="77"/>
      <c r="R28" s="90"/>
    </row>
    <row r="29" spans="1:18" x14ac:dyDescent="0.25">
      <c r="A29" s="5">
        <f t="shared" si="0"/>
        <v>0.05</v>
      </c>
      <c r="B29" s="5">
        <f t="shared" si="1"/>
        <v>0.35399999999999998</v>
      </c>
      <c r="C29" s="4">
        <v>2022</v>
      </c>
      <c r="D29" s="3">
        <v>24</v>
      </c>
      <c r="E29" s="21">
        <v>89156</v>
      </c>
      <c r="F29" s="11">
        <f t="shared" si="11"/>
        <v>86275.480201074563</v>
      </c>
      <c r="G29" s="11">
        <f t="shared" si="12"/>
        <v>524.56435311963332</v>
      </c>
      <c r="H29" s="11">
        <f t="shared" si="10"/>
        <v>86123.873895867961</v>
      </c>
      <c r="I29" s="11">
        <f t="shared" si="5"/>
        <v>-3032.1261041320395</v>
      </c>
      <c r="J29" s="11">
        <f t="shared" si="6"/>
        <v>3032.1261041320395</v>
      </c>
      <c r="K29" s="11">
        <f>+SUMSQ($I$6:I29)/D29</f>
        <v>93258495.248886868</v>
      </c>
      <c r="L29" s="11">
        <f>+SUM($J$6:J29)/D29</f>
        <v>7803.9699660742654</v>
      </c>
      <c r="M29" s="5">
        <f t="shared" si="7"/>
        <v>3.4009220962493156</v>
      </c>
      <c r="N29" s="5">
        <f>+AVERAGE($M$6:M29)</f>
        <v>9.3864695324699472</v>
      </c>
      <c r="O29" s="5">
        <f>+SUM($I$6:I29)/L29</f>
        <v>-1.5758696131759076</v>
      </c>
      <c r="P29" s="77"/>
      <c r="Q29" s="77"/>
      <c r="R29" s="90"/>
    </row>
    <row r="30" spans="1:18" x14ac:dyDescent="0.25">
      <c r="A30" s="5">
        <f t="shared" si="0"/>
        <v>0.05</v>
      </c>
      <c r="B30" s="5">
        <f t="shared" si="1"/>
        <v>0.35399999999999998</v>
      </c>
      <c r="C30" s="4">
        <v>2023</v>
      </c>
      <c r="D30" s="3">
        <v>25</v>
      </c>
      <c r="E30" s="21">
        <v>88182</v>
      </c>
      <c r="F30" s="11">
        <f t="shared" si="11"/>
        <v>86869.142326484493</v>
      </c>
      <c r="G30" s="11">
        <f t="shared" si="12"/>
        <v>549.02496451039838</v>
      </c>
      <c r="H30" s="11">
        <f t="shared" si="10"/>
        <v>86800.044554194203</v>
      </c>
      <c r="I30" s="11">
        <f t="shared" si="5"/>
        <v>-1381.9554458057974</v>
      </c>
      <c r="J30" s="11">
        <f t="shared" si="6"/>
        <v>1381.9554458057974</v>
      </c>
      <c r="K30" s="11">
        <f>+SUMSQ($I$6:I30)/D30</f>
        <v>89604547.473099083</v>
      </c>
      <c r="L30" s="11">
        <f>+SUM($J$6:J30)/D30</f>
        <v>7547.0893852635263</v>
      </c>
      <c r="M30" s="5">
        <f t="shared" si="7"/>
        <v>1.5671627382071143</v>
      </c>
      <c r="N30" s="5">
        <f>+AVERAGE($M$6:M30)</f>
        <v>9.0736972606994346</v>
      </c>
      <c r="O30" s="5">
        <f>+SUM($I$6:I30)/L30</f>
        <v>-1.8126185976001896</v>
      </c>
      <c r="P30" s="77"/>
      <c r="Q30" s="77"/>
      <c r="R30" s="90"/>
    </row>
    <row r="31" spans="1:18" x14ac:dyDescent="0.25">
      <c r="A31" s="5">
        <f t="shared" si="0"/>
        <v>0.05</v>
      </c>
      <c r="B31" s="5">
        <f t="shared" si="1"/>
        <v>0.35399999999999998</v>
      </c>
      <c r="C31" s="4">
        <v>2023</v>
      </c>
      <c r="D31" s="3">
        <v>26</v>
      </c>
      <c r="E31" s="21">
        <v>79803</v>
      </c>
      <c r="F31" s="11">
        <f t="shared" si="11"/>
        <v>87037.408926445147</v>
      </c>
      <c r="G31" s="11">
        <f t="shared" si="12"/>
        <v>414.23650345978899</v>
      </c>
      <c r="H31" s="11">
        <f t="shared" si="10"/>
        <v>87418.167290994897</v>
      </c>
      <c r="I31" s="11">
        <f t="shared" si="5"/>
        <v>7615.1672909948975</v>
      </c>
      <c r="J31" s="11">
        <f t="shared" si="6"/>
        <v>7615.1672909948975</v>
      </c>
      <c r="K31" s="11">
        <f>+SUMSQ($I$6:I31)/D31</f>
        <v>88388633.065281376</v>
      </c>
      <c r="L31" s="11">
        <f>+SUM($J$6:J31)/D31</f>
        <v>7549.7077662531947</v>
      </c>
      <c r="M31" s="5">
        <f t="shared" si="7"/>
        <v>9.5424574151283768</v>
      </c>
      <c r="N31" s="5">
        <f>+AVERAGE($M$6:M31)</f>
        <v>9.0917264974082403</v>
      </c>
      <c r="O31" s="5">
        <f>+SUM($I$6:I31)/L31</f>
        <v>-0.80331947596623798</v>
      </c>
      <c r="P31" s="77"/>
      <c r="Q31" s="77"/>
      <c r="R31" s="90"/>
    </row>
    <row r="32" spans="1:18" x14ac:dyDescent="0.25">
      <c r="A32" s="5">
        <f t="shared" si="0"/>
        <v>0.05</v>
      </c>
      <c r="B32" s="5">
        <f t="shared" si="1"/>
        <v>0.35399999999999998</v>
      </c>
      <c r="C32" s="4">
        <v>2023</v>
      </c>
      <c r="D32" s="3">
        <v>27</v>
      </c>
      <c r="E32" s="21">
        <v>89841</v>
      </c>
      <c r="F32" s="11">
        <f t="shared" si="11"/>
        <v>87571.113158409687</v>
      </c>
      <c r="G32" s="11">
        <f t="shared" si="12"/>
        <v>456.5280793504711</v>
      </c>
      <c r="H32" s="11">
        <f t="shared" si="10"/>
        <v>87451.645429904936</v>
      </c>
      <c r="I32" s="11">
        <f t="shared" si="5"/>
        <v>-2389.3545700950635</v>
      </c>
      <c r="J32" s="11">
        <f t="shared" si="6"/>
        <v>2389.3545700950635</v>
      </c>
      <c r="K32" s="11">
        <f>+SUMSQ($I$6:I32)/D32</f>
        <v>85326424.998479635</v>
      </c>
      <c r="L32" s="11">
        <f>+SUM($J$6:J32)/D32</f>
        <v>7358.5835738028936</v>
      </c>
      <c r="M32" s="5">
        <f t="shared" si="7"/>
        <v>2.6595369264534718</v>
      </c>
      <c r="N32" s="5">
        <f>+AVERAGE($M$6:M32)</f>
        <v>8.8534972540395458</v>
      </c>
      <c r="O32" s="5">
        <f>+SUM($I$6:I32)/L32</f>
        <v>-1.148887115541819</v>
      </c>
      <c r="P32" s="77"/>
      <c r="Q32" s="77"/>
      <c r="R32" s="90"/>
    </row>
    <row r="33" spans="1:18" x14ac:dyDescent="0.25">
      <c r="A33" s="5">
        <f t="shared" si="0"/>
        <v>0.05</v>
      </c>
      <c r="B33" s="5">
        <f t="shared" si="1"/>
        <v>0.35399999999999998</v>
      </c>
      <c r="C33" s="4">
        <v>2023</v>
      </c>
      <c r="D33" s="33">
        <v>28</v>
      </c>
      <c r="E33" s="21">
        <v>77480</v>
      </c>
      <c r="F33" s="11">
        <f t="shared" si="11"/>
        <v>87500.259175872139</v>
      </c>
      <c r="G33" s="11">
        <f t="shared" si="12"/>
        <v>269.83482944211221</v>
      </c>
      <c r="H33" s="11">
        <f t="shared" si="10"/>
        <v>88027.641237760152</v>
      </c>
      <c r="I33" s="11">
        <f t="shared" si="5"/>
        <v>10547.641237760152</v>
      </c>
      <c r="J33" s="11">
        <f t="shared" si="6"/>
        <v>10547.641237760152</v>
      </c>
      <c r="K33" s="11">
        <f>+SUMSQ($I$6:I33)/D33</f>
        <v>86252364.665694594</v>
      </c>
      <c r="L33" s="11">
        <f>+SUM($J$6:J33)/D33</f>
        <v>7472.478490372795</v>
      </c>
      <c r="M33" s="5">
        <f t="shared" si="7"/>
        <v>13.61337279008796</v>
      </c>
      <c r="N33" s="5">
        <f>+AVERAGE($M$6:M33)</f>
        <v>9.0234928088984176</v>
      </c>
      <c r="O33" s="5">
        <f>+SUM($I$6:I33)/L33</f>
        <v>0.28015595948217903</v>
      </c>
      <c r="P33" s="77"/>
      <c r="Q33" s="77"/>
      <c r="R33" s="90"/>
    </row>
    <row r="34" spans="1:18" x14ac:dyDescent="0.25">
      <c r="A34" s="5">
        <f t="shared" si="0"/>
        <v>0.05</v>
      </c>
      <c r="B34" s="5">
        <f t="shared" si="1"/>
        <v>0.35399999999999998</v>
      </c>
      <c r="C34" s="4">
        <v>2023</v>
      </c>
      <c r="D34" s="3">
        <v>29</v>
      </c>
      <c r="E34" s="21">
        <v>77263</v>
      </c>
      <c r="F34" s="11">
        <f t="shared" si="11"/>
        <v>87244.739305048526</v>
      </c>
      <c r="G34" s="11">
        <f t="shared" si="12"/>
        <v>83.859265548045471</v>
      </c>
      <c r="H34" s="11">
        <f t="shared" si="10"/>
        <v>87770.094005314255</v>
      </c>
      <c r="I34" s="11">
        <f t="shared" si="5"/>
        <v>10507.094005314255</v>
      </c>
      <c r="J34" s="11">
        <f t="shared" si="6"/>
        <v>10507.094005314255</v>
      </c>
      <c r="K34" s="11">
        <f>+SUMSQ($I$6:I34)/D34</f>
        <v>87085008.106067553</v>
      </c>
      <c r="L34" s="11">
        <f>+SUM($J$6:J34)/D34</f>
        <v>7577.1204046811217</v>
      </c>
      <c r="M34" s="5">
        <f t="shared" si="7"/>
        <v>13.599127661771165</v>
      </c>
      <c r="N34" s="5">
        <f>+AVERAGE($M$6:M34)</f>
        <v>9.1812733210664437</v>
      </c>
      <c r="O34" s="5">
        <f>+SUM($I$6:I34)/L34</f>
        <v>1.662973888960509</v>
      </c>
      <c r="P34" s="77"/>
      <c r="Q34" s="77"/>
      <c r="R34" s="90"/>
    </row>
    <row r="35" spans="1:18" x14ac:dyDescent="0.25">
      <c r="A35" s="5">
        <f t="shared" si="0"/>
        <v>0.05</v>
      </c>
      <c r="B35" s="5">
        <f t="shared" si="1"/>
        <v>0.35399999999999998</v>
      </c>
      <c r="C35" s="4">
        <v>2023</v>
      </c>
      <c r="D35" s="3">
        <v>30</v>
      </c>
      <c r="E35" s="21">
        <v>83227</v>
      </c>
      <c r="F35" s="11">
        <f t="shared" si="11"/>
        <v>87123.518642066745</v>
      </c>
      <c r="G35" s="11">
        <f t="shared" si="12"/>
        <v>11.260970848486885</v>
      </c>
      <c r="H35" s="11">
        <f t="shared" si="10"/>
        <v>87328.598570596572</v>
      </c>
      <c r="I35" s="11">
        <f t="shared" si="5"/>
        <v>4101.5985705965722</v>
      </c>
      <c r="J35" s="11">
        <f t="shared" si="6"/>
        <v>4101.5985705965722</v>
      </c>
      <c r="K35" s="11">
        <f>+SUMSQ($I$6:I35)/D35</f>
        <v>84742944.863675982</v>
      </c>
      <c r="L35" s="11">
        <f>+SUM($J$6:J35)/D35</f>
        <v>7461.2696768783035</v>
      </c>
      <c r="M35" s="5">
        <f t="shared" si="7"/>
        <v>4.9282066764350176</v>
      </c>
      <c r="N35" s="5">
        <f>+AVERAGE($M$6:M35)</f>
        <v>9.0395044329120626</v>
      </c>
      <c r="O35" s="5">
        <f>+SUM($I$6:I35)/L35</f>
        <v>2.2385133737826672</v>
      </c>
      <c r="P35" s="77"/>
      <c r="Q35" s="77"/>
      <c r="R35" s="90"/>
    </row>
    <row r="36" spans="1:18" x14ac:dyDescent="0.25">
      <c r="A36" s="5">
        <f t="shared" si="0"/>
        <v>0.05</v>
      </c>
      <c r="B36" s="5">
        <f t="shared" si="1"/>
        <v>0.35399999999999998</v>
      </c>
      <c r="C36" s="4">
        <v>2023</v>
      </c>
      <c r="D36" s="3">
        <v>31</v>
      </c>
      <c r="E36" s="21">
        <v>81132</v>
      </c>
      <c r="F36" s="11">
        <f t="shared" si="11"/>
        <v>86834.640632269467</v>
      </c>
      <c r="G36" s="11">
        <f t="shared" si="12"/>
        <v>-94.988228300113747</v>
      </c>
      <c r="H36" s="11">
        <f t="shared" si="10"/>
        <v>87134.779612915227</v>
      </c>
      <c r="I36" s="11">
        <f t="shared" si="5"/>
        <v>6002.7796129152266</v>
      </c>
      <c r="J36" s="11">
        <f t="shared" si="6"/>
        <v>6002.7796129152266</v>
      </c>
      <c r="K36" s="11">
        <f>+SUMSQ($I$6:I36)/D36</f>
        <v>83171668.031984195</v>
      </c>
      <c r="L36" s="11">
        <f>+SUM($J$6:J36)/D36</f>
        <v>7414.2216102988496</v>
      </c>
      <c r="M36" s="5">
        <f t="shared" si="7"/>
        <v>7.3987817543203995</v>
      </c>
      <c r="N36" s="5">
        <f>+AVERAGE($M$6:M36)</f>
        <v>8.986577894892978</v>
      </c>
      <c r="O36" s="134">
        <f>+SUM($I$6:I36)/L36</f>
        <v>3.062348654168594</v>
      </c>
      <c r="P36" s="77"/>
      <c r="Q36" s="77"/>
      <c r="R36" s="90"/>
    </row>
    <row r="37" spans="1:18" x14ac:dyDescent="0.25">
      <c r="A37" s="5">
        <f t="shared" si="0"/>
        <v>0.05</v>
      </c>
      <c r="B37" s="5">
        <f t="shared" si="1"/>
        <v>0.35399999999999998</v>
      </c>
      <c r="C37" s="4">
        <v>2023</v>
      </c>
      <c r="D37" s="33">
        <v>32</v>
      </c>
      <c r="E37" s="21">
        <v>88863</v>
      </c>
      <c r="F37" s="11">
        <f t="shared" si="11"/>
        <v>86845.819783770872</v>
      </c>
      <c r="G37" s="11">
        <f t="shared" si="12"/>
        <v>-57.404975850376218</v>
      </c>
      <c r="H37" s="11">
        <f t="shared" si="10"/>
        <v>86739.652403969347</v>
      </c>
      <c r="I37" s="11">
        <f t="shared" si="5"/>
        <v>-2123.3475960306532</v>
      </c>
      <c r="J37" s="11">
        <f t="shared" si="6"/>
        <v>2123.3475960306532</v>
      </c>
      <c r="K37" s="11">
        <f>+SUMSQ($I$6:I37)/D37</f>
        <v>80713447.312658727</v>
      </c>
      <c r="L37" s="11">
        <f>+SUM($J$6:J37)/D37</f>
        <v>7248.8817973529685</v>
      </c>
      <c r="M37" s="5">
        <f t="shared" si="7"/>
        <v>2.3894619763350922</v>
      </c>
      <c r="N37" s="5">
        <f>+AVERAGE($M$6:M37)</f>
        <v>8.7804180224380435</v>
      </c>
      <c r="O37" s="5">
        <f>+SUM($I$6:I37)/L37</f>
        <v>2.8392770842933861</v>
      </c>
      <c r="P37" s="77"/>
      <c r="Q37" s="77"/>
      <c r="R37" s="90"/>
    </row>
    <row r="38" spans="1:18" x14ac:dyDescent="0.25">
      <c r="A38" s="5">
        <f t="shared" si="0"/>
        <v>0.05</v>
      </c>
      <c r="B38" s="5">
        <f t="shared" si="1"/>
        <v>0.35399999999999998</v>
      </c>
      <c r="C38" s="4">
        <v>2023</v>
      </c>
      <c r="D38" s="3">
        <v>33</v>
      </c>
      <c r="E38" s="21">
        <v>89823</v>
      </c>
      <c r="F38" s="11">
        <f t="shared" si="11"/>
        <v>86940.144067524452</v>
      </c>
      <c r="G38" s="11">
        <f t="shared" si="12"/>
        <v>-3.6928179505757441</v>
      </c>
      <c r="H38" s="11">
        <f t="shared" si="10"/>
        <v>86788.41480792049</v>
      </c>
      <c r="I38" s="11">
        <f t="shared" si="5"/>
        <v>-3034.5851920795103</v>
      </c>
      <c r="J38" s="11">
        <f t="shared" si="6"/>
        <v>3034.5851920795103</v>
      </c>
      <c r="K38" s="11">
        <f>+SUMSQ($I$6:I38)/D38</f>
        <v>78546637.008880839</v>
      </c>
      <c r="L38" s="11">
        <f>+SUM($J$6:J38)/D38</f>
        <v>7121.1758396174091</v>
      </c>
      <c r="M38" s="5">
        <f t="shared" si="7"/>
        <v>3.3784055220595062</v>
      </c>
      <c r="N38" s="5">
        <f>+AVERAGE($M$6:M38)</f>
        <v>8.6167206739417246</v>
      </c>
      <c r="O38" s="5">
        <f>+SUM($I$6:I38)/L38</f>
        <v>2.4640591914998904</v>
      </c>
      <c r="P38" s="77"/>
      <c r="Q38" s="77"/>
      <c r="R38" s="90"/>
    </row>
    <row r="39" spans="1:18" x14ac:dyDescent="0.25">
      <c r="A39" s="5">
        <f t="shared" si="0"/>
        <v>0.05</v>
      </c>
      <c r="B39" s="5">
        <f t="shared" si="1"/>
        <v>0.35399999999999998</v>
      </c>
      <c r="C39" s="4">
        <v>2023</v>
      </c>
      <c r="D39" s="3">
        <v>34</v>
      </c>
      <c r="E39" s="21">
        <v>93478</v>
      </c>
      <c r="F39" s="11">
        <f t="shared" si="11"/>
        <v>87263.528687095168</v>
      </c>
      <c r="G39" s="11">
        <f t="shared" si="12"/>
        <v>112.09259493196137</v>
      </c>
      <c r="H39" s="11">
        <f t="shared" si="10"/>
        <v>86936.451249573875</v>
      </c>
      <c r="I39" s="11">
        <f t="shared" si="5"/>
        <v>-6541.5487504261255</v>
      </c>
      <c r="J39" s="11">
        <f t="shared" si="6"/>
        <v>6541.5487504261255</v>
      </c>
      <c r="K39" s="11">
        <f>+SUMSQ($I$6:I39)/D39</f>
        <v>77495025.921978503</v>
      </c>
      <c r="L39" s="11">
        <f>+SUM($J$6:J39)/D39</f>
        <v>7104.1279840529596</v>
      </c>
      <c r="M39" s="5">
        <f t="shared" si="7"/>
        <v>6.9979554017267436</v>
      </c>
      <c r="N39" s="5">
        <f>+AVERAGE($M$6:M39)</f>
        <v>8.5691099306412841</v>
      </c>
      <c r="O39" s="5">
        <f>+SUM($I$6:I39)/L39</f>
        <v>1.5491626919130201</v>
      </c>
      <c r="P39" s="77"/>
      <c r="Q39" s="77"/>
      <c r="R39" s="90"/>
    </row>
    <row r="40" spans="1:18" x14ac:dyDescent="0.25">
      <c r="A40" s="5">
        <f t="shared" si="0"/>
        <v>0.05</v>
      </c>
      <c r="B40" s="5">
        <f t="shared" si="1"/>
        <v>0.35399999999999998</v>
      </c>
      <c r="C40" s="4">
        <v>2023</v>
      </c>
      <c r="D40" s="3">
        <v>35</v>
      </c>
      <c r="E40" s="21">
        <v>83241</v>
      </c>
      <c r="F40" s="11">
        <f t="shared" si="11"/>
        <v>87168.890217925771</v>
      </c>
      <c r="G40" s="11">
        <f t="shared" si="12"/>
        <v>38.909798240080669</v>
      </c>
      <c r="H40" s="11">
        <f t="shared" si="10"/>
        <v>87375.621282027132</v>
      </c>
      <c r="I40" s="11">
        <f t="shared" si="5"/>
        <v>4134.6212820271321</v>
      </c>
      <c r="J40" s="11">
        <f t="shared" si="6"/>
        <v>4134.6212820271321</v>
      </c>
      <c r="K40" s="11">
        <f>+SUMSQ($I$6:I40)/D40</f>
        <v>75769313.556944594</v>
      </c>
      <c r="L40" s="11">
        <f>+SUM($J$6:J40)/D40</f>
        <v>7019.2849354236505</v>
      </c>
      <c r="M40" s="5">
        <f t="shared" si="7"/>
        <v>4.9670490287564206</v>
      </c>
      <c r="N40" s="5">
        <f>+AVERAGE($M$6:M40)</f>
        <v>8.4661939048731458</v>
      </c>
      <c r="O40" s="5">
        <f>+SUM($I$6:I40)/L40</f>
        <v>2.1569250219621479</v>
      </c>
      <c r="P40" s="77"/>
      <c r="Q40" s="77"/>
      <c r="R40" s="90"/>
    </row>
    <row r="41" spans="1:18" x14ac:dyDescent="0.25">
      <c r="A41" s="5">
        <f t="shared" si="0"/>
        <v>0.05</v>
      </c>
      <c r="B41" s="5">
        <f t="shared" si="1"/>
        <v>0.35399999999999998</v>
      </c>
      <c r="C41" s="4">
        <v>2023</v>
      </c>
      <c r="D41" s="33">
        <v>36</v>
      </c>
      <c r="E41" s="21">
        <v>99145</v>
      </c>
      <c r="F41" s="11">
        <f t="shared" si="11"/>
        <v>87804.660015357556</v>
      </c>
      <c r="G41" s="11">
        <f t="shared" si="12"/>
        <v>250.1982379539441</v>
      </c>
      <c r="H41" s="11">
        <f t="shared" si="10"/>
        <v>87207.800016165857</v>
      </c>
      <c r="I41" s="11">
        <f t="shared" si="5"/>
        <v>-11937.199983834143</v>
      </c>
      <c r="J41" s="11">
        <f t="shared" si="6"/>
        <v>11937.199983834143</v>
      </c>
      <c r="K41" s="31">
        <f>+SUMSQ($I$6:I41)/D41</f>
        <v>77622853.276308626</v>
      </c>
      <c r="L41" s="22">
        <f>+SUM($J$6:J41)/D41</f>
        <v>7155.893686768386</v>
      </c>
      <c r="M41" s="5">
        <f t="shared" si="7"/>
        <v>12.040143208264807</v>
      </c>
      <c r="N41" s="44">
        <f>+AVERAGE($M$6:M41)</f>
        <v>8.5654702744118012</v>
      </c>
      <c r="O41" s="5">
        <f>+SUM($I$6:I41)/L41</f>
        <v>0.44758509137515018</v>
      </c>
      <c r="P41" s="77"/>
      <c r="Q41" s="77"/>
      <c r="R41" s="90"/>
    </row>
    <row r="42" spans="1:18" x14ac:dyDescent="0.25">
      <c r="A42" s="5">
        <f t="shared" si="0"/>
        <v>0.05</v>
      </c>
      <c r="B42" s="5">
        <f t="shared" si="1"/>
        <v>0.35399999999999998</v>
      </c>
      <c r="C42" s="4">
        <v>2024</v>
      </c>
      <c r="D42" s="3">
        <v>37</v>
      </c>
      <c r="E42" s="123"/>
      <c r="F42" s="124"/>
      <c r="G42" s="124"/>
      <c r="H42" s="25">
        <f>+$F$41+($G$41*D6)</f>
        <v>88054.858253311497</v>
      </c>
      <c r="I42" s="124"/>
      <c r="J42" s="118">
        <f>+AVERAGE(J6:J41)</f>
        <v>7155.893686768386</v>
      </c>
      <c r="K42" s="124"/>
      <c r="L42" s="124"/>
      <c r="M42" s="32">
        <f>+AVERAGE(M6:M41)</f>
        <v>8.5654702744118012</v>
      </c>
      <c r="N42" s="123"/>
      <c r="O42" s="108"/>
      <c r="P42" s="97"/>
      <c r="Q42" s="97"/>
      <c r="R42" s="98"/>
    </row>
    <row r="43" spans="1:18" x14ac:dyDescent="0.25">
      <c r="G43" s="9"/>
      <c r="H43" s="14"/>
      <c r="I43" s="9"/>
      <c r="J43" s="9"/>
      <c r="K43" s="9"/>
      <c r="L43" s="9"/>
    </row>
    <row r="44" spans="1:18" x14ac:dyDescent="0.25">
      <c r="G44" s="9"/>
      <c r="H44" s="14"/>
      <c r="I44" s="9"/>
      <c r="J44" s="9"/>
    </row>
    <row r="45" spans="1:18" x14ac:dyDescent="0.25">
      <c r="N45" s="15"/>
      <c r="O45" s="27"/>
    </row>
    <row r="46" spans="1:18" x14ac:dyDescent="0.25">
      <c r="N46" s="15"/>
      <c r="O46" s="27"/>
    </row>
  </sheetData>
  <mergeCells count="1">
    <mergeCell ref="A1:R1"/>
  </mergeCells>
  <conditionalFormatting sqref="O6:O41">
    <cfRule type="colorScale" priority="1">
      <colorScale>
        <cfvo type="min"/>
        <cfvo type="percentile" val="50"/>
        <cfvo type="max"/>
        <color theme="0" tint="-4.9989318521683403E-2"/>
        <color theme="5" tint="0.79998168889431442"/>
        <color theme="7" tint="-0.499984740745262"/>
      </colorScale>
    </cfRule>
    <cfRule type="colorScale" priority="2">
      <colorScale>
        <cfvo type="min"/>
        <cfvo type="percentile" val="50"/>
        <cfvo type="max"/>
        <color theme="0"/>
        <color theme="5" tint="0.79998168889431442"/>
        <color theme="7" tint="-0.499984740745262"/>
      </colorScale>
    </cfRule>
    <cfRule type="colorScale" priority="20">
      <colorScale>
        <cfvo type="min"/>
        <cfvo type="percentile" val="50"/>
        <cfvo type="max"/>
        <color theme="0"/>
        <color rgb="FFFFEB84"/>
        <color theme="7" tint="-0.499984740745262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2C2B-132A-4FD0-9792-926B3320AF7A}">
  <dimension ref="A1:N44"/>
  <sheetViews>
    <sheetView showGridLines="0" zoomScale="82" zoomScaleNormal="82" workbookViewId="0">
      <selection activeCell="M15" sqref="M15:N20"/>
    </sheetView>
  </sheetViews>
  <sheetFormatPr baseColWidth="10" defaultRowHeight="15" x14ac:dyDescent="0.25"/>
  <cols>
    <col min="3" max="3" width="15.7109375" customWidth="1"/>
    <col min="4" max="4" width="81.42578125" customWidth="1"/>
    <col min="5" max="5" width="15" bestFit="1" customWidth="1"/>
    <col min="6" max="6" width="13" bestFit="1" customWidth="1"/>
    <col min="7" max="7" width="14.42578125" customWidth="1"/>
    <col min="8" max="8" width="18.5703125" bestFit="1" customWidth="1"/>
    <col min="9" max="9" width="13.7109375" customWidth="1"/>
    <col min="10" max="10" width="11" customWidth="1"/>
    <col min="11" max="11" width="18.7109375" customWidth="1"/>
    <col min="12" max="12" width="18.5703125" customWidth="1"/>
    <col min="13" max="13" width="14.5703125" bestFit="1" customWidth="1"/>
    <col min="14" max="14" width="13" bestFit="1" customWidth="1"/>
  </cols>
  <sheetData>
    <row r="1" spans="1:14" s="45" customFormat="1" ht="23.25" customHeight="1" x14ac:dyDescent="0.25">
      <c r="A1" s="231" t="s">
        <v>65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3"/>
    </row>
    <row r="2" spans="1:14" s="139" customFormat="1" ht="39.75" customHeight="1" x14ac:dyDescent="0.25">
      <c r="A2" s="161"/>
      <c r="B2" s="162"/>
      <c r="C2" s="162"/>
      <c r="D2" s="162"/>
      <c r="E2" s="128" t="s">
        <v>51</v>
      </c>
      <c r="F2" s="128" t="s">
        <v>45</v>
      </c>
      <c r="G2" s="128" t="s">
        <v>27</v>
      </c>
      <c r="H2" s="128"/>
      <c r="I2" s="128"/>
      <c r="J2" s="130" t="s">
        <v>28</v>
      </c>
      <c r="K2" s="128"/>
      <c r="L2" s="128"/>
      <c r="M2" s="162"/>
      <c r="N2" s="163"/>
    </row>
    <row r="3" spans="1:14" s="139" customFormat="1" ht="52.5" customHeight="1" x14ac:dyDescent="0.25">
      <c r="A3" s="229" t="s">
        <v>47</v>
      </c>
      <c r="B3" s="230"/>
      <c r="C3" s="230"/>
      <c r="D3" s="138" t="s">
        <v>50</v>
      </c>
      <c r="E3" s="128" t="s">
        <v>26</v>
      </c>
      <c r="F3" s="128" t="s">
        <v>35</v>
      </c>
      <c r="G3" s="128" t="s">
        <v>30</v>
      </c>
      <c r="H3" s="128" t="s">
        <v>32</v>
      </c>
      <c r="I3" s="128" t="s">
        <v>31</v>
      </c>
      <c r="J3" s="128" t="s">
        <v>37</v>
      </c>
      <c r="K3" s="128" t="s">
        <v>33</v>
      </c>
      <c r="L3" s="128" t="s">
        <v>29</v>
      </c>
      <c r="M3" s="162"/>
      <c r="N3" s="163"/>
    </row>
    <row r="4" spans="1:14" s="46" customFormat="1" ht="30" customHeight="1" x14ac:dyDescent="0.25">
      <c r="A4" s="201" t="s">
        <v>48</v>
      </c>
      <c r="B4" s="135" t="s">
        <v>52</v>
      </c>
      <c r="C4" s="136" t="s">
        <v>53</v>
      </c>
      <c r="D4" s="137"/>
      <c r="E4" s="136"/>
      <c r="F4" s="130" t="s">
        <v>3</v>
      </c>
      <c r="G4" s="130" t="s">
        <v>5</v>
      </c>
      <c r="H4" s="130" t="s">
        <v>6</v>
      </c>
      <c r="I4" s="130" t="s">
        <v>7</v>
      </c>
      <c r="J4" s="130" t="s">
        <v>40</v>
      </c>
      <c r="K4" s="130" t="s">
        <v>8</v>
      </c>
      <c r="L4" s="130" t="s">
        <v>9</v>
      </c>
      <c r="M4" s="164"/>
      <c r="N4" s="165"/>
    </row>
    <row r="5" spans="1:14" x14ac:dyDescent="0.25">
      <c r="A5" s="202">
        <v>1</v>
      </c>
      <c r="B5" s="20">
        <v>75754</v>
      </c>
      <c r="C5" s="199"/>
      <c r="D5" s="140"/>
      <c r="E5" s="140"/>
      <c r="F5" s="166"/>
      <c r="G5" s="166"/>
      <c r="H5" s="166"/>
      <c r="I5" s="166"/>
      <c r="J5" s="166"/>
      <c r="K5" s="166"/>
      <c r="L5" s="177"/>
      <c r="M5" s="166"/>
      <c r="N5" s="167"/>
    </row>
    <row r="6" spans="1:14" x14ac:dyDescent="0.25">
      <c r="A6" s="47">
        <v>2</v>
      </c>
      <c r="B6" s="20">
        <v>80164</v>
      </c>
      <c r="C6" s="154">
        <f>+B6-B5</f>
        <v>4410</v>
      </c>
      <c r="D6" s="197">
        <f>+C6</f>
        <v>4410</v>
      </c>
      <c r="E6" s="48">
        <f>+C6-D6</f>
        <v>0</v>
      </c>
      <c r="F6" s="168">
        <f>+D6+B5</f>
        <v>80164</v>
      </c>
      <c r="G6" s="169">
        <f>+ABS(E6)</f>
        <v>0</v>
      </c>
      <c r="H6" s="170">
        <f>+SUMSQ($E$6:E6)/(A6-1)</f>
        <v>0</v>
      </c>
      <c r="I6" s="171">
        <f>+SUM($G$6:G6)/(A6-1)</f>
        <v>0</v>
      </c>
      <c r="J6" s="169">
        <f t="shared" ref="J6:J40" si="0">+(G6/F6)*100</f>
        <v>0</v>
      </c>
      <c r="K6" s="169">
        <f>+AVERAGE($J$6:J6)</f>
        <v>0</v>
      </c>
      <c r="L6" s="178" t="str">
        <f>IFERROR(+SUM($E$6:E6)/I6, "-")</f>
        <v>-</v>
      </c>
      <c r="M6" s="176" t="s">
        <v>49</v>
      </c>
      <c r="N6" s="6">
        <v>668.31428571428569</v>
      </c>
    </row>
    <row r="7" spans="1:14" x14ac:dyDescent="0.25">
      <c r="A7" s="47">
        <v>3</v>
      </c>
      <c r="B7" s="20">
        <v>85384</v>
      </c>
      <c r="C7" s="94">
        <f t="shared" ref="C7:C26" si="1">+B7-B6</f>
        <v>5220</v>
      </c>
      <c r="D7" s="197">
        <f t="shared" ref="D7:D8" si="2">+C7</f>
        <v>5220</v>
      </c>
      <c r="E7" s="48">
        <f t="shared" ref="E7:E40" si="3">+C7-D7</f>
        <v>0</v>
      </c>
      <c r="F7" s="168">
        <f>+D7+B6</f>
        <v>85384</v>
      </c>
      <c r="G7" s="169">
        <f t="shared" ref="G7:G40" si="4">+ABS(E7)</f>
        <v>0</v>
      </c>
      <c r="H7" s="170">
        <f>+SUMSQ($E$6:E7)/(A7-1)</f>
        <v>0</v>
      </c>
      <c r="I7" s="171">
        <f>+SUM($G$6:G7)/(A7-1)</f>
        <v>0</v>
      </c>
      <c r="J7" s="169">
        <f t="shared" si="0"/>
        <v>0</v>
      </c>
      <c r="K7" s="169">
        <f>+AVERAGE($J$6:J7)</f>
        <v>0</v>
      </c>
      <c r="L7" s="178" t="str">
        <f>IFERROR(+SUM($E$6:E7)/I7, "-")</f>
        <v>-</v>
      </c>
      <c r="M7" s="141"/>
      <c r="N7" s="6">
        <v>0.1</v>
      </c>
    </row>
    <row r="8" spans="1:14" x14ac:dyDescent="0.25">
      <c r="A8" s="47">
        <v>4</v>
      </c>
      <c r="B8" s="20">
        <v>68375</v>
      </c>
      <c r="C8" s="94">
        <f t="shared" si="1"/>
        <v>-17009</v>
      </c>
      <c r="D8" s="197">
        <f t="shared" si="2"/>
        <v>-17009</v>
      </c>
      <c r="E8" s="48">
        <f t="shared" si="3"/>
        <v>0</v>
      </c>
      <c r="F8" s="168">
        <f>+D8+B7</f>
        <v>68375</v>
      </c>
      <c r="G8" s="169">
        <f t="shared" si="4"/>
        <v>0</v>
      </c>
      <c r="H8" s="170">
        <f>+SUMSQ($E$6:E8)/(A8-1)</f>
        <v>0</v>
      </c>
      <c r="I8" s="171">
        <f>+SUM($G$6:G8)/(A8-1)</f>
        <v>0</v>
      </c>
      <c r="J8" s="169">
        <f t="shared" si="0"/>
        <v>0</v>
      </c>
      <c r="K8" s="169">
        <f>+AVERAGE($J$6:J8)</f>
        <v>0</v>
      </c>
      <c r="L8" s="179" t="str">
        <f>IFERROR(+SUM($E$6:E8)/I8, "-")</f>
        <v>-</v>
      </c>
      <c r="M8" s="141"/>
      <c r="N8" s="6">
        <v>0.12695861912689782</v>
      </c>
    </row>
    <row r="9" spans="1:14" x14ac:dyDescent="0.25">
      <c r="A9" s="47">
        <v>5</v>
      </c>
      <c r="B9" s="20">
        <v>71351</v>
      </c>
      <c r="C9" s="94">
        <f t="shared" si="1"/>
        <v>2976</v>
      </c>
      <c r="D9" s="198">
        <f t="shared" ref="D9:D41" si="5">+$N$6+$N$7*C8+$N$8*C7+$N$9*C6+$N$10*E8+$N$11*E7+$N$12*E6</f>
        <v>1241.7742945338896</v>
      </c>
      <c r="E9" s="152">
        <f t="shared" si="3"/>
        <v>1734.2257054661104</v>
      </c>
      <c r="F9" s="154">
        <f>+D9+B8</f>
        <v>69616.774294533883</v>
      </c>
      <c r="G9" s="149">
        <f t="shared" si="4"/>
        <v>1734.2257054661104</v>
      </c>
      <c r="H9" s="151">
        <f>+SUMSQ($E$6:E9)/(A9-1)</f>
        <v>751884.69937485713</v>
      </c>
      <c r="I9" s="93">
        <f>+SUM($G$6:G9)/(A9-1)</f>
        <v>433.5564263665276</v>
      </c>
      <c r="J9" s="144">
        <f t="shared" si="0"/>
        <v>2.4911032190732758</v>
      </c>
      <c r="K9" s="149">
        <f>+AVERAGE($J$6:J9)</f>
        <v>0.62277580476831895</v>
      </c>
      <c r="L9" s="144">
        <f>IFERROR(+SUM($E$6:E9)/I9, "-")</f>
        <v>4</v>
      </c>
      <c r="M9" s="141"/>
      <c r="N9" s="6">
        <v>0.36545034398575904</v>
      </c>
    </row>
    <row r="10" spans="1:14" x14ac:dyDescent="0.25">
      <c r="A10" s="47">
        <v>6</v>
      </c>
      <c r="B10" s="20">
        <v>76752</v>
      </c>
      <c r="C10" s="94">
        <f t="shared" si="1"/>
        <v>5401</v>
      </c>
      <c r="D10" s="198">
        <f t="shared" si="5"/>
        <v>887.54849913715361</v>
      </c>
      <c r="E10" s="152">
        <f t="shared" si="3"/>
        <v>4513.4515008628459</v>
      </c>
      <c r="F10" s="155">
        <f t="shared" ref="F10:F40" si="6">+D10+B9</f>
        <v>72238.548499137149</v>
      </c>
      <c r="G10" s="150">
        <f t="shared" si="4"/>
        <v>4513.4515008628459</v>
      </c>
      <c r="H10" s="48">
        <f>+SUMSQ($E$6:E10)/(A10-1)</f>
        <v>4675756.6496281009</v>
      </c>
      <c r="I10" s="94">
        <f>+SUM($G$6:G10)/(A10-1)</f>
        <v>1249.5354412657912</v>
      </c>
      <c r="J10" s="145">
        <f t="shared" si="0"/>
        <v>6.2479819911065304</v>
      </c>
      <c r="K10" s="150">
        <f>+AVERAGE($J$6:J10)</f>
        <v>1.7478170420359611</v>
      </c>
      <c r="L10" s="145">
        <f>IFERROR(+SUM($E$6:E10)/I10, "-")</f>
        <v>5</v>
      </c>
      <c r="M10" s="141"/>
      <c r="N10" s="6">
        <v>0.1</v>
      </c>
    </row>
    <row r="11" spans="1:14" x14ac:dyDescent="0.25">
      <c r="A11" s="47">
        <v>7</v>
      </c>
      <c r="B11" s="20">
        <v>78805</v>
      </c>
      <c r="C11" s="94">
        <f t="shared" si="1"/>
        <v>2053</v>
      </c>
      <c r="D11" s="198">
        <f t="shared" si="5"/>
        <v>-3762.638150715261</v>
      </c>
      <c r="E11" s="152">
        <f t="shared" si="3"/>
        <v>5815.638150715261</v>
      </c>
      <c r="F11" s="155">
        <f t="shared" si="6"/>
        <v>72989.361849284745</v>
      </c>
      <c r="G11" s="150">
        <f t="shared" si="4"/>
        <v>5815.638150715261</v>
      </c>
      <c r="H11" s="48">
        <f>+SUMSQ($E$6:E11)/(A11-1)</f>
        <v>9533405.0580325555</v>
      </c>
      <c r="I11" s="94">
        <f>+SUM($G$6:G11)/(A11-1)</f>
        <v>2010.5525595073696</v>
      </c>
      <c r="J11" s="145">
        <f t="shared" si="0"/>
        <v>7.9677887343691731</v>
      </c>
      <c r="K11" s="150">
        <f>+AVERAGE($J$6:J11)</f>
        <v>2.7844789907581631</v>
      </c>
      <c r="L11" s="145">
        <f>IFERROR(+SUM($E$6:E11)/I11, "-")</f>
        <v>6</v>
      </c>
      <c r="M11" s="141"/>
      <c r="N11" s="6">
        <v>0.23971416321762101</v>
      </c>
    </row>
    <row r="12" spans="1:14" x14ac:dyDescent="0.25">
      <c r="A12" s="47">
        <v>8</v>
      </c>
      <c r="B12" s="20">
        <v>86227</v>
      </c>
      <c r="C12" s="94">
        <f t="shared" si="1"/>
        <v>7422</v>
      </c>
      <c r="D12" s="198">
        <f t="shared" si="5"/>
        <v>4545.603775095743</v>
      </c>
      <c r="E12" s="152">
        <f t="shared" si="3"/>
        <v>2876.396224904257</v>
      </c>
      <c r="F12" s="155">
        <f t="shared" si="6"/>
        <v>83350.603775095748</v>
      </c>
      <c r="G12" s="150">
        <f t="shared" si="4"/>
        <v>2876.396224904257</v>
      </c>
      <c r="H12" s="48">
        <f>+SUMSQ($E$6:E12)/(A12-1)</f>
        <v>9353440.798691256</v>
      </c>
      <c r="I12" s="94">
        <f>+SUM($G$6:G12)/(A12-1)</f>
        <v>2134.2445117069251</v>
      </c>
      <c r="J12" s="145">
        <f t="shared" si="0"/>
        <v>3.4509602745837489</v>
      </c>
      <c r="K12" s="150">
        <f>+AVERAGE($J$6:J12)</f>
        <v>2.879690602733247</v>
      </c>
      <c r="L12" s="146">
        <f>IFERROR(+SUM($E$6:E12)/I12, "-")</f>
        <v>7</v>
      </c>
      <c r="M12" s="141"/>
      <c r="N12" s="6">
        <v>0.13562461807015389</v>
      </c>
    </row>
    <row r="13" spans="1:14" x14ac:dyDescent="0.25">
      <c r="A13" s="47">
        <v>9</v>
      </c>
      <c r="B13" s="20">
        <v>84956</v>
      </c>
      <c r="C13" s="94">
        <f t="shared" si="1"/>
        <v>-1271</v>
      </c>
      <c r="D13" s="198">
        <f t="shared" si="5"/>
        <v>5938.8232299971842</v>
      </c>
      <c r="E13" s="152">
        <f t="shared" si="3"/>
        <v>-7209.8232299971842</v>
      </c>
      <c r="F13" s="155">
        <f t="shared" si="6"/>
        <v>92165.823229997186</v>
      </c>
      <c r="G13" s="150">
        <f t="shared" si="4"/>
        <v>7209.8232299971842</v>
      </c>
      <c r="H13" s="48">
        <f>+SUMSQ($E$6:E13)/(A13-1)</f>
        <v>14681954.574830728</v>
      </c>
      <c r="I13" s="94">
        <f>+SUM($G$6:G13)/(A13-1)</f>
        <v>2768.6918514932077</v>
      </c>
      <c r="J13" s="145">
        <f t="shared" si="0"/>
        <v>7.8226646031308977</v>
      </c>
      <c r="K13" s="150">
        <f>+AVERAGE($J$6:J13)</f>
        <v>3.4975623527829534</v>
      </c>
      <c r="L13" s="145">
        <f>IFERROR(+SUM($E$6:E13)/I13, "-")</f>
        <v>2.7918918993395443</v>
      </c>
      <c r="M13" s="77"/>
      <c r="N13" s="90"/>
    </row>
    <row r="14" spans="1:14" x14ac:dyDescent="0.25">
      <c r="A14" s="47">
        <v>10</v>
      </c>
      <c r="B14" s="20">
        <v>94954</v>
      </c>
      <c r="C14" s="94">
        <f t="shared" si="1"/>
        <v>9998</v>
      </c>
      <c r="D14" s="198">
        <f t="shared" si="5"/>
        <v>2991.0450072373874</v>
      </c>
      <c r="E14" s="152">
        <f t="shared" si="3"/>
        <v>7006.9549927626122</v>
      </c>
      <c r="F14" s="155">
        <f t="shared" si="6"/>
        <v>87947.045007237393</v>
      </c>
      <c r="G14" s="150">
        <f t="shared" si="4"/>
        <v>7006.9549927626122</v>
      </c>
      <c r="H14" s="48">
        <f>+SUMSQ($E$6:E14)/(A14-1)</f>
        <v>18505894.98547186</v>
      </c>
      <c r="I14" s="94">
        <f>+SUM($G$6:G14)/(A14-1)</f>
        <v>3239.6099783009195</v>
      </c>
      <c r="J14" s="145">
        <f t="shared" si="0"/>
        <v>7.9672432339096684</v>
      </c>
      <c r="K14" s="150">
        <f>+AVERAGE($J$6:J14)</f>
        <v>3.994193561797033</v>
      </c>
      <c r="L14" s="145">
        <f>IFERROR(+SUM($E$6:E14)/I14, "-")</f>
        <v>4.5489560297140912</v>
      </c>
      <c r="M14" s="77"/>
      <c r="N14" s="90"/>
    </row>
    <row r="15" spans="1:14" x14ac:dyDescent="0.25">
      <c r="A15" s="47">
        <v>11</v>
      </c>
      <c r="B15" s="20">
        <v>76328</v>
      </c>
      <c r="C15" s="94">
        <f t="shared" si="1"/>
        <v>-18626</v>
      </c>
      <c r="D15" s="198">
        <f t="shared" si="5"/>
        <v>3581.6312300378954</v>
      </c>
      <c r="E15" s="152">
        <f t="shared" si="3"/>
        <v>-22207.631230037896</v>
      </c>
      <c r="F15" s="155">
        <f t="shared" si="6"/>
        <v>98535.631230037892</v>
      </c>
      <c r="G15" s="150">
        <f t="shared" si="4"/>
        <v>22207.631230037896</v>
      </c>
      <c r="H15" s="48">
        <f>+SUMSQ($E$6:E15)/(A15-1)</f>
        <v>65973193.971860126</v>
      </c>
      <c r="I15" s="94">
        <f>+SUM($G$6:G15)/(A15-1)</f>
        <v>5136.4121034746177</v>
      </c>
      <c r="J15" s="145">
        <f t="shared" si="0"/>
        <v>22.537665769038131</v>
      </c>
      <c r="K15" s="150">
        <f>+AVERAGE($J$6:J15)</f>
        <v>5.8485407825211428</v>
      </c>
      <c r="L15" s="145">
        <f>IFERROR(+SUM($E$6:E15)/I15, "-")</f>
        <v>-1.4544759522450008</v>
      </c>
      <c r="M15" s="142" t="s">
        <v>11</v>
      </c>
      <c r="N15" s="12">
        <f>+F41</f>
        <v>100003.44309501843</v>
      </c>
    </row>
    <row r="16" spans="1:14" x14ac:dyDescent="0.25">
      <c r="A16" s="47">
        <v>12</v>
      </c>
      <c r="B16" s="20">
        <v>99995</v>
      </c>
      <c r="C16" s="94">
        <f t="shared" si="1"/>
        <v>23667</v>
      </c>
      <c r="D16" s="198">
        <f t="shared" si="5"/>
        <v>-1908.3671195927493</v>
      </c>
      <c r="E16" s="152">
        <f t="shared" si="3"/>
        <v>25575.367119592749</v>
      </c>
      <c r="F16" s="155">
        <f t="shared" si="6"/>
        <v>74419.632880407255</v>
      </c>
      <c r="G16" s="150">
        <f t="shared" si="4"/>
        <v>25575.367119592749</v>
      </c>
      <c r="H16" s="48">
        <f>+SUMSQ($E$6:E16)/(A16-1)</f>
        <v>119439213.00186792</v>
      </c>
      <c r="I16" s="94">
        <f>+SUM($G$6:G16)/(A16-1)</f>
        <v>6994.4989231217196</v>
      </c>
      <c r="J16" s="145">
        <f t="shared" si="0"/>
        <v>34.366424731888287</v>
      </c>
      <c r="K16" s="150">
        <f>+AVERAGE($J$6:J16)</f>
        <v>8.4410756870090644</v>
      </c>
      <c r="L16" s="145">
        <f>IFERROR(+SUM($E$6:E16)/I16, "-")</f>
        <v>2.5884026051416544</v>
      </c>
      <c r="M16" s="142" t="s">
        <v>7</v>
      </c>
      <c r="N16" s="12">
        <f>+I40</f>
        <v>8427.6608567426629</v>
      </c>
    </row>
    <row r="17" spans="1:14" x14ac:dyDescent="0.25">
      <c r="A17" s="47">
        <v>13</v>
      </c>
      <c r="B17" s="20">
        <v>78535</v>
      </c>
      <c r="C17" s="94">
        <f t="shared" si="1"/>
        <v>-21460</v>
      </c>
      <c r="D17" s="198">
        <f t="shared" si="5"/>
        <v>2508.4241543597268</v>
      </c>
      <c r="E17" s="152">
        <f t="shared" si="3"/>
        <v>-23968.424154359727</v>
      </c>
      <c r="F17" s="155">
        <f t="shared" si="6"/>
        <v>102503.42415435973</v>
      </c>
      <c r="G17" s="150">
        <f t="shared" si="4"/>
        <v>23968.424154359727</v>
      </c>
      <c r="H17" s="48">
        <f>+SUMSQ($E$6:E17)/(A17-1)</f>
        <v>157359724.95532015</v>
      </c>
      <c r="I17" s="94">
        <f>+SUM($G$6:G17)/(A17-1)</f>
        <v>8408.9926923915536</v>
      </c>
      <c r="J17" s="145">
        <f t="shared" si="0"/>
        <v>23.383047300220642</v>
      </c>
      <c r="K17" s="150">
        <f>+AVERAGE($J$6:J17)</f>
        <v>9.6862399881100298</v>
      </c>
      <c r="L17" s="145">
        <f>IFERROR(+SUM($E$6:E17)/I17, "-")</f>
        <v>-0.69733024329972015</v>
      </c>
      <c r="M17" s="143" t="s">
        <v>8</v>
      </c>
      <c r="N17" s="26">
        <f>+K40</f>
        <v>9.6499342252523164</v>
      </c>
    </row>
    <row r="18" spans="1:14" x14ac:dyDescent="0.25">
      <c r="A18" s="47">
        <v>14</v>
      </c>
      <c r="B18" s="20">
        <v>77580</v>
      </c>
      <c r="C18" s="94">
        <f t="shared" si="1"/>
        <v>-955</v>
      </c>
      <c r="D18" s="198">
        <f t="shared" si="5"/>
        <v>-4557.800373684222</v>
      </c>
      <c r="E18" s="152">
        <f t="shared" si="3"/>
        <v>3602.800373684222</v>
      </c>
      <c r="F18" s="155">
        <f t="shared" si="6"/>
        <v>73977.199626315778</v>
      </c>
      <c r="G18" s="150">
        <f t="shared" si="4"/>
        <v>3602.800373684222</v>
      </c>
      <c r="H18" s="48">
        <f>+SUMSQ($E$6:E18)/(A18-1)</f>
        <v>146253605.38434318</v>
      </c>
      <c r="I18" s="94">
        <f>+SUM($G$6:G18)/(A18-1)</f>
        <v>8039.2855909525288</v>
      </c>
      <c r="J18" s="145">
        <f t="shared" si="0"/>
        <v>4.8701497108341529</v>
      </c>
      <c r="K18" s="150">
        <f>+AVERAGE($J$6:J18)</f>
        <v>9.3157715052426546</v>
      </c>
      <c r="L18" s="145">
        <f>IFERROR(+SUM($E$6:E18)/I18, "-")</f>
        <v>-0.2812494370086</v>
      </c>
      <c r="M18" s="142" t="s">
        <v>6</v>
      </c>
      <c r="N18" s="12">
        <f>+H40</f>
        <v>142046486.96158966</v>
      </c>
    </row>
    <row r="19" spans="1:14" x14ac:dyDescent="0.25">
      <c r="A19" s="47">
        <v>15</v>
      </c>
      <c r="B19" s="20">
        <v>86508</v>
      </c>
      <c r="C19" s="94">
        <f t="shared" si="1"/>
        <v>8928</v>
      </c>
      <c r="D19" s="198">
        <f t="shared" si="5"/>
        <v>4580.7543055218212</v>
      </c>
      <c r="E19" s="152">
        <f t="shared" si="3"/>
        <v>4347.2456944781788</v>
      </c>
      <c r="F19" s="155">
        <f t="shared" si="6"/>
        <v>82160.754305521827</v>
      </c>
      <c r="G19" s="150">
        <f t="shared" si="4"/>
        <v>4347.2456944781788</v>
      </c>
      <c r="H19" s="48">
        <f>+SUMSQ($E$6:E19)/(A19-1)</f>
        <v>137156815.36604431</v>
      </c>
      <c r="I19" s="94">
        <f>+SUM($G$6:G19)/(A19-1)</f>
        <v>7775.5684554900745</v>
      </c>
      <c r="J19" s="145">
        <f t="shared" si="0"/>
        <v>5.29114627929604</v>
      </c>
      <c r="K19" s="150">
        <f>+AVERAGE($J$6:J19)</f>
        <v>9.0282982748178959</v>
      </c>
      <c r="L19" s="145">
        <f>IFERROR(+SUM($E$6:E19)/I19, "-")</f>
        <v>0.26830207463461164</v>
      </c>
      <c r="M19" s="142" t="s">
        <v>38</v>
      </c>
      <c r="N19" s="6">
        <f>+MIN(L9:L40)</f>
        <v>-1.9686021607939588</v>
      </c>
    </row>
    <row r="20" spans="1:14" x14ac:dyDescent="0.25">
      <c r="A20" s="47">
        <v>16</v>
      </c>
      <c r="B20" s="20">
        <v>72863</v>
      </c>
      <c r="C20" s="94">
        <f t="shared" si="1"/>
        <v>-13645</v>
      </c>
      <c r="D20" s="198">
        <f t="shared" si="5"/>
        <v>-8355.0371028991158</v>
      </c>
      <c r="E20" s="152">
        <f t="shared" si="3"/>
        <v>-5289.9628971008842</v>
      </c>
      <c r="F20" s="155">
        <f t="shared" si="6"/>
        <v>78152.962897100879</v>
      </c>
      <c r="G20" s="150">
        <f t="shared" si="4"/>
        <v>5289.9628971008842</v>
      </c>
      <c r="H20" s="48">
        <f>+SUMSQ($E$6:E20)/(A20-1)</f>
        <v>129878608.17182161</v>
      </c>
      <c r="I20" s="94">
        <f>+SUM($G$6:G20)/(A20-1)</f>
        <v>7609.8614182641286</v>
      </c>
      <c r="J20" s="145">
        <f t="shared" si="0"/>
        <v>6.7687298101107798</v>
      </c>
      <c r="K20" s="150">
        <f>+AVERAGE($J$6:J20)</f>
        <v>8.8776603771707538</v>
      </c>
      <c r="L20" s="145">
        <f>IFERROR(+SUM($E$6:E20)/I20, "-")</f>
        <v>-0.42100132616610231</v>
      </c>
      <c r="M20" s="142" t="s">
        <v>39</v>
      </c>
      <c r="N20" s="6">
        <f>+MAX(L9:L40)</f>
        <v>7</v>
      </c>
    </row>
    <row r="21" spans="1:14" x14ac:dyDescent="0.25">
      <c r="A21" s="47">
        <v>17</v>
      </c>
      <c r="B21" s="20">
        <v>66963</v>
      </c>
      <c r="C21" s="94">
        <f t="shared" si="1"/>
        <v>-5900</v>
      </c>
      <c r="D21" s="198">
        <f t="shared" si="5"/>
        <v>1090.0242576799137</v>
      </c>
      <c r="E21" s="152">
        <f t="shared" si="3"/>
        <v>-6990.0242576799137</v>
      </c>
      <c r="F21" s="155">
        <f t="shared" si="6"/>
        <v>73953.024257679906</v>
      </c>
      <c r="G21" s="150">
        <f t="shared" si="4"/>
        <v>6990.0242576799137</v>
      </c>
      <c r="H21" s="48">
        <f>+SUMSQ($E$6:E21)/(A21-1)</f>
        <v>124814972.60626736</v>
      </c>
      <c r="I21" s="94">
        <f>+SUM($G$6:G21)/(A21-1)</f>
        <v>7571.1215957276145</v>
      </c>
      <c r="J21" s="145">
        <f t="shared" si="0"/>
        <v>9.4519789120781095</v>
      </c>
      <c r="K21" s="150">
        <f>+AVERAGE($J$6:J21)</f>
        <v>8.9135552856024649</v>
      </c>
      <c r="L21" s="147">
        <f>IFERROR(+SUM($E$6:E21)/I21, "-")</f>
        <v>-1.3464036837635422</v>
      </c>
      <c r="M21" s="77"/>
      <c r="N21" s="90"/>
    </row>
    <row r="22" spans="1:14" x14ac:dyDescent="0.25">
      <c r="A22" s="47">
        <v>18</v>
      </c>
      <c r="B22" s="20">
        <v>79438</v>
      </c>
      <c r="C22" s="94">
        <f t="shared" si="1"/>
        <v>12475</v>
      </c>
      <c r="D22" s="198">
        <f t="shared" si="5"/>
        <v>231.21668070455326</v>
      </c>
      <c r="E22" s="152">
        <f t="shared" si="3"/>
        <v>12243.783319295446</v>
      </c>
      <c r="F22" s="155">
        <f t="shared" si="6"/>
        <v>67194.216680704558</v>
      </c>
      <c r="G22" s="150">
        <f t="shared" si="4"/>
        <v>12243.783319295446</v>
      </c>
      <c r="H22" s="48">
        <f>+SUMSQ($E$6:E22)/(A22-1)</f>
        <v>126291164.2158903</v>
      </c>
      <c r="I22" s="94">
        <f>+SUM($G$6:G22)/(A22-1)</f>
        <v>7845.9840500551336</v>
      </c>
      <c r="J22" s="145">
        <f t="shared" si="0"/>
        <v>18.221483818281285</v>
      </c>
      <c r="K22" s="150">
        <f>+AVERAGE($J$6:J22)</f>
        <v>9.4610804934071009</v>
      </c>
      <c r="L22" s="145">
        <f>IFERROR(+SUM($E$6:E22)/I22, "-")</f>
        <v>0.26127982156319479</v>
      </c>
      <c r="M22" s="77"/>
      <c r="N22" s="90"/>
    </row>
    <row r="23" spans="1:14" x14ac:dyDescent="0.25">
      <c r="A23" s="47">
        <v>19</v>
      </c>
      <c r="B23" s="20">
        <v>77103</v>
      </c>
      <c r="C23" s="94">
        <f t="shared" si="1"/>
        <v>-2335</v>
      </c>
      <c r="D23" s="198">
        <f t="shared" si="5"/>
        <v>-4988.4901922157542</v>
      </c>
      <c r="E23" s="152">
        <f t="shared" si="3"/>
        <v>2653.4901922157542</v>
      </c>
      <c r="F23" s="155">
        <f t="shared" si="6"/>
        <v>74449.509807784241</v>
      </c>
      <c r="G23" s="150">
        <f t="shared" si="4"/>
        <v>2653.4901922157542</v>
      </c>
      <c r="H23" s="48">
        <f>+SUMSQ($E$6:E23)/(A23-1)</f>
        <v>119666155.65946224</v>
      </c>
      <c r="I23" s="94">
        <f>+SUM($G$6:G23)/(A23-1)</f>
        <v>7557.5121690640563</v>
      </c>
      <c r="J23" s="145">
        <f t="shared" si="0"/>
        <v>3.5641472980367594</v>
      </c>
      <c r="K23" s="150">
        <f>+AVERAGE($J$6:J23)</f>
        <v>9.1334730936643052</v>
      </c>
      <c r="L23" s="145">
        <f>IFERROR(+SUM($E$6:E23)/I23, "-")</f>
        <v>0.62235923668837778</v>
      </c>
      <c r="M23" s="77"/>
      <c r="N23" s="90"/>
    </row>
    <row r="24" spans="1:14" x14ac:dyDescent="0.25">
      <c r="A24" s="47">
        <v>20</v>
      </c>
      <c r="B24" s="20">
        <v>91471</v>
      </c>
      <c r="C24" s="155">
        <f>+B24-B23</f>
        <v>14368</v>
      </c>
      <c r="D24" s="198">
        <f t="shared" si="5"/>
        <v>2114.8039517817583</v>
      </c>
      <c r="E24" s="152">
        <f t="shared" si="3"/>
        <v>12253.196048218242</v>
      </c>
      <c r="F24" s="155">
        <f t="shared" si="6"/>
        <v>79217.803951781752</v>
      </c>
      <c r="G24" s="150">
        <f t="shared" si="4"/>
        <v>12253.196048218242</v>
      </c>
      <c r="H24" s="48">
        <f>+SUMSQ($E$6:E24)/(A24-1)</f>
        <v>121270085.01402059</v>
      </c>
      <c r="I24" s="94">
        <f>+SUM($G$6:G24)/(A24-1)</f>
        <v>7804.6534258616448</v>
      </c>
      <c r="J24" s="145">
        <f t="shared" si="0"/>
        <v>15.467730026543666</v>
      </c>
      <c r="K24" s="150">
        <f>+AVERAGE($J$6:J24)</f>
        <v>9.4668550375000624</v>
      </c>
      <c r="L24" s="145">
        <f>IFERROR(+SUM($E$6:E24)/I24, "-")</f>
        <v>2.1726376083314718</v>
      </c>
      <c r="M24" s="77"/>
      <c r="N24" s="90"/>
    </row>
    <row r="25" spans="1:14" x14ac:dyDescent="0.25">
      <c r="A25" s="47">
        <v>21</v>
      </c>
      <c r="B25" s="20">
        <v>91148</v>
      </c>
      <c r="C25" s="155">
        <f>+B25-B24</f>
        <v>-323</v>
      </c>
      <c r="D25" s="198">
        <f t="shared" si="5"/>
        <v>9889.616173543478</v>
      </c>
      <c r="E25" s="152">
        <f t="shared" si="3"/>
        <v>-10212.616173543478</v>
      </c>
      <c r="F25" s="155">
        <f t="shared" si="6"/>
        <v>101360.61617354347</v>
      </c>
      <c r="G25" s="150">
        <f t="shared" si="4"/>
        <v>10212.616173543478</v>
      </c>
      <c r="H25" s="48">
        <f>+SUMSQ($E$6:E25)/(A25-1)</f>
        <v>120421457.21872565</v>
      </c>
      <c r="I25" s="94">
        <f>+SUM($G$6:G25)/(A25-1)</f>
        <v>7925.0515632457364</v>
      </c>
      <c r="J25" s="145">
        <f t="shared" si="0"/>
        <v>10.075526924637138</v>
      </c>
      <c r="K25" s="150">
        <f>+AVERAGE($J$6:J25)</f>
        <v>9.4972886318569145</v>
      </c>
      <c r="L25" s="145">
        <f>IFERROR(+SUM($E$6:E25)/I25, "-")</f>
        <v>0.85098088329844701</v>
      </c>
      <c r="M25" s="77"/>
      <c r="N25" s="90"/>
    </row>
    <row r="26" spans="1:14" x14ac:dyDescent="0.25">
      <c r="A26" s="47">
        <v>22</v>
      </c>
      <c r="B26" s="20">
        <v>107460</v>
      </c>
      <c r="C26" s="94">
        <f t="shared" si="1"/>
        <v>16312</v>
      </c>
      <c r="D26" s="198">
        <f t="shared" si="5"/>
        <v>3882.7107860807159</v>
      </c>
      <c r="E26" s="152">
        <f t="shared" si="3"/>
        <v>12429.289213919285</v>
      </c>
      <c r="F26" s="155">
        <f t="shared" si="6"/>
        <v>95030.710786080715</v>
      </c>
      <c r="G26" s="150">
        <f t="shared" si="4"/>
        <v>12429.289213919285</v>
      </c>
      <c r="H26" s="48">
        <f>+SUMSQ($E$6:E26)/(A26-1)</f>
        <v>122043636.89227445</v>
      </c>
      <c r="I26" s="94">
        <f>+SUM($G$6:G26)/(A26-1)</f>
        <v>8139.5390704206675</v>
      </c>
      <c r="J26" s="145">
        <f t="shared" si="0"/>
        <v>13.079234187670435</v>
      </c>
      <c r="K26" s="150">
        <f>+AVERAGE($J$6:J26)</f>
        <v>9.6678574678480356</v>
      </c>
      <c r="L26" s="145">
        <f>IFERROR(+SUM($E$6:E26)/I26, "-")</f>
        <v>2.3555825984142569</v>
      </c>
      <c r="M26" s="77"/>
      <c r="N26" s="90"/>
    </row>
    <row r="27" spans="1:14" x14ac:dyDescent="0.25">
      <c r="A27" s="47">
        <v>23</v>
      </c>
      <c r="B27" s="20">
        <v>77570</v>
      </c>
      <c r="C27" s="155">
        <f>+B27-B26</f>
        <v>-29890</v>
      </c>
      <c r="D27" s="198">
        <f t="shared" si="5"/>
        <v>7965.9524093902128</v>
      </c>
      <c r="E27" s="152">
        <f t="shared" si="3"/>
        <v>-37855.952409390215</v>
      </c>
      <c r="F27" s="155">
        <f t="shared" si="6"/>
        <v>115425.95240939021</v>
      </c>
      <c r="G27" s="150">
        <f t="shared" si="4"/>
        <v>37855.952409390215</v>
      </c>
      <c r="H27" s="48">
        <f>+SUMSQ($E$6:E27)/(A27-1)</f>
        <v>181635886.70726272</v>
      </c>
      <c r="I27" s="94">
        <f>+SUM($G$6:G27)/(A27-1)</f>
        <v>9490.2851312829189</v>
      </c>
      <c r="J27" s="145">
        <f t="shared" si="0"/>
        <v>32.796742516902576</v>
      </c>
      <c r="K27" s="150">
        <f>+AVERAGE($J$6:J27)</f>
        <v>10.719170424623242</v>
      </c>
      <c r="L27" s="145">
        <f>IFERROR(+SUM($E$6:E27)/I27, "-")</f>
        <v>-1.9686021607939588</v>
      </c>
      <c r="M27" s="77"/>
      <c r="N27" s="90"/>
    </row>
    <row r="28" spans="1:14" x14ac:dyDescent="0.25">
      <c r="A28" s="47">
        <v>24</v>
      </c>
      <c r="B28" s="20">
        <v>89156</v>
      </c>
      <c r="C28" s="155">
        <f>+B28-B27</f>
        <v>11586</v>
      </c>
      <c r="D28" s="198">
        <f t="shared" si="5"/>
        <v>-2558.9779258636254</v>
      </c>
      <c r="E28" s="152">
        <f t="shared" si="3"/>
        <v>14144.977925863626</v>
      </c>
      <c r="F28" s="155">
        <f t="shared" si="6"/>
        <v>75011.022074136374</v>
      </c>
      <c r="G28" s="150">
        <f t="shared" si="4"/>
        <v>14144.977925863626</v>
      </c>
      <c r="H28" s="48">
        <f>+SUMSQ($E$6:E28)/(A28-1)</f>
        <v>182437822.090563</v>
      </c>
      <c r="I28" s="94">
        <f>+SUM($G$6:G28)/(A28-1)</f>
        <v>9692.6630788733855</v>
      </c>
      <c r="J28" s="145">
        <f t="shared" si="0"/>
        <v>18.857199295169693</v>
      </c>
      <c r="K28" s="150">
        <f>+AVERAGE($J$6:J28)</f>
        <v>11.072997766820913</v>
      </c>
      <c r="L28" s="145">
        <f>IFERROR(+SUM($E$6:E28)/I28, "-")</f>
        <v>-0.46814975958682875</v>
      </c>
      <c r="M28" s="77"/>
      <c r="N28" s="90"/>
    </row>
    <row r="29" spans="1:14" x14ac:dyDescent="0.25">
      <c r="A29" s="47">
        <v>25</v>
      </c>
      <c r="B29" s="20">
        <v>88182</v>
      </c>
      <c r="C29" s="155">
        <f t="shared" ref="C29:C40" si="7">+B29-B28</f>
        <v>-974</v>
      </c>
      <c r="D29" s="198">
        <f t="shared" si="5"/>
        <v>-1981.0453884083986</v>
      </c>
      <c r="E29" s="152">
        <f t="shared" si="3"/>
        <v>1007.0453884083986</v>
      </c>
      <c r="F29" s="155">
        <f t="shared" si="6"/>
        <v>87174.954611591602</v>
      </c>
      <c r="G29" s="150">
        <f t="shared" si="4"/>
        <v>1007.0453884083986</v>
      </c>
      <c r="H29" s="48">
        <f>+SUMSQ($E$6:E29)/(A29-1)</f>
        <v>174878502.02071932</v>
      </c>
      <c r="I29" s="94">
        <f>+SUM($G$6:G29)/(A29-1)</f>
        <v>9330.7623417706782</v>
      </c>
      <c r="J29" s="145">
        <f t="shared" si="0"/>
        <v>1.1552003587444282</v>
      </c>
      <c r="K29" s="150">
        <f>+AVERAGE($J$6:J29)</f>
        <v>10.659756208151061</v>
      </c>
      <c r="L29" s="145">
        <f>IFERROR(+SUM($E$6:E29)/I29, "-")</f>
        <v>-0.3783798549789576</v>
      </c>
      <c r="M29" s="77"/>
      <c r="N29" s="90"/>
    </row>
    <row r="30" spans="1:14" x14ac:dyDescent="0.25">
      <c r="A30" s="47">
        <v>26</v>
      </c>
      <c r="B30" s="20">
        <v>79803</v>
      </c>
      <c r="C30" s="155">
        <f t="shared" si="7"/>
        <v>-8379</v>
      </c>
      <c r="D30" s="198">
        <f t="shared" si="5"/>
        <v>-10524.196935950324</v>
      </c>
      <c r="E30" s="152">
        <f t="shared" si="3"/>
        <v>2145.1969359503237</v>
      </c>
      <c r="F30" s="155">
        <f t="shared" si="6"/>
        <v>77657.803064049673</v>
      </c>
      <c r="G30" s="150">
        <f t="shared" si="4"/>
        <v>2145.1969359503237</v>
      </c>
      <c r="H30" s="48">
        <f>+SUMSQ($E$6:E30)/(A30-1)</f>
        <v>168067436.73565099</v>
      </c>
      <c r="I30" s="94">
        <f>+SUM($G$6:G30)/(A30-1)</f>
        <v>9043.3397255378641</v>
      </c>
      <c r="J30" s="145">
        <f t="shared" si="0"/>
        <v>2.7623713925837352</v>
      </c>
      <c r="K30" s="150">
        <f>+AVERAGE($J$6:J30)</f>
        <v>10.343860815528366</v>
      </c>
      <c r="L30" s="145">
        <f>IFERROR(+SUM($E$6:E30)/I30, "-")</f>
        <v>-0.15319291410227182</v>
      </c>
      <c r="M30" s="77"/>
      <c r="N30" s="90"/>
    </row>
    <row r="31" spans="1:14" x14ac:dyDescent="0.25">
      <c r="A31" s="47">
        <v>27</v>
      </c>
      <c r="B31" s="20">
        <v>89841</v>
      </c>
      <c r="C31" s="155">
        <f t="shared" si="7"/>
        <v>10038</v>
      </c>
      <c r="D31" s="198">
        <f t="shared" si="5"/>
        <v>6315.1942411092186</v>
      </c>
      <c r="E31" s="152">
        <f t="shared" si="3"/>
        <v>3722.8057588907814</v>
      </c>
      <c r="F31" s="155">
        <f t="shared" si="6"/>
        <v>86118.194241109217</v>
      </c>
      <c r="G31" s="150">
        <f t="shared" si="4"/>
        <v>3722.8057588907814</v>
      </c>
      <c r="H31" s="48">
        <f>+SUMSQ($E$6:E31)/(A31-1)</f>
        <v>162136353.8888348</v>
      </c>
      <c r="I31" s="94">
        <f>+SUM($G$6:G31)/(A31-1)</f>
        <v>8838.7038037437451</v>
      </c>
      <c r="J31" s="145">
        <f t="shared" si="0"/>
        <v>4.3229027172444701</v>
      </c>
      <c r="K31" s="150">
        <f>+AVERAGE($J$6:J31)</f>
        <v>10.112285504055908</v>
      </c>
      <c r="L31" s="145">
        <f>IFERROR(+SUM($E$6:E31)/I31, "-")</f>
        <v>0.26445395671351141</v>
      </c>
      <c r="M31" s="77"/>
      <c r="N31" s="90"/>
    </row>
    <row r="32" spans="1:14" x14ac:dyDescent="0.25">
      <c r="A32" s="47">
        <v>28</v>
      </c>
      <c r="B32" s="20">
        <v>77480</v>
      </c>
      <c r="C32" s="155">
        <f t="shared" si="7"/>
        <v>-12361</v>
      </c>
      <c r="D32" s="198">
        <f t="shared" si="5"/>
        <v>1275.474191517493</v>
      </c>
      <c r="E32" s="152">
        <f t="shared" si="3"/>
        <v>-13636.474191517493</v>
      </c>
      <c r="F32" s="155">
        <f t="shared" si="6"/>
        <v>91116.474191517496</v>
      </c>
      <c r="G32" s="150">
        <f t="shared" si="4"/>
        <v>13636.474191517493</v>
      </c>
      <c r="H32" s="48">
        <f>+SUMSQ($E$6:E32)/(A32-1)</f>
        <v>163018467.75872692</v>
      </c>
      <c r="I32" s="94">
        <f>+SUM($G$6:G32)/(A32-1)</f>
        <v>9016.3990032909205</v>
      </c>
      <c r="J32" s="145">
        <f t="shared" si="0"/>
        <v>14.965980973819311</v>
      </c>
      <c r="K32" s="150">
        <f>+AVERAGE($J$6:J32)</f>
        <v>10.292052002936034</v>
      </c>
      <c r="L32" s="145">
        <f>IFERROR(+SUM($E$6:E32)/I32, "-")</f>
        <v>-1.2531659251409157</v>
      </c>
      <c r="M32" s="77"/>
      <c r="N32" s="90"/>
    </row>
    <row r="33" spans="1:14" x14ac:dyDescent="0.25">
      <c r="A33" s="47">
        <v>29</v>
      </c>
      <c r="B33" s="20">
        <v>77263</v>
      </c>
      <c r="C33" s="155">
        <f t="shared" si="7"/>
        <v>-217</v>
      </c>
      <c r="D33" s="198">
        <f t="shared" si="5"/>
        <v>-2535.780164460567</v>
      </c>
      <c r="E33" s="152">
        <f t="shared" si="3"/>
        <v>2318.780164460567</v>
      </c>
      <c r="F33" s="155">
        <f t="shared" si="6"/>
        <v>74944.219835539436</v>
      </c>
      <c r="G33" s="150">
        <f t="shared" si="4"/>
        <v>2318.780164460567</v>
      </c>
      <c r="H33" s="48">
        <f>+SUMSQ($E$6:E33)/(A33-1)</f>
        <v>157388406.10488296</v>
      </c>
      <c r="I33" s="94">
        <f>+SUM($G$6:G33)/(A33-1)</f>
        <v>8777.1983304755504</v>
      </c>
      <c r="J33" s="145">
        <f t="shared" si="0"/>
        <v>3.094008009622343</v>
      </c>
      <c r="K33" s="150">
        <f>+AVERAGE($J$6:J33)</f>
        <v>10.034979003174831</v>
      </c>
      <c r="L33" s="145">
        <f>IFERROR(+SUM($E$6:E33)/I33, "-")</f>
        <v>-1.0231355719464046</v>
      </c>
      <c r="M33" s="77"/>
      <c r="N33" s="90"/>
    </row>
    <row r="34" spans="1:14" x14ac:dyDescent="0.25">
      <c r="A34" s="47">
        <v>30</v>
      </c>
      <c r="B34" s="20">
        <v>83227</v>
      </c>
      <c r="C34" s="155">
        <f t="shared" si="7"/>
        <v>5964</v>
      </c>
      <c r="D34" s="198">
        <f t="shared" si="5"/>
        <v>213.59547320243843</v>
      </c>
      <c r="E34" s="152">
        <f t="shared" si="3"/>
        <v>5750.4045267975616</v>
      </c>
      <c r="F34" s="155">
        <f t="shared" si="6"/>
        <v>77476.59547320244</v>
      </c>
      <c r="G34" s="150">
        <f t="shared" si="4"/>
        <v>5750.4045267975616</v>
      </c>
      <c r="H34" s="48">
        <f>+SUMSQ($E$6:E34)/(A34-1)</f>
        <v>153101466.3158116</v>
      </c>
      <c r="I34" s="94">
        <f>+SUM($G$6:G34)/(A34-1)</f>
        <v>8672.8261303487234</v>
      </c>
      <c r="J34" s="145">
        <f t="shared" si="0"/>
        <v>7.4221182431622319</v>
      </c>
      <c r="K34" s="150">
        <f>+AVERAGE($J$6:J34)</f>
        <v>9.9448803562778458</v>
      </c>
      <c r="L34" s="145">
        <f>IFERROR(+SUM($E$6:E34)/I34, "-")</f>
        <v>-0.37241139838355092</v>
      </c>
      <c r="M34" s="77"/>
      <c r="N34" s="90"/>
    </row>
    <row r="35" spans="1:14" x14ac:dyDescent="0.25">
      <c r="A35" s="47">
        <v>31</v>
      </c>
      <c r="B35" s="20">
        <v>81132</v>
      </c>
      <c r="C35" s="155">
        <f t="shared" si="7"/>
        <v>-2095</v>
      </c>
      <c r="D35" s="198">
        <f t="shared" si="5"/>
        <v>-3998.7241412032504</v>
      </c>
      <c r="E35" s="152">
        <f t="shared" si="3"/>
        <v>1903.7241412032504</v>
      </c>
      <c r="F35" s="155">
        <f t="shared" si="6"/>
        <v>79228.275858796755</v>
      </c>
      <c r="G35" s="150">
        <f t="shared" si="4"/>
        <v>1903.7241412032504</v>
      </c>
      <c r="H35" s="48">
        <f>+SUMSQ($E$6:E35)/(A35-1)</f>
        <v>148118889.62547788</v>
      </c>
      <c r="I35" s="94">
        <f>+SUM($G$6:G35)/(A35-1)</f>
        <v>8447.1893973772076</v>
      </c>
      <c r="J35" s="145">
        <f t="shared" si="0"/>
        <v>2.4028342413965067</v>
      </c>
      <c r="K35" s="150">
        <f>+AVERAGE($J$6:J35)</f>
        <v>9.6934788191151355</v>
      </c>
      <c r="L35" s="145">
        <f>IFERROR(+SUM($E$6:E35)/I35, "-")</f>
        <v>-0.15699129065924267</v>
      </c>
      <c r="M35" s="77"/>
      <c r="N35" s="90"/>
    </row>
    <row r="36" spans="1:14" x14ac:dyDescent="0.25">
      <c r="A36" s="47">
        <v>32</v>
      </c>
      <c r="B36" s="20">
        <v>88863</v>
      </c>
      <c r="C36" s="155">
        <f t="shared" si="7"/>
        <v>7731</v>
      </c>
      <c r="D36" s="198">
        <f t="shared" si="5"/>
        <v>3020.0022631602301</v>
      </c>
      <c r="E36" s="152">
        <f t="shared" si="3"/>
        <v>4710.9977368397704</v>
      </c>
      <c r="F36" s="155">
        <f t="shared" si="6"/>
        <v>84152.002263160233</v>
      </c>
      <c r="G36" s="150">
        <f t="shared" si="4"/>
        <v>4710.9977368397704</v>
      </c>
      <c r="H36" s="48">
        <f>+SUMSQ($E$6:E36)/(A36-1)</f>
        <v>144056780.27228537</v>
      </c>
      <c r="I36" s="94">
        <f>+SUM($G$6:G36)/(A36-1)</f>
        <v>8326.6670857469671</v>
      </c>
      <c r="J36" s="145">
        <f t="shared" si="0"/>
        <v>5.5982004113313106</v>
      </c>
      <c r="K36" s="150">
        <f>+AVERAGE($J$6:J36)</f>
        <v>9.5613730640253358</v>
      </c>
      <c r="L36" s="145">
        <f>IFERROR(+SUM($E$6:E36)/I36, "-")</f>
        <v>0.40650869502113685</v>
      </c>
      <c r="M36" s="77"/>
      <c r="N36" s="90"/>
    </row>
    <row r="37" spans="1:14" x14ac:dyDescent="0.25">
      <c r="A37" s="47">
        <v>33</v>
      </c>
      <c r="B37" s="20">
        <v>89823</v>
      </c>
      <c r="C37" s="155">
        <f t="shared" si="7"/>
        <v>960</v>
      </c>
      <c r="D37" s="198">
        <f t="shared" si="5"/>
        <v>5062.3276610600042</v>
      </c>
      <c r="E37" s="152">
        <f t="shared" si="3"/>
        <v>-4102.3276610600042</v>
      </c>
      <c r="F37" s="155">
        <f t="shared" si="6"/>
        <v>93925.327661060001</v>
      </c>
      <c r="G37" s="150">
        <f t="shared" si="4"/>
        <v>4102.3276610600042</v>
      </c>
      <c r="H37" s="48">
        <f>+SUMSQ($E$6:E37)/(A37-1)</f>
        <v>140080915.02123576</v>
      </c>
      <c r="I37" s="94">
        <f>+SUM($G$6:G37)/(A37-1)</f>
        <v>8194.6564787255011</v>
      </c>
      <c r="J37" s="145">
        <f t="shared" si="0"/>
        <v>4.3676479637778955</v>
      </c>
      <c r="K37" s="150">
        <f>+AVERAGE($J$6:J37)</f>
        <v>9.3990691546426017</v>
      </c>
      <c r="L37" s="145">
        <f>IFERROR(+SUM($E$6:E37)/I37, "-")</f>
        <v>-8.755279638874354E-2</v>
      </c>
      <c r="M37" s="77"/>
      <c r="N37" s="90"/>
    </row>
    <row r="38" spans="1:14" x14ac:dyDescent="0.25">
      <c r="A38" s="47">
        <v>34</v>
      </c>
      <c r="B38" s="20">
        <v>93478</v>
      </c>
      <c r="C38" s="155">
        <f t="shared" si="7"/>
        <v>3655</v>
      </c>
      <c r="D38" s="198">
        <f t="shared" si="5"/>
        <v>1957.4648733964414</v>
      </c>
      <c r="E38" s="152">
        <f t="shared" si="3"/>
        <v>1697.5351266035586</v>
      </c>
      <c r="F38" s="155">
        <f t="shared" si="6"/>
        <v>91780.464873396442</v>
      </c>
      <c r="G38" s="150">
        <f t="shared" si="4"/>
        <v>1697.5351266035586</v>
      </c>
      <c r="H38" s="48">
        <f>+SUMSQ($E$6:E38)/(A38-1)</f>
        <v>135923360.79350296</v>
      </c>
      <c r="I38" s="94">
        <f>+SUM($G$6:G38)/(A38-1)</f>
        <v>7997.7740135096847</v>
      </c>
      <c r="J38" s="145">
        <f t="shared" si="0"/>
        <v>1.8495603927754865</v>
      </c>
      <c r="K38" s="150">
        <f>+AVERAGE($J$6:J38)</f>
        <v>9.1702961618587491</v>
      </c>
      <c r="L38" s="145">
        <f>IFERROR(+SUM($E$6:E38)/I38, "-")</f>
        <v>0.12254285189735187</v>
      </c>
      <c r="M38" s="77"/>
      <c r="N38" s="90"/>
    </row>
    <row r="39" spans="1:14" x14ac:dyDescent="0.25">
      <c r="A39" s="47">
        <v>35</v>
      </c>
      <c r="B39" s="20">
        <v>83241</v>
      </c>
      <c r="C39" s="155">
        <f t="shared" si="7"/>
        <v>-10237</v>
      </c>
      <c r="D39" s="198">
        <f t="shared" si="5"/>
        <v>3806.2859083631206</v>
      </c>
      <c r="E39" s="152">
        <f t="shared" si="3"/>
        <v>-14043.285908363121</v>
      </c>
      <c r="F39" s="155">
        <f t="shared" si="6"/>
        <v>97284.285908363119</v>
      </c>
      <c r="G39" s="150">
        <f t="shared" si="4"/>
        <v>14043.285908363121</v>
      </c>
      <c r="H39" s="48">
        <f>+SUMSQ($E$6:E39)/(A39-1)</f>
        <v>137726023.09675378</v>
      </c>
      <c r="I39" s="94">
        <f>+SUM($G$6:G39)/(A39-1)</f>
        <v>8175.5831868877267</v>
      </c>
      <c r="J39" s="145">
        <f t="shared" si="0"/>
        <v>14.435307590776979</v>
      </c>
      <c r="K39" s="150">
        <f>+AVERAGE($J$6:J39)</f>
        <v>9.3251494391798726</v>
      </c>
      <c r="L39" s="145">
        <f>IFERROR(+SUM($E$6:E39)/I39, "-")</f>
        <v>-1.5978329096899579</v>
      </c>
      <c r="M39" s="77"/>
      <c r="N39" s="90"/>
    </row>
    <row r="40" spans="1:14" x14ac:dyDescent="0.25">
      <c r="A40" s="47">
        <v>36</v>
      </c>
      <c r="B40" s="20">
        <v>99145</v>
      </c>
      <c r="C40" s="200">
        <f t="shared" si="7"/>
        <v>15904</v>
      </c>
      <c r="D40" s="198">
        <f t="shared" si="5"/>
        <v>-1094.3016318104869</v>
      </c>
      <c r="E40" s="152">
        <f t="shared" si="3"/>
        <v>16998.301631810486</v>
      </c>
      <c r="F40" s="155">
        <f t="shared" si="6"/>
        <v>82146.698368189507</v>
      </c>
      <c r="G40" s="153">
        <f t="shared" si="4"/>
        <v>16998.301631810486</v>
      </c>
      <c r="H40" s="158">
        <f>+SUMSQ($E$6:E40)/(A40-1)</f>
        <v>142046486.96158966</v>
      </c>
      <c r="I40" s="159">
        <f>+SUM($G$6:G40)/(A40-1)</f>
        <v>8427.6608567426629</v>
      </c>
      <c r="J40" s="145">
        <f t="shared" si="0"/>
        <v>20.69261695171538</v>
      </c>
      <c r="K40" s="160">
        <f>+AVERAGE($J$6:J40)</f>
        <v>9.6499342252523164</v>
      </c>
      <c r="L40" s="148">
        <f>IFERROR(+SUM($E$6:E40)/I40, "-")</f>
        <v>0.46692502543514819</v>
      </c>
      <c r="M40" s="77"/>
      <c r="N40" s="90"/>
    </row>
    <row r="41" spans="1:14" x14ac:dyDescent="0.25">
      <c r="A41" s="172">
        <v>37</v>
      </c>
      <c r="B41" s="173"/>
      <c r="C41" s="173"/>
      <c r="D41" s="49">
        <f t="shared" si="5"/>
        <v>858.44309501843406</v>
      </c>
      <c r="E41" s="124"/>
      <c r="F41" s="156">
        <f>+D41+B40</f>
        <v>100003.44309501843</v>
      </c>
      <c r="G41" s="157">
        <f>+AVERAGE(G6:G40)</f>
        <v>8427.6608567426629</v>
      </c>
      <c r="H41" s="124"/>
      <c r="I41" s="123"/>
      <c r="J41" s="160">
        <f>+AVERAGE(J6:J40)</f>
        <v>9.6499342252523164</v>
      </c>
      <c r="K41" s="174"/>
      <c r="L41" s="123"/>
      <c r="M41" s="123"/>
      <c r="N41" s="175"/>
    </row>
    <row r="44" spans="1:14" x14ac:dyDescent="0.25">
      <c r="D44" s="16"/>
    </row>
  </sheetData>
  <mergeCells count="2">
    <mergeCell ref="A3:C3"/>
    <mergeCell ref="A1:N1"/>
  </mergeCells>
  <conditionalFormatting sqref="L9:L40">
    <cfRule type="colorScale" priority="1">
      <colorScale>
        <cfvo type="min"/>
        <cfvo type="percentile" val="50"/>
        <cfvo type="max"/>
        <color theme="0" tint="-4.9989318521683403E-2"/>
        <color theme="5" tint="0.79998168889431442"/>
        <color theme="7" tint="-0.499984740745262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2992CE276E84CBF651D6F03253F49" ma:contentTypeVersion="12" ma:contentTypeDescription="Crear nuevo documento." ma:contentTypeScope="" ma:versionID="069d6498d2517a6a2642f72c16a4389f">
  <xsd:schema xmlns:xsd="http://www.w3.org/2001/XMLSchema" xmlns:xs="http://www.w3.org/2001/XMLSchema" xmlns:p="http://schemas.microsoft.com/office/2006/metadata/properties" xmlns:ns2="f4f1b1da-8cc6-4e30-9ef5-660935993fef" xmlns:ns3="3864821a-378e-43a0-9ecc-bb6a23cfd6d6" targetNamespace="http://schemas.microsoft.com/office/2006/metadata/properties" ma:root="true" ma:fieldsID="9e7257e0be6fade74854631a3e010dca" ns2:_="" ns3:_="">
    <xsd:import namespace="f4f1b1da-8cc6-4e30-9ef5-660935993fef"/>
    <xsd:import namespace="3864821a-378e-43a0-9ecc-bb6a23cfd6d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1b1da-8cc6-4e30-9ef5-660935993f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1348c8ee-fc48-4349-a3df-b5c7dc9d70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4821a-378e-43a0-9ecc-bb6a23cfd6d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4e0c13c-3ba8-476a-9ce0-b785bad2741c}" ma:internalName="TaxCatchAll" ma:showField="CatchAllData" ma:web="3864821a-378e-43a0-9ecc-bb6a23cfd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64821a-378e-43a0-9ecc-bb6a23cfd6d6" xsi:nil="true"/>
    <lcf76f155ced4ddcb4097134ff3c332f xmlns="f4f1b1da-8cc6-4e30-9ef5-660935993f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7A5CAB-14CA-49A2-BBCE-8248EAEDB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1b1da-8cc6-4e30-9ef5-660935993fef"/>
    <ds:schemaRef ds:uri="3864821a-378e-43a0-9ecc-bb6a23cfd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94823-5C00-4E4D-8351-FBA8FA35B3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BCE5B1-BD62-4A80-8C19-B593C4F6AB51}">
  <ds:schemaRefs>
    <ds:schemaRef ds:uri="http://schemas.microsoft.com/office/2006/metadata/properties"/>
    <ds:schemaRef ds:uri="http://schemas.microsoft.com/office/infopath/2007/PartnerControls"/>
    <ds:schemaRef ds:uri="3864821a-378e-43a0-9ecc-bb6a23cfd6d6"/>
    <ds:schemaRef ds:uri="f4f1b1da-8cc6-4e30-9ef5-660935993f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DATABASE - POLIZAS (2021-2023)</vt:lpstr>
      <vt:lpstr>RegresiónLineal</vt:lpstr>
      <vt:lpstr>RegresiónPolinomialG3</vt:lpstr>
      <vt:lpstr>PromediosMoviles</vt:lpstr>
      <vt:lpstr>Suav Expo</vt:lpstr>
      <vt:lpstr>Holt</vt:lpstr>
      <vt:lpstr>ARIMA(313)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CASTILLO</dc:creator>
  <cp:keywords/>
  <dc:description/>
  <cp:lastModifiedBy>SAMUEL RODRIGUEZ</cp:lastModifiedBy>
  <cp:revision/>
  <dcterms:created xsi:type="dcterms:W3CDTF">2024-05-30T22:01:10Z</dcterms:created>
  <dcterms:modified xsi:type="dcterms:W3CDTF">2024-09-09T03:37:19Z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0x010100DACB81DA26A7D84FB53AD29BC97871CA</vt:lpwstr>
  </property>
</Properties>
</file>