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6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7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 NITJ\Taguchi SCGPC paper\Revision\Figures D-24-15472\"/>
    </mc:Choice>
  </mc:AlternateContent>
  <xr:revisionPtr revIDLastSave="0" documentId="13_ncr:1_{385FC30B-5372-40AC-8A6F-42091F077180}" xr6:coauthVersionLast="47" xr6:coauthVersionMax="47" xr10:uidLastSave="{00000000-0000-0000-0000-000000000000}"/>
  <bookViews>
    <workbookView xWindow="-108" yWindow="-108" windowWidth="23256" windowHeight="12456" tabRatio="879" xr2:uid="{2D3BE255-9C9B-4694-872A-857A177C0428}"/>
  </bookViews>
  <sheets>
    <sheet name="Sheet1" sheetId="15" r:id="rId1"/>
    <sheet name="results and SN plots" sheetId="6" r:id="rId2"/>
    <sheet name="Sensitivity analysis" sheetId="10" r:id="rId3"/>
    <sheet name="GRA" sheetId="9" r:id="rId4"/>
    <sheet name="MLR FA-GGBS SCGPC" sheetId="11" r:id="rId5"/>
    <sheet name="MLR BA-GGBS SCGPC" sheetId="13" r:id="rId6"/>
    <sheet name="MLR RHA-GGBS SCGPC" sheetId="14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5" l="1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J3" i="15"/>
  <c r="K3" i="15" s="1"/>
  <c r="J4" i="15"/>
  <c r="K4" i="15" s="1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" i="15"/>
  <c r="K2" i="15" s="1"/>
  <c r="F3" i="15"/>
  <c r="F4" i="15"/>
  <c r="F5" i="15"/>
  <c r="F6" i="15"/>
  <c r="F7" i="15"/>
  <c r="F8" i="15"/>
  <c r="F9" i="15"/>
  <c r="F10" i="15"/>
  <c r="F11" i="15"/>
  <c r="F12" i="15"/>
  <c r="F13" i="15"/>
  <c r="F14" i="15"/>
  <c r="F16" i="15"/>
  <c r="F17" i="15"/>
  <c r="F18" i="15"/>
  <c r="F19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F15" i="15" s="1"/>
  <c r="E16" i="15"/>
  <c r="E17" i="15"/>
  <c r="E18" i="15"/>
  <c r="E19" i="15"/>
  <c r="E2" i="15"/>
  <c r="F2" i="15" s="1"/>
  <c r="L8" i="14"/>
  <c r="L9" i="14"/>
  <c r="L7" i="14"/>
  <c r="L5" i="14"/>
  <c r="L6" i="14"/>
  <c r="L4" i="14"/>
  <c r="K8" i="14"/>
  <c r="K9" i="14"/>
  <c r="K7" i="14"/>
  <c r="K5" i="14"/>
  <c r="K6" i="14"/>
  <c r="K4" i="14"/>
  <c r="J8" i="14"/>
  <c r="J9" i="14"/>
  <c r="J7" i="14"/>
  <c r="J5" i="14"/>
  <c r="J6" i="14"/>
  <c r="J4" i="14"/>
  <c r="I8" i="14"/>
  <c r="I9" i="14"/>
  <c r="I7" i="14"/>
  <c r="I5" i="14"/>
  <c r="I6" i="14"/>
  <c r="I4" i="14"/>
  <c r="H8" i="14"/>
  <c r="H9" i="14"/>
  <c r="H7" i="14"/>
  <c r="H5" i="14"/>
  <c r="H6" i="14"/>
  <c r="H4" i="14"/>
  <c r="G8" i="14"/>
  <c r="G9" i="14"/>
  <c r="G7" i="14"/>
  <c r="G5" i="14"/>
  <c r="G6" i="14"/>
  <c r="G4" i="14"/>
  <c r="F8" i="14"/>
  <c r="F9" i="14"/>
  <c r="F7" i="14"/>
  <c r="F5" i="14"/>
  <c r="F6" i="14"/>
  <c r="F4" i="14"/>
  <c r="E8" i="14"/>
  <c r="E9" i="14"/>
  <c r="E7" i="14"/>
  <c r="E5" i="14"/>
  <c r="E6" i="14"/>
  <c r="E4" i="14"/>
  <c r="D8" i="14"/>
  <c r="D9" i="14"/>
  <c r="D7" i="14"/>
  <c r="D5" i="14"/>
  <c r="D6" i="14"/>
  <c r="D4" i="14"/>
  <c r="C8" i="14"/>
  <c r="C9" i="14"/>
  <c r="C7" i="14"/>
  <c r="C5" i="14"/>
  <c r="C6" i="14"/>
  <c r="C4" i="14"/>
  <c r="B8" i="14"/>
  <c r="B9" i="14"/>
  <c r="B7" i="14"/>
  <c r="B5" i="14"/>
  <c r="B6" i="14"/>
  <c r="B4" i="14"/>
  <c r="A8" i="14"/>
  <c r="A9" i="14"/>
  <c r="A7" i="14"/>
  <c r="A5" i="14"/>
  <c r="A6" i="14"/>
  <c r="A4" i="14"/>
  <c r="G3" i="14"/>
  <c r="F3" i="14"/>
  <c r="E3" i="14"/>
  <c r="D3" i="14"/>
  <c r="C3" i="14"/>
  <c r="B3" i="14"/>
  <c r="A3" i="14"/>
  <c r="L8" i="13"/>
  <c r="L9" i="13"/>
  <c r="L7" i="13"/>
  <c r="L5" i="13"/>
  <c r="L6" i="13"/>
  <c r="L4" i="13"/>
  <c r="K8" i="13"/>
  <c r="K9" i="13"/>
  <c r="K7" i="13"/>
  <c r="K5" i="13"/>
  <c r="K6" i="13"/>
  <c r="K4" i="13"/>
  <c r="J8" i="13"/>
  <c r="J9" i="13"/>
  <c r="J7" i="13"/>
  <c r="J5" i="13"/>
  <c r="J6" i="13"/>
  <c r="J4" i="13"/>
  <c r="I8" i="13"/>
  <c r="I9" i="13"/>
  <c r="I7" i="13"/>
  <c r="I5" i="13"/>
  <c r="I6" i="13"/>
  <c r="I4" i="13"/>
  <c r="H8" i="13"/>
  <c r="H9" i="13"/>
  <c r="H7" i="13"/>
  <c r="H5" i="13"/>
  <c r="H6" i="13"/>
  <c r="H4" i="13"/>
  <c r="G8" i="13"/>
  <c r="G9" i="13"/>
  <c r="G7" i="13"/>
  <c r="G5" i="13"/>
  <c r="G6" i="13"/>
  <c r="G4" i="13"/>
  <c r="F8" i="13"/>
  <c r="F9" i="13"/>
  <c r="F7" i="13"/>
  <c r="F5" i="13"/>
  <c r="F6" i="13"/>
  <c r="F4" i="13"/>
  <c r="E8" i="13"/>
  <c r="E9" i="13"/>
  <c r="E7" i="13"/>
  <c r="E5" i="13"/>
  <c r="E6" i="13"/>
  <c r="E4" i="13"/>
  <c r="D8" i="13"/>
  <c r="D9" i="13"/>
  <c r="D7" i="13"/>
  <c r="D5" i="13"/>
  <c r="D6" i="13"/>
  <c r="D4" i="13"/>
  <c r="C8" i="13"/>
  <c r="C9" i="13"/>
  <c r="C7" i="13"/>
  <c r="C5" i="13"/>
  <c r="C6" i="13"/>
  <c r="C4" i="13"/>
  <c r="B8" i="13"/>
  <c r="B9" i="13"/>
  <c r="B7" i="13"/>
  <c r="B5" i="13"/>
  <c r="B6" i="13"/>
  <c r="B4" i="13"/>
  <c r="A8" i="13"/>
  <c r="A9" i="13"/>
  <c r="A5" i="13"/>
  <c r="A6" i="13"/>
  <c r="A7" i="13"/>
  <c r="A4" i="13"/>
  <c r="G3" i="13"/>
  <c r="F3" i="13"/>
  <c r="E3" i="13"/>
  <c r="D3" i="13"/>
  <c r="C3" i="13"/>
  <c r="B3" i="13"/>
  <c r="A3" i="13"/>
  <c r="L8" i="11" l="1"/>
  <c r="L9" i="11"/>
  <c r="L7" i="11"/>
  <c r="L5" i="11"/>
  <c r="L6" i="11"/>
  <c r="L4" i="11"/>
  <c r="BJ25" i="6"/>
  <c r="BI43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25" i="6"/>
  <c r="BH25" i="6"/>
  <c r="BG43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25" i="6"/>
  <c r="BF26" i="6"/>
  <c r="AZ25" i="6"/>
  <c r="BD25" i="6"/>
  <c r="BE43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26" i="6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3" i="9"/>
  <c r="S4" i="9" l="1" a="1"/>
  <c r="S4" i="9"/>
  <c r="S5" i="9" a="1"/>
  <c r="S5" i="9" s="1"/>
  <c r="S6" i="9" a="1"/>
  <c r="S6" i="9"/>
  <c r="S7" i="9" a="1"/>
  <c r="S7" i="9" s="1"/>
  <c r="S8" i="9" a="1"/>
  <c r="S8" i="9"/>
  <c r="S9" i="9" a="1"/>
  <c r="S9" i="9" s="1"/>
  <c r="S10" i="9" a="1"/>
  <c r="S10" i="9"/>
  <c r="S11" i="9" a="1"/>
  <c r="S11" i="9" s="1"/>
  <c r="S12" i="9" a="1"/>
  <c r="S12" i="9" s="1"/>
  <c r="S13" i="9" a="1"/>
  <c r="S13" i="9" s="1"/>
  <c r="S14" i="9" a="1"/>
  <c r="S14" i="9" s="1"/>
  <c r="S15" i="9" a="1"/>
  <c r="S15" i="9" s="1"/>
  <c r="S16" i="9" a="1"/>
  <c r="S16" i="9" s="1"/>
  <c r="S17" i="9" a="1"/>
  <c r="S17" i="9" s="1"/>
  <c r="S18" i="9" a="1"/>
  <c r="S18" i="9" s="1"/>
  <c r="S19" i="9" a="1"/>
  <c r="S19" i="9" s="1"/>
  <c r="S20" i="9" a="1"/>
  <c r="S20" i="9" s="1"/>
  <c r="S3" i="9" a="1"/>
  <c r="S3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3" i="9"/>
  <c r="AO66" i="10"/>
  <c r="AO65" i="10"/>
  <c r="AO64" i="10"/>
  <c r="AO63" i="10"/>
  <c r="AO62" i="10"/>
  <c r="AO61" i="10"/>
  <c r="AO60" i="10"/>
  <c r="AO59" i="10"/>
  <c r="AP52" i="10"/>
  <c r="AP49" i="10"/>
  <c r="AP46" i="10"/>
  <c r="AP43" i="10"/>
  <c r="AP40" i="10"/>
  <c r="AP38" i="10"/>
  <c r="AP35" i="10"/>
  <c r="AP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32" i="10"/>
  <c r="AE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32" i="10"/>
  <c r="AN38" i="10"/>
  <c r="AO38" i="10" s="1"/>
  <c r="K24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3" i="10"/>
  <c r="J22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3" i="10"/>
  <c r="AQ26" i="6"/>
  <c r="AR26" i="6" s="1"/>
  <c r="AQ27" i="6"/>
  <c r="AR27" i="6" s="1"/>
  <c r="AQ28" i="6"/>
  <c r="AR28" i="6" s="1"/>
  <c r="AQ29" i="6"/>
  <c r="AR29" i="6" s="1"/>
  <c r="AQ30" i="6"/>
  <c r="AQ31" i="6"/>
  <c r="AQ32" i="6"/>
  <c r="AR32" i="6" s="1"/>
  <c r="AQ33" i="6"/>
  <c r="AR33" i="6" s="1"/>
  <c r="AQ34" i="6"/>
  <c r="AR34" i="6" s="1"/>
  <c r="AQ35" i="6"/>
  <c r="AQ36" i="6"/>
  <c r="AQ37" i="6"/>
  <c r="AR37" i="6" s="1"/>
  <c r="AQ38" i="6"/>
  <c r="AQ39" i="6"/>
  <c r="AR39" i="6" s="1"/>
  <c r="AQ40" i="6"/>
  <c r="AR40" i="6" s="1"/>
  <c r="AQ41" i="6"/>
  <c r="AR41" i="6" s="1"/>
  <c r="AQ42" i="6"/>
  <c r="AR42" i="6" s="1"/>
  <c r="AQ25" i="6"/>
  <c r="AJ63" i="6" s="1"/>
  <c r="AR30" i="6"/>
  <c r="AR31" i="6"/>
  <c r="AR35" i="6"/>
  <c r="AR36" i="6"/>
  <c r="AR38" i="6"/>
  <c r="AJ74" i="6"/>
  <c r="AJ70" i="6"/>
  <c r="AJ64" i="6"/>
  <c r="AJ62" i="6"/>
  <c r="AJ58" i="6"/>
  <c r="AJ54" i="6"/>
  <c r="F25" i="9" l="1"/>
  <c r="F23" i="9"/>
  <c r="AN52" i="10"/>
  <c r="AO52" i="10" s="1"/>
  <c r="AN40" i="10"/>
  <c r="AO40" i="10" s="1"/>
  <c r="AN43" i="10"/>
  <c r="AO43" i="10" s="1"/>
  <c r="AN46" i="10"/>
  <c r="AO46" i="10" s="1"/>
  <c r="AN49" i="10"/>
  <c r="AO49" i="10" s="1"/>
  <c r="AN32" i="10"/>
  <c r="AO32" i="10" s="1"/>
  <c r="AN35" i="10"/>
  <c r="AO35" i="10" s="1"/>
  <c r="AJ66" i="6"/>
  <c r="AR25" i="6"/>
  <c r="AK62" i="6"/>
  <c r="AJ52" i="6"/>
  <c r="AK54" i="6"/>
  <c r="AK61" i="6"/>
  <c r="AK56" i="6"/>
  <c r="AK73" i="6"/>
  <c r="AK59" i="6"/>
  <c r="AK53" i="6"/>
  <c r="AK67" i="6"/>
  <c r="AQ43" i="6"/>
  <c r="AJ55" i="6"/>
  <c r="AJ59" i="6"/>
  <c r="AJ67" i="6"/>
  <c r="AJ71" i="6"/>
  <c r="AK55" i="6"/>
  <c r="AK71" i="6"/>
  <c r="AK65" i="6"/>
  <c r="AJ56" i="6"/>
  <c r="AJ60" i="6"/>
  <c r="AJ68" i="6"/>
  <c r="AJ72" i="6"/>
  <c r="AK70" i="6"/>
  <c r="AK64" i="6"/>
  <c r="AK57" i="6"/>
  <c r="AJ53" i="6"/>
  <c r="AJ57" i="6"/>
  <c r="AJ61" i="6"/>
  <c r="AJ65" i="6"/>
  <c r="AJ69" i="6"/>
  <c r="AJ73" i="6"/>
  <c r="AK74" i="6"/>
  <c r="AK68" i="6"/>
  <c r="AK66" i="6"/>
  <c r="AK58" i="6"/>
  <c r="AK69" i="6"/>
  <c r="AK72" i="6"/>
  <c r="AK60" i="6"/>
  <c r="AK52" i="6"/>
  <c r="AR43" i="6"/>
  <c r="AK63" i="6"/>
  <c r="AI43" i="6"/>
  <c r="AO55" i="10" l="1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25" i="6"/>
  <c r="AP43" i="6" l="1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25" i="6"/>
  <c r="V3" i="11"/>
  <c r="W3" i="11"/>
  <c r="X3" i="11"/>
  <c r="Y3" i="11"/>
  <c r="AG43" i="6" l="1"/>
  <c r="BA35" i="6" s="1"/>
  <c r="BA28" i="6"/>
  <c r="BA31" i="6"/>
  <c r="AK43" i="6"/>
  <c r="BC38" i="6" s="1"/>
  <c r="BA37" i="6"/>
  <c r="K5" i="11"/>
  <c r="Y4" i="11" s="1"/>
  <c r="K6" i="11"/>
  <c r="Y5" i="11" s="1"/>
  <c r="K7" i="11"/>
  <c r="Y6" i="11" s="1"/>
  <c r="K8" i="11"/>
  <c r="Y7" i="11" s="1"/>
  <c r="K9" i="11"/>
  <c r="Y8" i="11" s="1"/>
  <c r="K4" i="11"/>
  <c r="I5" i="11"/>
  <c r="W4" i="11" s="1"/>
  <c r="I6" i="11"/>
  <c r="W5" i="11" s="1"/>
  <c r="I7" i="11"/>
  <c r="W6" i="11" s="1"/>
  <c r="I8" i="11"/>
  <c r="W7" i="11" s="1"/>
  <c r="I9" i="11"/>
  <c r="W8" i="11" s="1"/>
  <c r="H5" i="11"/>
  <c r="V4" i="11" s="1"/>
  <c r="H6" i="11"/>
  <c r="V5" i="11" s="1"/>
  <c r="H7" i="11"/>
  <c r="V6" i="11" s="1"/>
  <c r="H8" i="11"/>
  <c r="V7" i="11" s="1"/>
  <c r="H9" i="11"/>
  <c r="V8" i="11" s="1"/>
  <c r="H4" i="11"/>
  <c r="G3" i="11"/>
  <c r="U3" i="11" s="1"/>
  <c r="F3" i="11"/>
  <c r="T3" i="11" s="1"/>
  <c r="E3" i="11"/>
  <c r="S3" i="11" s="1"/>
  <c r="D3" i="11"/>
  <c r="R3" i="11" s="1"/>
  <c r="C3" i="11"/>
  <c r="Q3" i="11" s="1"/>
  <c r="B3" i="11"/>
  <c r="P3" i="11" s="1"/>
  <c r="A3" i="11"/>
  <c r="O3" i="11" s="1"/>
  <c r="AD31" i="10"/>
  <c r="U31" i="10"/>
  <c r="L31" i="10"/>
  <c r="A32" i="10"/>
  <c r="J32" i="10" s="1"/>
  <c r="S32" i="10" s="1"/>
  <c r="AB32" i="10" s="1"/>
  <c r="A35" i="10"/>
  <c r="A61" i="10" s="1"/>
  <c r="A36" i="10"/>
  <c r="J36" i="10" s="1"/>
  <c r="S36" i="10" s="1"/>
  <c r="AB36" i="10" s="1"/>
  <c r="A38" i="10"/>
  <c r="A62" i="10" s="1"/>
  <c r="A39" i="10"/>
  <c r="J39" i="10" s="1"/>
  <c r="S39" i="10" s="1"/>
  <c r="AB39" i="10" s="1"/>
  <c r="A40" i="10"/>
  <c r="A63" i="10" s="1"/>
  <c r="A43" i="10"/>
  <c r="A64" i="10" s="1"/>
  <c r="A46" i="10"/>
  <c r="A65" i="10" s="1"/>
  <c r="A49" i="10"/>
  <c r="A66" i="10" s="1"/>
  <c r="A52" i="10"/>
  <c r="A67" i="10" s="1"/>
  <c r="A31" i="10"/>
  <c r="J31" i="10" s="1"/>
  <c r="S31" i="10" s="1"/>
  <c r="AB31" i="10" s="1"/>
  <c r="AD52" i="6"/>
  <c r="AO26" i="6"/>
  <c r="H4" i="10" s="1"/>
  <c r="AO27" i="6"/>
  <c r="E5" i="9" s="1"/>
  <c r="AO28" i="6"/>
  <c r="AO29" i="6"/>
  <c r="AO30" i="6"/>
  <c r="H8" i="10" s="1"/>
  <c r="AO31" i="6"/>
  <c r="AO32" i="6"/>
  <c r="E10" i="9" s="1"/>
  <c r="AO33" i="6"/>
  <c r="AO34" i="6"/>
  <c r="H12" i="10" s="1"/>
  <c r="AO35" i="6"/>
  <c r="E13" i="9" s="1"/>
  <c r="AO36" i="6"/>
  <c r="AO37" i="6"/>
  <c r="AO38" i="6"/>
  <c r="H16" i="10" s="1"/>
  <c r="AO39" i="6"/>
  <c r="H17" i="10" s="1"/>
  <c r="AO40" i="6"/>
  <c r="E18" i="9" s="1"/>
  <c r="AO41" i="6"/>
  <c r="AO42" i="6"/>
  <c r="H20" i="10" s="1"/>
  <c r="AO25" i="6"/>
  <c r="AL26" i="6"/>
  <c r="AL27" i="6"/>
  <c r="AL28" i="6"/>
  <c r="D6" i="10" s="1"/>
  <c r="AL29" i="6"/>
  <c r="C7" i="9" s="1"/>
  <c r="AL30" i="6"/>
  <c r="D8" i="10" s="1"/>
  <c r="AL31" i="6"/>
  <c r="D9" i="10" s="1"/>
  <c r="AL32" i="6"/>
  <c r="AL33" i="6"/>
  <c r="C11" i="9" s="1"/>
  <c r="AL34" i="6"/>
  <c r="D12" i="10" s="1"/>
  <c r="AL35" i="6"/>
  <c r="D13" i="10" s="1"/>
  <c r="AL36" i="6"/>
  <c r="D14" i="10" s="1"/>
  <c r="AL37" i="6"/>
  <c r="C15" i="9" s="1"/>
  <c r="AL38" i="6"/>
  <c r="D16" i="10" s="1"/>
  <c r="AL39" i="6"/>
  <c r="D17" i="10" s="1"/>
  <c r="AL40" i="6"/>
  <c r="D18" i="10" s="1"/>
  <c r="AL41" i="6"/>
  <c r="C19" i="9" s="1"/>
  <c r="AL42" i="6"/>
  <c r="D20" i="10" s="1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25" i="6"/>
  <c r="AH26" i="6"/>
  <c r="AH27" i="6"/>
  <c r="B5" i="10" s="1"/>
  <c r="AH28" i="6"/>
  <c r="AH29" i="6"/>
  <c r="B7" i="10" s="1"/>
  <c r="AH30" i="6"/>
  <c r="B8" i="9" s="1"/>
  <c r="AH31" i="6"/>
  <c r="B9" i="10" s="1"/>
  <c r="AH32" i="6"/>
  <c r="AH33" i="6"/>
  <c r="B11" i="10" s="1"/>
  <c r="AH34" i="6"/>
  <c r="AH35" i="6"/>
  <c r="B13" i="9" s="1"/>
  <c r="AH36" i="6"/>
  <c r="B14" i="9" s="1"/>
  <c r="AH37" i="6"/>
  <c r="B15" i="9" s="1"/>
  <c r="AH38" i="6"/>
  <c r="B16" i="10" s="1"/>
  <c r="AH39" i="6"/>
  <c r="B17" i="9" s="1"/>
  <c r="AH40" i="6"/>
  <c r="B18" i="10" s="1"/>
  <c r="AH41" i="6"/>
  <c r="B19" i="10" s="1"/>
  <c r="AH42" i="6"/>
  <c r="AH25" i="6"/>
  <c r="AI74" i="6"/>
  <c r="AI73" i="6"/>
  <c r="AI72" i="6"/>
  <c r="AI71" i="6"/>
  <c r="AI70" i="6"/>
  <c r="AI69" i="6"/>
  <c r="AI68" i="6"/>
  <c r="AI56" i="6"/>
  <c r="AI55" i="6"/>
  <c r="AI54" i="6"/>
  <c r="AI53" i="6"/>
  <c r="AI52" i="6"/>
  <c r="Z53" i="6"/>
  <c r="AI67" i="6"/>
  <c r="AI66" i="6"/>
  <c r="AI65" i="6"/>
  <c r="AI64" i="6"/>
  <c r="AI63" i="6"/>
  <c r="AI62" i="6"/>
  <c r="AI61" i="6"/>
  <c r="AI60" i="6"/>
  <c r="AI59" i="6"/>
  <c r="AI58" i="6"/>
  <c r="AI57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D58" i="6"/>
  <c r="AF57" i="6"/>
  <c r="AF56" i="6"/>
  <c r="AF55" i="6"/>
  <c r="AF54" i="6"/>
  <c r="AF53" i="6"/>
  <c r="AF52" i="6"/>
  <c r="AM26" i="6"/>
  <c r="J5" i="11" s="1"/>
  <c r="X4" i="11" s="1"/>
  <c r="AM27" i="6"/>
  <c r="J6" i="11" s="1"/>
  <c r="X5" i="11" s="1"/>
  <c r="AM28" i="6"/>
  <c r="AN28" i="6" s="1"/>
  <c r="AM29" i="6"/>
  <c r="AN29" i="6" s="1"/>
  <c r="F7" i="10" s="1"/>
  <c r="AM30" i="6"/>
  <c r="AN30" i="6" s="1"/>
  <c r="AM31" i="6"/>
  <c r="AN31" i="6" s="1"/>
  <c r="AM32" i="6"/>
  <c r="AN32" i="6" s="1"/>
  <c r="AM33" i="6"/>
  <c r="AN33" i="6" s="1"/>
  <c r="AM34" i="6"/>
  <c r="J7" i="11" s="1"/>
  <c r="X6" i="11" s="1"/>
  <c r="AM35" i="6"/>
  <c r="J8" i="11" s="1"/>
  <c r="X7" i="11" s="1"/>
  <c r="AM36" i="6"/>
  <c r="AM37" i="6"/>
  <c r="AN37" i="6" s="1"/>
  <c r="F15" i="10" s="1"/>
  <c r="AM38" i="6"/>
  <c r="AN38" i="6" s="1"/>
  <c r="AM39" i="6"/>
  <c r="AN39" i="6" s="1"/>
  <c r="AM40" i="6"/>
  <c r="AN40" i="6" s="1"/>
  <c r="AM41" i="6"/>
  <c r="AN41" i="6" s="1"/>
  <c r="D19" i="9" s="1"/>
  <c r="AM42" i="6"/>
  <c r="AN42" i="6" s="1"/>
  <c r="D20" i="9" s="1"/>
  <c r="AM25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52" i="6"/>
  <c r="BC36" i="6" l="1"/>
  <c r="BC27" i="6"/>
  <c r="BC40" i="6"/>
  <c r="BC35" i="6"/>
  <c r="BC39" i="6"/>
  <c r="BC42" i="6"/>
  <c r="AJ43" i="6"/>
  <c r="BA38" i="6"/>
  <c r="BA32" i="6"/>
  <c r="BA41" i="6"/>
  <c r="BA39" i="6"/>
  <c r="BA36" i="6"/>
  <c r="BA26" i="6"/>
  <c r="BA42" i="6"/>
  <c r="BA25" i="6"/>
  <c r="BA40" i="6"/>
  <c r="AH43" i="6"/>
  <c r="BA29" i="6"/>
  <c r="BC29" i="6"/>
  <c r="BC26" i="6"/>
  <c r="BA30" i="6"/>
  <c r="BC28" i="6"/>
  <c r="BA27" i="6"/>
  <c r="BC33" i="6"/>
  <c r="BC30" i="6"/>
  <c r="J4" i="11"/>
  <c r="AM43" i="6"/>
  <c r="E3" i="9"/>
  <c r="AO43" i="6"/>
  <c r="BA33" i="6"/>
  <c r="BC31" i="6"/>
  <c r="BC25" i="6"/>
  <c r="BC37" i="6"/>
  <c r="BC34" i="6"/>
  <c r="BA34" i="6"/>
  <c r="BC32" i="6"/>
  <c r="BC41" i="6"/>
  <c r="AE72" i="6"/>
  <c r="AE64" i="6"/>
  <c r="F20" i="10"/>
  <c r="AN27" i="6"/>
  <c r="F5" i="10" s="1"/>
  <c r="H13" i="10"/>
  <c r="AE59" i="6"/>
  <c r="F19" i="10"/>
  <c r="AE56" i="6"/>
  <c r="AN25" i="6"/>
  <c r="AN26" i="6"/>
  <c r="D7" i="9"/>
  <c r="E20" i="9"/>
  <c r="E16" i="9"/>
  <c r="E12" i="9"/>
  <c r="E8" i="9"/>
  <c r="E4" i="9"/>
  <c r="D9" i="9"/>
  <c r="AA54" i="6"/>
  <c r="U34" i="10" s="1"/>
  <c r="F9" i="10"/>
  <c r="F11" i="10"/>
  <c r="D11" i="9"/>
  <c r="F8" i="10"/>
  <c r="D8" i="9"/>
  <c r="D16" i="9"/>
  <c r="F16" i="10"/>
  <c r="H19" i="10"/>
  <c r="E19" i="9"/>
  <c r="H15" i="10"/>
  <c r="E15" i="9"/>
  <c r="H11" i="10"/>
  <c r="E11" i="9"/>
  <c r="AG73" i="6"/>
  <c r="AD53" i="10" s="1"/>
  <c r="H7" i="10"/>
  <c r="E7" i="9"/>
  <c r="AG56" i="6"/>
  <c r="AD36" i="10" s="1"/>
  <c r="AG61" i="6"/>
  <c r="AD41" i="10" s="1"/>
  <c r="AG68" i="6"/>
  <c r="AD48" i="10" s="1"/>
  <c r="AG57" i="6"/>
  <c r="AD37" i="10" s="1"/>
  <c r="D17" i="9"/>
  <c r="F17" i="10"/>
  <c r="F18" i="10"/>
  <c r="D18" i="9"/>
  <c r="J9" i="11"/>
  <c r="X8" i="11" s="1"/>
  <c r="AN36" i="6"/>
  <c r="AA66" i="6" s="1"/>
  <c r="U46" i="10" s="1"/>
  <c r="F10" i="10"/>
  <c r="D10" i="9"/>
  <c r="F6" i="10"/>
  <c r="AA53" i="6"/>
  <c r="U33" i="10" s="1"/>
  <c r="D6" i="9"/>
  <c r="B20" i="9"/>
  <c r="B20" i="10"/>
  <c r="B12" i="9"/>
  <c r="B12" i="10"/>
  <c r="B4" i="9"/>
  <c r="B4" i="10"/>
  <c r="AC67" i="6"/>
  <c r="D47" i="10" s="1"/>
  <c r="AE53" i="6"/>
  <c r="AE67" i="6"/>
  <c r="AG65" i="6"/>
  <c r="AD45" i="10" s="1"/>
  <c r="AE66" i="6"/>
  <c r="AE58" i="6"/>
  <c r="AE69" i="6"/>
  <c r="AE74" i="6"/>
  <c r="AE62" i="6"/>
  <c r="AE65" i="6"/>
  <c r="AE57" i="6"/>
  <c r="C10" i="9"/>
  <c r="D10" i="10"/>
  <c r="E14" i="9"/>
  <c r="H14" i="10"/>
  <c r="H6" i="10"/>
  <c r="E6" i="9"/>
  <c r="AG52" i="6"/>
  <c r="AD32" i="10" s="1"/>
  <c r="AG60" i="6"/>
  <c r="AD40" i="10" s="1"/>
  <c r="D15" i="9"/>
  <c r="B10" i="9"/>
  <c r="B10" i="10"/>
  <c r="B6" i="9"/>
  <c r="B6" i="10"/>
  <c r="AE70" i="6"/>
  <c r="AE73" i="6"/>
  <c r="AE61" i="6"/>
  <c r="AN35" i="6"/>
  <c r="H3" i="10"/>
  <c r="AG63" i="6"/>
  <c r="AD43" i="10" s="1"/>
  <c r="AG55" i="6"/>
  <c r="AD35" i="10" s="1"/>
  <c r="AG66" i="6"/>
  <c r="AD46" i="10" s="1"/>
  <c r="AG58" i="6"/>
  <c r="AD38" i="10" s="1"/>
  <c r="H9" i="10"/>
  <c r="AG54" i="6"/>
  <c r="AD34" i="10" s="1"/>
  <c r="AG70" i="6"/>
  <c r="AD50" i="10" s="1"/>
  <c r="AG71" i="6"/>
  <c r="AD51" i="10" s="1"/>
  <c r="AG62" i="6"/>
  <c r="AD42" i="10" s="1"/>
  <c r="AG74" i="6"/>
  <c r="AD54" i="10" s="1"/>
  <c r="AE52" i="6"/>
  <c r="AE60" i="6"/>
  <c r="AE68" i="6"/>
  <c r="AG53" i="6"/>
  <c r="AD33" i="10" s="1"/>
  <c r="AG69" i="6"/>
  <c r="AD49" i="10" s="1"/>
  <c r="H18" i="10"/>
  <c r="B15" i="10"/>
  <c r="AE54" i="6"/>
  <c r="AN34" i="6"/>
  <c r="AA72" i="6" s="1"/>
  <c r="U52" i="10" s="1"/>
  <c r="AE55" i="6"/>
  <c r="AE63" i="6"/>
  <c r="AE71" i="6"/>
  <c r="AG64" i="6"/>
  <c r="AD44" i="10" s="1"/>
  <c r="AG72" i="6"/>
  <c r="AD52" i="10" s="1"/>
  <c r="E17" i="9"/>
  <c r="E9" i="9"/>
  <c r="B14" i="10"/>
  <c r="H10" i="10"/>
  <c r="H5" i="10"/>
  <c r="AC63" i="6"/>
  <c r="D43" i="10" s="1"/>
  <c r="AG59" i="6"/>
  <c r="AD39" i="10" s="1"/>
  <c r="AG67" i="6"/>
  <c r="AD47" i="10" s="1"/>
  <c r="C18" i="9"/>
  <c r="C6" i="9"/>
  <c r="C14" i="9"/>
  <c r="Y57" i="6"/>
  <c r="L37" i="10" s="1"/>
  <c r="Y70" i="6"/>
  <c r="L50" i="10" s="1"/>
  <c r="AC53" i="6"/>
  <c r="D33" i="10" s="1"/>
  <c r="AC59" i="6"/>
  <c r="D39" i="10" s="1"/>
  <c r="AC64" i="6"/>
  <c r="D44" i="10" s="1"/>
  <c r="AC70" i="6"/>
  <c r="D50" i="10" s="1"/>
  <c r="AC74" i="6"/>
  <c r="D54" i="10" s="1"/>
  <c r="B19" i="9"/>
  <c r="B11" i="9"/>
  <c r="B7" i="9"/>
  <c r="B17" i="10"/>
  <c r="AC54" i="6"/>
  <c r="D34" i="10" s="1"/>
  <c r="AC60" i="6"/>
  <c r="D40" i="10" s="1"/>
  <c r="AC65" i="6"/>
  <c r="D45" i="10" s="1"/>
  <c r="AC71" i="6"/>
  <c r="D51" i="10" s="1"/>
  <c r="B18" i="9"/>
  <c r="B13" i="10"/>
  <c r="B8" i="10"/>
  <c r="AC56" i="6"/>
  <c r="D36" i="10" s="1"/>
  <c r="AC61" i="6"/>
  <c r="D41" i="10" s="1"/>
  <c r="AC72" i="6"/>
  <c r="D52" i="10" s="1"/>
  <c r="B9" i="9"/>
  <c r="B5" i="9"/>
  <c r="AC52" i="6"/>
  <c r="D32" i="10" s="1"/>
  <c r="AC57" i="6"/>
  <c r="D37" i="10" s="1"/>
  <c r="AC62" i="6"/>
  <c r="D42" i="10" s="1"/>
  <c r="AC68" i="6"/>
  <c r="D48" i="10" s="1"/>
  <c r="AC73" i="6"/>
  <c r="D53" i="10" s="1"/>
  <c r="B16" i="9"/>
  <c r="AC69" i="6"/>
  <c r="D49" i="10" s="1"/>
  <c r="B3" i="9"/>
  <c r="AC58" i="6"/>
  <c r="D38" i="10" s="1"/>
  <c r="AC66" i="6"/>
  <c r="D46" i="10" s="1"/>
  <c r="B3" i="10"/>
  <c r="AC55" i="6"/>
  <c r="D35" i="10" s="1"/>
  <c r="Y65" i="6"/>
  <c r="L45" i="10" s="1"/>
  <c r="Y54" i="6"/>
  <c r="L34" i="10" s="1"/>
  <c r="Y61" i="6"/>
  <c r="L41" i="10" s="1"/>
  <c r="Y67" i="6"/>
  <c r="L47" i="10" s="1"/>
  <c r="Y73" i="6"/>
  <c r="L53" i="10" s="1"/>
  <c r="C17" i="9"/>
  <c r="C13" i="9"/>
  <c r="C9" i="9"/>
  <c r="C5" i="9"/>
  <c r="Y56" i="6"/>
  <c r="L36" i="10" s="1"/>
  <c r="Y62" i="6"/>
  <c r="L42" i="10" s="1"/>
  <c r="Y68" i="6"/>
  <c r="L48" i="10" s="1"/>
  <c r="Y74" i="6"/>
  <c r="L54" i="10" s="1"/>
  <c r="C20" i="9"/>
  <c r="C16" i="9"/>
  <c r="C12" i="9"/>
  <c r="C8" i="9"/>
  <c r="C4" i="9"/>
  <c r="D19" i="10"/>
  <c r="D15" i="10"/>
  <c r="D11" i="10"/>
  <c r="D7" i="10"/>
  <c r="D5" i="10"/>
  <c r="D4" i="10"/>
  <c r="Y53" i="6"/>
  <c r="L33" i="10" s="1"/>
  <c r="Y59" i="6"/>
  <c r="L39" i="10" s="1"/>
  <c r="Y71" i="6"/>
  <c r="L51" i="10" s="1"/>
  <c r="Y64" i="6"/>
  <c r="L44" i="10" s="1"/>
  <c r="J46" i="10"/>
  <c r="J38" i="10"/>
  <c r="J49" i="10"/>
  <c r="J43" i="10"/>
  <c r="J52" i="10"/>
  <c r="J40" i="10"/>
  <c r="J35" i="10"/>
  <c r="AB52" i="6"/>
  <c r="AB53" i="6"/>
  <c r="BA43" i="6" l="1"/>
  <c r="BC43" i="6"/>
  <c r="D4" i="9"/>
  <c r="AN43" i="6"/>
  <c r="AA70" i="6"/>
  <c r="U50" i="10" s="1"/>
  <c r="AA65" i="6"/>
  <c r="U45" i="10" s="1"/>
  <c r="D5" i="9"/>
  <c r="AA71" i="6"/>
  <c r="U51" i="10" s="1"/>
  <c r="AA55" i="6"/>
  <c r="U35" i="10" s="1"/>
  <c r="AA67" i="6"/>
  <c r="U47" i="10" s="1"/>
  <c r="F4" i="10"/>
  <c r="AA58" i="6"/>
  <c r="U38" i="10" s="1"/>
  <c r="E25" i="9"/>
  <c r="E23" i="9"/>
  <c r="H22" i="10"/>
  <c r="I8" i="10" s="1"/>
  <c r="S43" i="10"/>
  <c r="J64" i="10"/>
  <c r="AA73" i="6"/>
  <c r="U53" i="10" s="1"/>
  <c r="AA57" i="6"/>
  <c r="U37" i="10" s="1"/>
  <c r="AA60" i="6"/>
  <c r="U40" i="10" s="1"/>
  <c r="S52" i="10"/>
  <c r="J67" i="10"/>
  <c r="F13" i="10"/>
  <c r="D13" i="9"/>
  <c r="F14" i="10"/>
  <c r="D14" i="9"/>
  <c r="S35" i="10"/>
  <c r="J61" i="10"/>
  <c r="B22" i="10"/>
  <c r="C15" i="10" s="1"/>
  <c r="AA61" i="6"/>
  <c r="U41" i="10" s="1"/>
  <c r="AA64" i="6"/>
  <c r="U44" i="10" s="1"/>
  <c r="AA63" i="6"/>
  <c r="U43" i="10" s="1"/>
  <c r="AA69" i="6"/>
  <c r="U49" i="10" s="1"/>
  <c r="J65" i="10"/>
  <c r="S46" i="10"/>
  <c r="AA52" i="6"/>
  <c r="U32" i="10" s="1"/>
  <c r="AA74" i="6"/>
  <c r="U54" i="10" s="1"/>
  <c r="AA68" i="6"/>
  <c r="U48" i="10" s="1"/>
  <c r="J66" i="10"/>
  <c r="S49" i="10"/>
  <c r="S40" i="10"/>
  <c r="J63" i="10"/>
  <c r="S38" i="10"/>
  <c r="J62" i="10"/>
  <c r="AA56" i="6"/>
  <c r="U36" i="10" s="1"/>
  <c r="D12" i="9"/>
  <c r="AA59" i="6"/>
  <c r="U39" i="10" s="1"/>
  <c r="F12" i="10"/>
  <c r="AA62" i="6"/>
  <c r="U42" i="10" s="1"/>
  <c r="D4" i="6"/>
  <c r="AB69" i="6"/>
  <c r="AB59" i="6"/>
  <c r="AB71" i="6"/>
  <c r="AB73" i="6"/>
  <c r="AB67" i="6"/>
  <c r="AB55" i="6"/>
  <c r="Z73" i="6"/>
  <c r="Z70" i="6"/>
  <c r="Z74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7" i="6"/>
  <c r="AD56" i="6"/>
  <c r="AD55" i="6"/>
  <c r="AD54" i="6"/>
  <c r="AD53" i="6"/>
  <c r="X74" i="6"/>
  <c r="B54" i="10" s="1"/>
  <c r="K54" i="10" s="1"/>
  <c r="T54" i="10" s="1"/>
  <c r="AC54" i="10" s="1"/>
  <c r="X73" i="6"/>
  <c r="B53" i="10" s="1"/>
  <c r="K53" i="10" s="1"/>
  <c r="T53" i="10" s="1"/>
  <c r="AC53" i="10" s="1"/>
  <c r="X72" i="6"/>
  <c r="B52" i="10" s="1"/>
  <c r="K52" i="10" s="1"/>
  <c r="T52" i="10" s="1"/>
  <c r="AC52" i="10" s="1"/>
  <c r="X71" i="6"/>
  <c r="B51" i="10" s="1"/>
  <c r="K51" i="10" s="1"/>
  <c r="T51" i="10" s="1"/>
  <c r="AC51" i="10" s="1"/>
  <c r="X70" i="6"/>
  <c r="B50" i="10" s="1"/>
  <c r="K50" i="10" s="1"/>
  <c r="T50" i="10" s="1"/>
  <c r="AC50" i="10" s="1"/>
  <c r="X69" i="6"/>
  <c r="B49" i="10" s="1"/>
  <c r="K49" i="10" s="1"/>
  <c r="T49" i="10" s="1"/>
  <c r="AC49" i="10" s="1"/>
  <c r="X68" i="6"/>
  <c r="B48" i="10" s="1"/>
  <c r="K48" i="10" s="1"/>
  <c r="T48" i="10" s="1"/>
  <c r="AC48" i="10" s="1"/>
  <c r="Z67" i="6"/>
  <c r="X67" i="6"/>
  <c r="B47" i="10" s="1"/>
  <c r="K47" i="10" s="1"/>
  <c r="T47" i="10" s="1"/>
  <c r="AC47" i="10" s="1"/>
  <c r="X66" i="6"/>
  <c r="B46" i="10" s="1"/>
  <c r="K46" i="10" s="1"/>
  <c r="T46" i="10" s="1"/>
  <c r="AC46" i="10" s="1"/>
  <c r="X65" i="6"/>
  <c r="B45" i="10" s="1"/>
  <c r="K45" i="10" s="1"/>
  <c r="T45" i="10" s="1"/>
  <c r="AC45" i="10" s="1"/>
  <c r="X64" i="6"/>
  <c r="B44" i="10" s="1"/>
  <c r="K44" i="10" s="1"/>
  <c r="T44" i="10" s="1"/>
  <c r="AC44" i="10" s="1"/>
  <c r="X63" i="6"/>
  <c r="B43" i="10" s="1"/>
  <c r="K43" i="10" s="1"/>
  <c r="T43" i="10" s="1"/>
  <c r="AC43" i="10" s="1"/>
  <c r="X62" i="6"/>
  <c r="B42" i="10" s="1"/>
  <c r="K42" i="10" s="1"/>
  <c r="T42" i="10" s="1"/>
  <c r="AC42" i="10" s="1"/>
  <c r="X61" i="6"/>
  <c r="B41" i="10" s="1"/>
  <c r="K41" i="10" s="1"/>
  <c r="T41" i="10" s="1"/>
  <c r="AC41" i="10" s="1"/>
  <c r="X60" i="6"/>
  <c r="B40" i="10" s="1"/>
  <c r="K40" i="10" s="1"/>
  <c r="T40" i="10" s="1"/>
  <c r="AC40" i="10" s="1"/>
  <c r="X59" i="6"/>
  <c r="B39" i="10" s="1"/>
  <c r="K39" i="10" s="1"/>
  <c r="T39" i="10" s="1"/>
  <c r="AC39" i="10" s="1"/>
  <c r="X58" i="6"/>
  <c r="B38" i="10" s="1"/>
  <c r="K38" i="10" s="1"/>
  <c r="T38" i="10" s="1"/>
  <c r="AC38" i="10" s="1"/>
  <c r="X57" i="6"/>
  <c r="B37" i="10" s="1"/>
  <c r="K37" i="10" s="1"/>
  <c r="T37" i="10" s="1"/>
  <c r="AC37" i="10" s="1"/>
  <c r="X56" i="6"/>
  <c r="B36" i="10" s="1"/>
  <c r="K36" i="10" s="1"/>
  <c r="T36" i="10" s="1"/>
  <c r="AC36" i="10" s="1"/>
  <c r="X55" i="6"/>
  <c r="B35" i="10" s="1"/>
  <c r="K35" i="10" s="1"/>
  <c r="T35" i="10" s="1"/>
  <c r="AC35" i="10" s="1"/>
  <c r="X54" i="6"/>
  <c r="B34" i="10" s="1"/>
  <c r="K34" i="10" s="1"/>
  <c r="T34" i="10" s="1"/>
  <c r="AC34" i="10" s="1"/>
  <c r="X53" i="6"/>
  <c r="B33" i="10" s="1"/>
  <c r="K33" i="10" s="1"/>
  <c r="T33" i="10" s="1"/>
  <c r="AC33" i="10" s="1"/>
  <c r="X52" i="6"/>
  <c r="B32" i="10" s="1"/>
  <c r="K32" i="10" s="1"/>
  <c r="T32" i="10" s="1"/>
  <c r="AC32" i="10" s="1"/>
  <c r="Z23" i="6"/>
  <c r="S21" i="6"/>
  <c r="S42" i="6" s="1"/>
  <c r="I21" i="6"/>
  <c r="H21" i="6"/>
  <c r="G21" i="6"/>
  <c r="F21" i="6"/>
  <c r="E21" i="6"/>
  <c r="D21" i="6"/>
  <c r="C21" i="6"/>
  <c r="V21" i="6" s="1"/>
  <c r="B21" i="6"/>
  <c r="S20" i="6"/>
  <c r="S41" i="6" s="1"/>
  <c r="I20" i="6"/>
  <c r="H20" i="6"/>
  <c r="G20" i="6"/>
  <c r="AF20" i="6" s="1"/>
  <c r="F20" i="6"/>
  <c r="K20" i="6" s="1"/>
  <c r="E20" i="6"/>
  <c r="D20" i="6"/>
  <c r="C20" i="6"/>
  <c r="V20" i="6" s="1"/>
  <c r="B20" i="6"/>
  <c r="S19" i="6"/>
  <c r="S40" i="6" s="1"/>
  <c r="I19" i="6"/>
  <c r="H19" i="6"/>
  <c r="G19" i="6"/>
  <c r="AF19" i="6" s="1"/>
  <c r="F19" i="6"/>
  <c r="K19" i="6" s="1"/>
  <c r="E19" i="6"/>
  <c r="D19" i="6"/>
  <c r="C19" i="6"/>
  <c r="B19" i="6"/>
  <c r="S18" i="6"/>
  <c r="S39" i="6" s="1"/>
  <c r="H18" i="6"/>
  <c r="G18" i="6"/>
  <c r="AF18" i="6" s="1"/>
  <c r="F18" i="6"/>
  <c r="K18" i="6" s="1"/>
  <c r="E18" i="6"/>
  <c r="D18" i="6"/>
  <c r="C18" i="6"/>
  <c r="B18" i="6"/>
  <c r="S17" i="6"/>
  <c r="S38" i="6" s="1"/>
  <c r="I17" i="6"/>
  <c r="H17" i="6"/>
  <c r="G17" i="6"/>
  <c r="AF17" i="6" s="1"/>
  <c r="F17" i="6"/>
  <c r="E17" i="6"/>
  <c r="D17" i="6"/>
  <c r="C17" i="6"/>
  <c r="B17" i="6"/>
  <c r="S16" i="6"/>
  <c r="S37" i="6" s="1"/>
  <c r="I16" i="6"/>
  <c r="H16" i="6"/>
  <c r="G16" i="6"/>
  <c r="F16" i="6"/>
  <c r="E16" i="6"/>
  <c r="D16" i="6"/>
  <c r="C16" i="6"/>
  <c r="B16" i="6"/>
  <c r="S15" i="6"/>
  <c r="S36" i="6" s="1"/>
  <c r="I15" i="6"/>
  <c r="H15" i="6"/>
  <c r="G15" i="6"/>
  <c r="A9" i="11" s="1"/>
  <c r="O8" i="11" s="1"/>
  <c r="F15" i="6"/>
  <c r="E9" i="11" s="1"/>
  <c r="S8" i="11" s="1"/>
  <c r="E15" i="6"/>
  <c r="D9" i="11" s="1"/>
  <c r="R8" i="11" s="1"/>
  <c r="D15" i="6"/>
  <c r="C15" i="6"/>
  <c r="B15" i="6"/>
  <c r="B9" i="11" s="1"/>
  <c r="P8" i="11" s="1"/>
  <c r="S14" i="6"/>
  <c r="S35" i="6" s="1"/>
  <c r="I14" i="6"/>
  <c r="H14" i="6"/>
  <c r="G14" i="6"/>
  <c r="A8" i="11" s="1"/>
  <c r="O7" i="11" s="1"/>
  <c r="F14" i="6"/>
  <c r="E8" i="11" s="1"/>
  <c r="S7" i="11" s="1"/>
  <c r="E14" i="6"/>
  <c r="D8" i="11" s="1"/>
  <c r="R7" i="11" s="1"/>
  <c r="D14" i="6"/>
  <c r="C14" i="6"/>
  <c r="B14" i="6"/>
  <c r="S13" i="6"/>
  <c r="S34" i="6" s="1"/>
  <c r="I13" i="6"/>
  <c r="H13" i="6"/>
  <c r="G13" i="6"/>
  <c r="A7" i="11" s="1"/>
  <c r="O6" i="11" s="1"/>
  <c r="F13" i="6"/>
  <c r="E7" i="11" s="1"/>
  <c r="S6" i="11" s="1"/>
  <c r="E13" i="6"/>
  <c r="D7" i="11" s="1"/>
  <c r="R6" i="11" s="1"/>
  <c r="D13" i="6"/>
  <c r="C13" i="6"/>
  <c r="B13" i="6"/>
  <c r="B7" i="11" s="1"/>
  <c r="P6" i="11" s="1"/>
  <c r="S12" i="6"/>
  <c r="S33" i="6" s="1"/>
  <c r="I12" i="6"/>
  <c r="H12" i="6"/>
  <c r="G12" i="6"/>
  <c r="F12" i="6"/>
  <c r="E12" i="6"/>
  <c r="D12" i="6"/>
  <c r="C12" i="6"/>
  <c r="V12" i="6" s="1"/>
  <c r="B12" i="6"/>
  <c r="S11" i="6"/>
  <c r="S32" i="6" s="1"/>
  <c r="I11" i="6"/>
  <c r="H11" i="6"/>
  <c r="G11" i="6"/>
  <c r="AF11" i="6" s="1"/>
  <c r="F11" i="6"/>
  <c r="E11" i="6"/>
  <c r="D11" i="6"/>
  <c r="C11" i="6"/>
  <c r="V11" i="6" s="1"/>
  <c r="B11" i="6"/>
  <c r="S10" i="6"/>
  <c r="S31" i="6" s="1"/>
  <c r="H10" i="6"/>
  <c r="G10" i="6"/>
  <c r="AF10" i="6" s="1"/>
  <c r="F10" i="6"/>
  <c r="K10" i="6" s="1"/>
  <c r="E10" i="6"/>
  <c r="D10" i="6"/>
  <c r="C10" i="6"/>
  <c r="B10" i="6"/>
  <c r="S9" i="6"/>
  <c r="S30" i="6" s="1"/>
  <c r="I9" i="6"/>
  <c r="H9" i="6"/>
  <c r="G9" i="6"/>
  <c r="F9" i="6"/>
  <c r="E9" i="6"/>
  <c r="D9" i="6"/>
  <c r="C9" i="6"/>
  <c r="B9" i="6"/>
  <c r="S8" i="6"/>
  <c r="S29" i="6" s="1"/>
  <c r="I8" i="6"/>
  <c r="H8" i="6"/>
  <c r="G8" i="6"/>
  <c r="F8" i="6"/>
  <c r="K8" i="6" s="1"/>
  <c r="E8" i="6"/>
  <c r="D8" i="6"/>
  <c r="C8" i="6"/>
  <c r="V8" i="6" s="1"/>
  <c r="B8" i="6"/>
  <c r="S7" i="6"/>
  <c r="S28" i="6" s="1"/>
  <c r="H7" i="6"/>
  <c r="G7" i="6"/>
  <c r="F7" i="6"/>
  <c r="K7" i="6" s="1"/>
  <c r="E7" i="6"/>
  <c r="D7" i="6"/>
  <c r="C7" i="6"/>
  <c r="V7" i="6" s="1"/>
  <c r="B7" i="6"/>
  <c r="S6" i="6"/>
  <c r="S27" i="6" s="1"/>
  <c r="I6" i="6"/>
  <c r="H6" i="6"/>
  <c r="G6" i="6"/>
  <c r="A6" i="11" s="1"/>
  <c r="O5" i="11" s="1"/>
  <c r="F6" i="6"/>
  <c r="E6" i="11" s="1"/>
  <c r="S5" i="11" s="1"/>
  <c r="E6" i="6"/>
  <c r="D6" i="11" s="1"/>
  <c r="R5" i="11" s="1"/>
  <c r="D6" i="6"/>
  <c r="C6" i="6"/>
  <c r="C6" i="11" s="1"/>
  <c r="Q5" i="11" s="1"/>
  <c r="B6" i="6"/>
  <c r="B6" i="11" s="1"/>
  <c r="P5" i="11" s="1"/>
  <c r="S5" i="6"/>
  <c r="S26" i="6" s="1"/>
  <c r="I5" i="6"/>
  <c r="H5" i="6"/>
  <c r="G5" i="6"/>
  <c r="A5" i="11" s="1"/>
  <c r="O4" i="11" s="1"/>
  <c r="F5" i="6"/>
  <c r="E5" i="11" s="1"/>
  <c r="S4" i="11" s="1"/>
  <c r="E5" i="6"/>
  <c r="D5" i="11" s="1"/>
  <c r="R4" i="11" s="1"/>
  <c r="D5" i="6"/>
  <c r="C5" i="6"/>
  <c r="B5" i="6"/>
  <c r="S4" i="6"/>
  <c r="S25" i="6" s="1"/>
  <c r="H4" i="6"/>
  <c r="G4" i="6"/>
  <c r="A4" i="11" s="1"/>
  <c r="F4" i="6"/>
  <c r="E4" i="6"/>
  <c r="D4" i="11" s="1"/>
  <c r="C4" i="6"/>
  <c r="C4" i="11" s="1"/>
  <c r="B4" i="6"/>
  <c r="F39" i="9" l="1"/>
  <c r="F43" i="9"/>
  <c r="F35" i="9"/>
  <c r="F31" i="9"/>
  <c r="F44" i="9"/>
  <c r="F38" i="9"/>
  <c r="F32" i="9"/>
  <c r="F33" i="9"/>
  <c r="F30" i="9"/>
  <c r="F40" i="9"/>
  <c r="F36" i="9"/>
  <c r="F34" i="9"/>
  <c r="F45" i="9"/>
  <c r="F29" i="9"/>
  <c r="F28" i="9"/>
  <c r="F41" i="9"/>
  <c r="F42" i="9"/>
  <c r="F37" i="9"/>
  <c r="V17" i="6"/>
  <c r="E34" i="9"/>
  <c r="F6" i="11"/>
  <c r="T5" i="11" s="1"/>
  <c r="G6" i="11"/>
  <c r="U5" i="11" s="1"/>
  <c r="F4" i="11"/>
  <c r="E33" i="9"/>
  <c r="E40" i="9"/>
  <c r="E29" i="9"/>
  <c r="F5" i="11"/>
  <c r="T4" i="11" s="1"/>
  <c r="F7" i="11"/>
  <c r="T6" i="11" s="1"/>
  <c r="G7" i="11"/>
  <c r="U6" i="11" s="1"/>
  <c r="E37" i="9"/>
  <c r="F8" i="11"/>
  <c r="T7" i="11" s="1"/>
  <c r="G8" i="11"/>
  <c r="U7" i="11" s="1"/>
  <c r="E28" i="9"/>
  <c r="E38" i="9"/>
  <c r="E43" i="9"/>
  <c r="E30" i="9"/>
  <c r="E35" i="9"/>
  <c r="E32" i="9"/>
  <c r="E39" i="9"/>
  <c r="E44" i="9"/>
  <c r="E41" i="9"/>
  <c r="E42" i="9"/>
  <c r="E31" i="9"/>
  <c r="G4" i="11"/>
  <c r="G5" i="11"/>
  <c r="U4" i="11" s="1"/>
  <c r="F9" i="11"/>
  <c r="T8" i="11" s="1"/>
  <c r="G9" i="11"/>
  <c r="U8" i="11" s="1"/>
  <c r="E36" i="9"/>
  <c r="E45" i="9"/>
  <c r="AE36" i="10"/>
  <c r="AE38" i="10"/>
  <c r="I14" i="10"/>
  <c r="AE52" i="10"/>
  <c r="I7" i="10"/>
  <c r="AE44" i="10"/>
  <c r="AE47" i="10"/>
  <c r="AE37" i="10"/>
  <c r="AE51" i="10"/>
  <c r="I11" i="10"/>
  <c r="AE41" i="10"/>
  <c r="I12" i="10"/>
  <c r="I3" i="10"/>
  <c r="I10" i="10"/>
  <c r="AE50" i="10"/>
  <c r="AE42" i="10"/>
  <c r="I15" i="10"/>
  <c r="I5" i="10"/>
  <c r="AE46" i="10"/>
  <c r="I6" i="10"/>
  <c r="AE43" i="10"/>
  <c r="I9" i="10"/>
  <c r="AE35" i="10"/>
  <c r="AE54" i="10"/>
  <c r="I20" i="10"/>
  <c r="V18" i="6"/>
  <c r="E52" i="10"/>
  <c r="I13" i="10"/>
  <c r="C4" i="10"/>
  <c r="E37" i="10"/>
  <c r="E54" i="10"/>
  <c r="C14" i="10"/>
  <c r="C19" i="10"/>
  <c r="E47" i="10"/>
  <c r="C17" i="10"/>
  <c r="T18" i="6"/>
  <c r="T19" i="6"/>
  <c r="E32" i="10"/>
  <c r="E43" i="10"/>
  <c r="C20" i="10"/>
  <c r="I4" i="10"/>
  <c r="C13" i="10"/>
  <c r="E35" i="10"/>
  <c r="E46" i="10"/>
  <c r="E38" i="10"/>
  <c r="E50" i="10"/>
  <c r="E39" i="10"/>
  <c r="E40" i="10"/>
  <c r="C6" i="10"/>
  <c r="C16" i="10"/>
  <c r="C11" i="10"/>
  <c r="E42" i="10"/>
  <c r="E41" i="10"/>
  <c r="E49" i="10"/>
  <c r="E34" i="10"/>
  <c r="E48" i="10"/>
  <c r="E36" i="10"/>
  <c r="C18" i="10"/>
  <c r="C9" i="10"/>
  <c r="C12" i="10"/>
  <c r="C7" i="10"/>
  <c r="D25" i="9"/>
  <c r="T16" i="6"/>
  <c r="T37" i="6" s="1"/>
  <c r="E53" i="10"/>
  <c r="E51" i="10"/>
  <c r="E33" i="10"/>
  <c r="E45" i="10"/>
  <c r="E44" i="10"/>
  <c r="C3" i="10"/>
  <c r="C10" i="10"/>
  <c r="C5" i="10"/>
  <c r="C8" i="10"/>
  <c r="AE49" i="10"/>
  <c r="I19" i="10"/>
  <c r="AE33" i="10"/>
  <c r="AE53" i="10"/>
  <c r="AE40" i="10"/>
  <c r="I18" i="10"/>
  <c r="AE45" i="10"/>
  <c r="AE39" i="10"/>
  <c r="AE48" i="10"/>
  <c r="AE34" i="10"/>
  <c r="I17" i="10"/>
  <c r="I16" i="10"/>
  <c r="V15" i="6"/>
  <c r="V36" i="6" s="1"/>
  <c r="C9" i="11"/>
  <c r="Q8" i="11" s="1"/>
  <c r="S67" i="10"/>
  <c r="AB52" i="10"/>
  <c r="AB67" i="10" s="1"/>
  <c r="T7" i="6"/>
  <c r="T8" i="6"/>
  <c r="S63" i="10"/>
  <c r="AB40" i="10"/>
  <c r="AB63" i="10" s="1"/>
  <c r="S61" i="10"/>
  <c r="AB35" i="10"/>
  <c r="AB61" i="10" s="1"/>
  <c r="T4" i="6"/>
  <c r="B4" i="11"/>
  <c r="V5" i="6"/>
  <c r="V26" i="6" s="1"/>
  <c r="C5" i="11"/>
  <c r="Q4" i="11" s="1"/>
  <c r="AB43" i="10"/>
  <c r="AB64" i="10" s="1"/>
  <c r="S64" i="10"/>
  <c r="V13" i="6"/>
  <c r="V34" i="6" s="1"/>
  <c r="C7" i="11"/>
  <c r="Q6" i="11" s="1"/>
  <c r="T14" i="6"/>
  <c r="B8" i="11"/>
  <c r="P7" i="11" s="1"/>
  <c r="AB49" i="10"/>
  <c r="AB66" i="10" s="1"/>
  <c r="S66" i="10"/>
  <c r="V10" i="6"/>
  <c r="X10" i="6" s="1"/>
  <c r="Z10" i="6" s="1"/>
  <c r="Z31" i="6" s="1"/>
  <c r="F22" i="10"/>
  <c r="K4" i="6"/>
  <c r="E4" i="11"/>
  <c r="T5" i="6"/>
  <c r="B5" i="11"/>
  <c r="P4" i="11" s="1"/>
  <c r="T10" i="6"/>
  <c r="T11" i="6"/>
  <c r="V14" i="6"/>
  <c r="W14" i="6" s="1"/>
  <c r="W35" i="6" s="1"/>
  <c r="C8" i="11"/>
  <c r="Q7" i="11" s="1"/>
  <c r="T20" i="6"/>
  <c r="S62" i="10"/>
  <c r="AB38" i="10"/>
  <c r="AB62" i="10" s="1"/>
  <c r="S65" i="10"/>
  <c r="AB46" i="10"/>
  <c r="AB65" i="10" s="1"/>
  <c r="D23" i="9"/>
  <c r="B25" i="9"/>
  <c r="B23" i="9"/>
  <c r="T6" i="6"/>
  <c r="T27" i="6" s="1"/>
  <c r="T9" i="6"/>
  <c r="T13" i="6"/>
  <c r="T21" i="6"/>
  <c r="T42" i="6" s="1"/>
  <c r="V16" i="6"/>
  <c r="W16" i="6" s="1"/>
  <c r="W37" i="6" s="1"/>
  <c r="T12" i="6"/>
  <c r="T15" i="6"/>
  <c r="T17" i="6"/>
  <c r="U13" i="6"/>
  <c r="U21" i="6"/>
  <c r="V28" i="6"/>
  <c r="V19" i="6"/>
  <c r="X19" i="6" s="1"/>
  <c r="X40" i="6" s="1"/>
  <c r="U15" i="6"/>
  <c r="V6" i="6"/>
  <c r="X6" i="6" s="1"/>
  <c r="Z6" i="6" s="1"/>
  <c r="AB6" i="6" s="1"/>
  <c r="AB27" i="6" s="1"/>
  <c r="V9" i="6"/>
  <c r="V30" i="6" s="1"/>
  <c r="V4" i="6"/>
  <c r="W4" i="6" s="1"/>
  <c r="U5" i="6"/>
  <c r="U8" i="6"/>
  <c r="AF31" i="6"/>
  <c r="W20" i="6"/>
  <c r="Y20" i="6" s="1"/>
  <c r="Y41" i="6" s="1"/>
  <c r="U16" i="6"/>
  <c r="U6" i="6"/>
  <c r="U7" i="6"/>
  <c r="X8" i="6"/>
  <c r="X29" i="6" s="1"/>
  <c r="U11" i="6"/>
  <c r="X17" i="6"/>
  <c r="Z17" i="6" s="1"/>
  <c r="Z38" i="6" s="1"/>
  <c r="AF39" i="6"/>
  <c r="U19" i="6"/>
  <c r="AF7" i="6"/>
  <c r="AF28" i="6" s="1"/>
  <c r="U9" i="6"/>
  <c r="U14" i="6"/>
  <c r="AF41" i="6"/>
  <c r="U4" i="6"/>
  <c r="AF9" i="6"/>
  <c r="AF30" i="6" s="1"/>
  <c r="X12" i="6"/>
  <c r="Z12" i="6" s="1"/>
  <c r="Z33" i="6" s="1"/>
  <c r="U12" i="6"/>
  <c r="X18" i="6"/>
  <c r="X39" i="6" s="1"/>
  <c r="AB63" i="6"/>
  <c r="AB66" i="6"/>
  <c r="AB57" i="6"/>
  <c r="AB72" i="6"/>
  <c r="AB58" i="6"/>
  <c r="AB60" i="6"/>
  <c r="AB74" i="6"/>
  <c r="AB54" i="6"/>
  <c r="AB56" i="6"/>
  <c r="AB64" i="6"/>
  <c r="AB68" i="6"/>
  <c r="AB70" i="6"/>
  <c r="AB61" i="6"/>
  <c r="AB62" i="6"/>
  <c r="AB65" i="6"/>
  <c r="AF4" i="6"/>
  <c r="AF25" i="6" s="1"/>
  <c r="X5" i="6"/>
  <c r="X26" i="6" s="1"/>
  <c r="AF5" i="6"/>
  <c r="AF26" i="6" s="1"/>
  <c r="AF6" i="6"/>
  <c r="AF27" i="6" s="1"/>
  <c r="X20" i="6"/>
  <c r="Z20" i="6" s="1"/>
  <c r="Z41" i="6" s="1"/>
  <c r="U18" i="6"/>
  <c r="U10" i="6"/>
  <c r="W8" i="6"/>
  <c r="W29" i="6" s="1"/>
  <c r="AF21" i="6"/>
  <c r="AF42" i="6" s="1"/>
  <c r="U17" i="6"/>
  <c r="AF8" i="6"/>
  <c r="AF29" i="6" s="1"/>
  <c r="X11" i="6"/>
  <c r="Z11" i="6" s="1"/>
  <c r="Z32" i="6" s="1"/>
  <c r="AF16" i="6"/>
  <c r="AF37" i="6" s="1"/>
  <c r="U20" i="6"/>
  <c r="Z57" i="6"/>
  <c r="Z65" i="6"/>
  <c r="Z61" i="6"/>
  <c r="Z56" i="6"/>
  <c r="Z64" i="6"/>
  <c r="Z68" i="6"/>
  <c r="Z59" i="6"/>
  <c r="Z71" i="6"/>
  <c r="Z54" i="6"/>
  <c r="Z62" i="6"/>
  <c r="W5" i="6"/>
  <c r="Y5" i="6" s="1"/>
  <c r="Y26" i="6" s="1"/>
  <c r="X7" i="6"/>
  <c r="W7" i="6"/>
  <c r="K5" i="6"/>
  <c r="W11" i="6"/>
  <c r="Y11" i="6" s="1"/>
  <c r="Y32" i="6" s="1"/>
  <c r="W12" i="6"/>
  <c r="Y12" i="6" s="1"/>
  <c r="Y33" i="6" s="1"/>
  <c r="X13" i="6"/>
  <c r="X34" i="6" s="1"/>
  <c r="K17" i="6"/>
  <c r="I18" i="6"/>
  <c r="V32" i="6"/>
  <c r="W13" i="6"/>
  <c r="Y13" i="6" s="1"/>
  <c r="Y34" i="6" s="1"/>
  <c r="K9" i="6"/>
  <c r="K11" i="6"/>
  <c r="K12" i="6"/>
  <c r="V38" i="6"/>
  <c r="W17" i="6"/>
  <c r="V42" i="6"/>
  <c r="X21" i="6"/>
  <c r="X42" i="6" s="1"/>
  <c r="W21" i="6"/>
  <c r="Y21" i="6" s="1"/>
  <c r="Y42" i="6" s="1"/>
  <c r="AF12" i="6"/>
  <c r="AF33" i="6" s="1"/>
  <c r="AF13" i="6"/>
  <c r="AF34" i="6" s="1"/>
  <c r="AF14" i="6"/>
  <c r="AF35" i="6" s="1"/>
  <c r="AF15" i="6"/>
  <c r="AF36" i="6" s="1"/>
  <c r="W18" i="6"/>
  <c r="K21" i="6"/>
  <c r="K6" i="6"/>
  <c r="K13" i="6"/>
  <c r="K14" i="6"/>
  <c r="K15" i="6"/>
  <c r="K16" i="6"/>
  <c r="V29" i="6"/>
  <c r="AF32" i="6"/>
  <c r="V33" i="6"/>
  <c r="AF38" i="6"/>
  <c r="V39" i="6"/>
  <c r="AF40" i="6"/>
  <c r="V41" i="6"/>
  <c r="F49" i="10" l="1"/>
  <c r="D30" i="9"/>
  <c r="T31" i="6"/>
  <c r="U40" i="6"/>
  <c r="U42" i="6"/>
  <c r="D28" i="9"/>
  <c r="D45" i="9"/>
  <c r="D44" i="9"/>
  <c r="D34" i="9"/>
  <c r="D36" i="9"/>
  <c r="D32" i="9"/>
  <c r="D43" i="9"/>
  <c r="D41" i="9"/>
  <c r="D31" i="9"/>
  <c r="D40" i="9"/>
  <c r="D33" i="9"/>
  <c r="D42" i="9"/>
  <c r="D35" i="9"/>
  <c r="D29" i="9"/>
  <c r="U35" i="6"/>
  <c r="U28" i="6"/>
  <c r="U34" i="6"/>
  <c r="T41" i="6"/>
  <c r="U38" i="6"/>
  <c r="U27" i="6"/>
  <c r="T29" i="6"/>
  <c r="D39" i="9"/>
  <c r="U32" i="6"/>
  <c r="U37" i="6"/>
  <c r="U36" i="6"/>
  <c r="D37" i="9"/>
  <c r="D38" i="9"/>
  <c r="F46" i="10"/>
  <c r="F52" i="10"/>
  <c r="AF38" i="10"/>
  <c r="AF40" i="10"/>
  <c r="AF49" i="10"/>
  <c r="AF35" i="10"/>
  <c r="AF46" i="10"/>
  <c r="AF43" i="10"/>
  <c r="AF52" i="10"/>
  <c r="T25" i="6"/>
  <c r="V31" i="6"/>
  <c r="W10" i="6"/>
  <c r="Y10" i="6" s="1"/>
  <c r="F43" i="10"/>
  <c r="R13" i="9" a="1"/>
  <c r="R13" i="9" s="1"/>
  <c r="V35" i="6"/>
  <c r="T39" i="6"/>
  <c r="I24" i="10"/>
  <c r="AG49" i="10" s="1"/>
  <c r="X14" i="6"/>
  <c r="T26" i="6"/>
  <c r="R3" i="9" a="1"/>
  <c r="R3" i="9" s="1"/>
  <c r="W15" i="6"/>
  <c r="F32" i="10"/>
  <c r="C24" i="10"/>
  <c r="R17" i="9" a="1"/>
  <c r="R17" i="9" s="1"/>
  <c r="W19" i="6"/>
  <c r="R4" i="9" a="1"/>
  <c r="R4" i="9" s="1"/>
  <c r="V40" i="6"/>
  <c r="R9" i="9" a="1"/>
  <c r="R9" i="9" s="1"/>
  <c r="F35" i="10"/>
  <c r="F40" i="10"/>
  <c r="R18" i="9" a="1"/>
  <c r="R18" i="9" s="1"/>
  <c r="X4" i="6"/>
  <c r="Z4" i="6" s="1"/>
  <c r="Z25" i="6" s="1"/>
  <c r="R8" i="9" a="1"/>
  <c r="R8" i="9" s="1"/>
  <c r="R12" i="9" a="1"/>
  <c r="R12" i="9" s="1"/>
  <c r="R16" i="9" a="1"/>
  <c r="R16" i="9" s="1"/>
  <c r="R20" i="9" a="1"/>
  <c r="R20" i="9" s="1"/>
  <c r="Y16" i="6"/>
  <c r="Y37" i="6" s="1"/>
  <c r="X16" i="6"/>
  <c r="R7" i="9" a="1"/>
  <c r="R7" i="9" s="1"/>
  <c r="R11" i="9" a="1"/>
  <c r="R11" i="9" s="1"/>
  <c r="R15" i="9" a="1"/>
  <c r="R15" i="9" s="1"/>
  <c r="R19" i="9" a="1"/>
  <c r="R19" i="9" s="1"/>
  <c r="X15" i="6"/>
  <c r="X36" i="6" s="1"/>
  <c r="R5" i="9" a="1"/>
  <c r="R5" i="9" s="1"/>
  <c r="R6" i="9" a="1"/>
  <c r="R6" i="9" s="1"/>
  <c r="R10" i="9" a="1"/>
  <c r="R10" i="9" s="1"/>
  <c r="R14" i="9" a="1"/>
  <c r="R14" i="9" s="1"/>
  <c r="F38" i="10"/>
  <c r="AF32" i="10"/>
  <c r="AG32" i="10" s="1"/>
  <c r="G3" i="10"/>
  <c r="G15" i="10"/>
  <c r="G20" i="10"/>
  <c r="G7" i="10"/>
  <c r="G19" i="10"/>
  <c r="V45" i="10"/>
  <c r="V38" i="10"/>
  <c r="G11" i="10"/>
  <c r="G18" i="10"/>
  <c r="V51" i="10"/>
  <c r="G6" i="10"/>
  <c r="G5" i="10"/>
  <c r="G8" i="10"/>
  <c r="V34" i="10"/>
  <c r="V35" i="10"/>
  <c r="G4" i="10"/>
  <c r="V33" i="10"/>
  <c r="V46" i="10"/>
  <c r="G17" i="10"/>
  <c r="G9" i="10"/>
  <c r="V52" i="10"/>
  <c r="G16" i="10"/>
  <c r="G10" i="10"/>
  <c r="V50" i="10"/>
  <c r="V47" i="10"/>
  <c r="V44" i="10"/>
  <c r="V49" i="10"/>
  <c r="V37" i="10"/>
  <c r="G12" i="10"/>
  <c r="V54" i="10"/>
  <c r="V32" i="10"/>
  <c r="V39" i="10"/>
  <c r="V40" i="10"/>
  <c r="V36" i="10"/>
  <c r="G14" i="10"/>
  <c r="V48" i="10"/>
  <c r="V37" i="6"/>
  <c r="W31" i="6"/>
  <c r="G13" i="10"/>
  <c r="V42" i="10"/>
  <c r="V43" i="10"/>
  <c r="V53" i="10"/>
  <c r="V41" i="10"/>
  <c r="B38" i="9"/>
  <c r="B37" i="9"/>
  <c r="Z18" i="6"/>
  <c r="AB18" i="6" s="1"/>
  <c r="AB39" i="6" s="1"/>
  <c r="B45" i="9"/>
  <c r="U25" i="6"/>
  <c r="B40" i="9"/>
  <c r="B29" i="9"/>
  <c r="B35" i="9"/>
  <c r="B33" i="9"/>
  <c r="B41" i="9"/>
  <c r="B34" i="9"/>
  <c r="B39" i="9"/>
  <c r="B31" i="9"/>
  <c r="B42" i="9"/>
  <c r="B32" i="9"/>
  <c r="T30" i="6"/>
  <c r="B28" i="9"/>
  <c r="B30" i="9"/>
  <c r="B44" i="9"/>
  <c r="B43" i="9"/>
  <c r="B36" i="9"/>
  <c r="T33" i="6"/>
  <c r="U30" i="6"/>
  <c r="U26" i="6"/>
  <c r="U29" i="6"/>
  <c r="V27" i="6"/>
  <c r="U31" i="6"/>
  <c r="U41" i="6"/>
  <c r="U39" i="6"/>
  <c r="U33" i="6"/>
  <c r="X9" i="6"/>
  <c r="X30" i="6" s="1"/>
  <c r="W6" i="6"/>
  <c r="Y6" i="6" s="1"/>
  <c r="Y27" i="6" s="1"/>
  <c r="W9" i="6"/>
  <c r="Y9" i="6" s="1"/>
  <c r="Y30" i="6" s="1"/>
  <c r="X31" i="6"/>
  <c r="X38" i="6"/>
  <c r="V25" i="6"/>
  <c r="Y14" i="6"/>
  <c r="Y35" i="6" s="1"/>
  <c r="W41" i="6"/>
  <c r="Z8" i="6"/>
  <c r="AB8" i="6" s="1"/>
  <c r="AB29" i="6" s="1"/>
  <c r="X32" i="6"/>
  <c r="Y8" i="6"/>
  <c r="Y29" i="6" s="1"/>
  <c r="Z5" i="6"/>
  <c r="Z26" i="6" s="1"/>
  <c r="AA20" i="6"/>
  <c r="AA41" i="6" s="1"/>
  <c r="AB20" i="6"/>
  <c r="AB41" i="6" s="1"/>
  <c r="X33" i="6"/>
  <c r="X41" i="6"/>
  <c r="AB12" i="6"/>
  <c r="AB33" i="6" s="1"/>
  <c r="X27" i="6"/>
  <c r="T38" i="6"/>
  <c r="T28" i="6"/>
  <c r="T32" i="6"/>
  <c r="AF43" i="6"/>
  <c r="W36" i="6"/>
  <c r="Y31" i="6"/>
  <c r="Z7" i="6"/>
  <c r="Z28" i="6" s="1"/>
  <c r="Z27" i="6"/>
  <c r="Z19" i="6"/>
  <c r="Z40" i="6" s="1"/>
  <c r="W40" i="6"/>
  <c r="Y19" i="6"/>
  <c r="Y40" i="6" s="1"/>
  <c r="T36" i="6"/>
  <c r="T34" i="6"/>
  <c r="AB10" i="6"/>
  <c r="AB31" i="6" s="1"/>
  <c r="W38" i="6"/>
  <c r="AB11" i="6"/>
  <c r="AB32" i="6" s="1"/>
  <c r="Z13" i="6"/>
  <c r="Z34" i="6" s="1"/>
  <c r="W26" i="6"/>
  <c r="AA5" i="6"/>
  <c r="AA26" i="6" s="1"/>
  <c r="Z21" i="6"/>
  <c r="Z42" i="6" s="1"/>
  <c r="Y15" i="6"/>
  <c r="Y36" i="6" s="1"/>
  <c r="X35" i="6"/>
  <c r="Z14" i="6"/>
  <c r="X28" i="6"/>
  <c r="T40" i="6"/>
  <c r="AB17" i="6"/>
  <c r="AB38" i="6" s="1"/>
  <c r="X37" i="6"/>
  <c r="Z16" i="6"/>
  <c r="Z37" i="6" s="1"/>
  <c r="W33" i="6"/>
  <c r="AA12" i="6"/>
  <c r="AA33" i="6" s="1"/>
  <c r="AA16" i="6"/>
  <c r="AA37" i="6" s="1"/>
  <c r="Y17" i="6"/>
  <c r="AA17" i="6" s="1"/>
  <c r="AA38" i="6" s="1"/>
  <c r="W39" i="6"/>
  <c r="Y18" i="6"/>
  <c r="T35" i="6"/>
  <c r="AA21" i="6"/>
  <c r="AA42" i="6" s="1"/>
  <c r="W42" i="6"/>
  <c r="AA13" i="6"/>
  <c r="AA34" i="6" s="1"/>
  <c r="W34" i="6"/>
  <c r="W32" i="6"/>
  <c r="AA11" i="6"/>
  <c r="AA32" i="6" s="1"/>
  <c r="AA10" i="6"/>
  <c r="AA31" i="6" s="1"/>
  <c r="W25" i="6"/>
  <c r="Y4" i="6"/>
  <c r="AA4" i="6" s="1"/>
  <c r="AA25" i="6" s="1"/>
  <c r="W28" i="6"/>
  <c r="Y7" i="6"/>
  <c r="Z15" i="6" l="1"/>
  <c r="Z36" i="6" s="1"/>
  <c r="AC10" i="6"/>
  <c r="AD10" i="6" s="1"/>
  <c r="AE10" i="6" s="1"/>
  <c r="AC12" i="6"/>
  <c r="AC20" i="6"/>
  <c r="AC41" i="6" s="1"/>
  <c r="AC11" i="6"/>
  <c r="O3" i="9"/>
  <c r="AC17" i="6"/>
  <c r="G46" i="10"/>
  <c r="G52" i="10"/>
  <c r="AG52" i="10"/>
  <c r="AG35" i="10"/>
  <c r="AG43" i="10"/>
  <c r="AG38" i="10"/>
  <c r="AG46" i="10"/>
  <c r="AG40" i="10"/>
  <c r="G43" i="10"/>
  <c r="G32" i="10"/>
  <c r="G40" i="10"/>
  <c r="G49" i="10"/>
  <c r="G38" i="10"/>
  <c r="G35" i="10"/>
  <c r="AB4" i="6"/>
  <c r="AB25" i="6" s="1"/>
  <c r="X25" i="6"/>
  <c r="X43" i="6" s="1"/>
  <c r="W49" i="10"/>
  <c r="W52" i="10"/>
  <c r="Q14" i="9"/>
  <c r="Q15" i="9"/>
  <c r="W40" i="10"/>
  <c r="W32" i="10"/>
  <c r="Q5" i="9"/>
  <c r="Q18" i="9"/>
  <c r="Q4" i="9"/>
  <c r="Q7" i="9"/>
  <c r="Q19" i="9"/>
  <c r="V43" i="6"/>
  <c r="Q10" i="9"/>
  <c r="Q6" i="9"/>
  <c r="Q20" i="9"/>
  <c r="Q11" i="9"/>
  <c r="Q13" i="9"/>
  <c r="Q3" i="9"/>
  <c r="W35" i="10"/>
  <c r="W38" i="10"/>
  <c r="G24" i="10"/>
  <c r="Q12" i="9"/>
  <c r="W43" i="10"/>
  <c r="Q8" i="9"/>
  <c r="Q16" i="9"/>
  <c r="Q17" i="9"/>
  <c r="Q9" i="9"/>
  <c r="W46" i="10"/>
  <c r="O14" i="9"/>
  <c r="O5" i="9"/>
  <c r="O11" i="9"/>
  <c r="O7" i="9"/>
  <c r="O9" i="9"/>
  <c r="O4" i="9"/>
  <c r="O10" i="9"/>
  <c r="O18" i="9"/>
  <c r="O17" i="9"/>
  <c r="O16" i="9"/>
  <c r="O15" i="9"/>
  <c r="O12" i="9"/>
  <c r="O20" i="9"/>
  <c r="O19" i="9"/>
  <c r="O6" i="9"/>
  <c r="O8" i="9"/>
  <c r="O13" i="9"/>
  <c r="AA9" i="6"/>
  <c r="AA30" i="6" s="1"/>
  <c r="Z39" i="6"/>
  <c r="AA6" i="6"/>
  <c r="AA27" i="6" s="1"/>
  <c r="Z9" i="6"/>
  <c r="Z30" i="6" s="1"/>
  <c r="W27" i="6"/>
  <c r="AA14" i="6"/>
  <c r="AA35" i="6" s="1"/>
  <c r="W30" i="6"/>
  <c r="AB5" i="6"/>
  <c r="AB26" i="6" s="1"/>
  <c r="AA8" i="6"/>
  <c r="AA29" i="6" s="1"/>
  <c r="Z29" i="6"/>
  <c r="AB13" i="6"/>
  <c r="AB34" i="6" s="1"/>
  <c r="AB16" i="6"/>
  <c r="AB37" i="6" s="1"/>
  <c r="AC33" i="6"/>
  <c r="AB7" i="6"/>
  <c r="AB28" i="6" s="1"/>
  <c r="T43" i="6"/>
  <c r="Y39" i="6"/>
  <c r="AB15" i="6"/>
  <c r="AB36" i="6" s="1"/>
  <c r="AA18" i="6"/>
  <c r="AA39" i="6" s="1"/>
  <c r="Z35" i="6"/>
  <c r="AA15" i="6"/>
  <c r="AA36" i="6" s="1"/>
  <c r="Y38" i="6"/>
  <c r="AB14" i="6"/>
  <c r="AB35" i="6" s="1"/>
  <c r="AB19" i="6"/>
  <c r="AB40" i="6" s="1"/>
  <c r="Y28" i="6"/>
  <c r="AA7" i="6"/>
  <c r="AA28" i="6" s="1"/>
  <c r="Y25" i="6"/>
  <c r="AB21" i="6"/>
  <c r="AB42" i="6" s="1"/>
  <c r="AA19" i="6"/>
  <c r="AC4" i="6" l="1"/>
  <c r="AD4" i="6" s="1"/>
  <c r="AC14" i="6"/>
  <c r="AD14" i="6" s="1"/>
  <c r="AD11" i="6"/>
  <c r="AE11" i="6" s="1"/>
  <c r="AC19" i="6"/>
  <c r="X52" i="10"/>
  <c r="AC21" i="6"/>
  <c r="AD12" i="6"/>
  <c r="AE12" i="6" s="1"/>
  <c r="AC15" i="6"/>
  <c r="AC8" i="6"/>
  <c r="AC16" i="6"/>
  <c r="AC5" i="6"/>
  <c r="AC6" i="6"/>
  <c r="AC7" i="6"/>
  <c r="AD17" i="6"/>
  <c r="AE17" i="6" s="1"/>
  <c r="AC13" i="6"/>
  <c r="AD20" i="6"/>
  <c r="AE20" i="6" s="1"/>
  <c r="AC18" i="6"/>
  <c r="AG55" i="10"/>
  <c r="G55" i="10"/>
  <c r="H38" i="10" s="1"/>
  <c r="B62" i="10" s="1"/>
  <c r="AB9" i="6"/>
  <c r="AB30" i="6" s="1"/>
  <c r="AB43" i="6" s="1"/>
  <c r="X46" i="10"/>
  <c r="X38" i="10"/>
  <c r="X40" i="10"/>
  <c r="X32" i="10"/>
  <c r="X43" i="10"/>
  <c r="X35" i="10"/>
  <c r="X49" i="10"/>
  <c r="W43" i="6"/>
  <c r="AD33" i="6"/>
  <c r="Z43" i="6"/>
  <c r="Y43" i="6"/>
  <c r="U43" i="6"/>
  <c r="AA40" i="6"/>
  <c r="AA43" i="6" s="1"/>
  <c r="AC26" i="6"/>
  <c r="AC32" i="6"/>
  <c r="AD32" i="6"/>
  <c r="AC31" i="6"/>
  <c r="AD31" i="6"/>
  <c r="AC38" i="6"/>
  <c r="AD38" i="6"/>
  <c r="AH35" i="10" l="1"/>
  <c r="AC61" i="10" s="1"/>
  <c r="AC25" i="6"/>
  <c r="AE4" i="6"/>
  <c r="AE25" i="6" s="1"/>
  <c r="AD25" i="6"/>
  <c r="AE14" i="6"/>
  <c r="AD41" i="6"/>
  <c r="AC9" i="6"/>
  <c r="AC30" i="6" s="1"/>
  <c r="AD13" i="6"/>
  <c r="AD34" i="6" s="1"/>
  <c r="AD6" i="6"/>
  <c r="AE6" i="6" s="1"/>
  <c r="AD8" i="6"/>
  <c r="AE8" i="6" s="1"/>
  <c r="AD21" i="6"/>
  <c r="AE21" i="6" s="1"/>
  <c r="AD19" i="6"/>
  <c r="AE19" i="6" s="1"/>
  <c r="AC29" i="6"/>
  <c r="AD18" i="6"/>
  <c r="AE18" i="6" s="1"/>
  <c r="AD5" i="6"/>
  <c r="AD26" i="6" s="1"/>
  <c r="AD15" i="6"/>
  <c r="AE15" i="6" s="1"/>
  <c r="AD9" i="6"/>
  <c r="AE9" i="6" s="1"/>
  <c r="AC34" i="6"/>
  <c r="AC42" i="6"/>
  <c r="AC27" i="6"/>
  <c r="AD7" i="6"/>
  <c r="AE7" i="6" s="1"/>
  <c r="AD16" i="6"/>
  <c r="AD37" i="6" s="1"/>
  <c r="H32" i="10"/>
  <c r="B60" i="10" s="1"/>
  <c r="H43" i="10"/>
  <c r="B64" i="10" s="1"/>
  <c r="H46" i="10"/>
  <c r="B65" i="10" s="1"/>
  <c r="H40" i="10"/>
  <c r="B63" i="10" s="1"/>
  <c r="H35" i="10"/>
  <c r="B61" i="10" s="1"/>
  <c r="H49" i="10"/>
  <c r="B66" i="10" s="1"/>
  <c r="H52" i="10"/>
  <c r="B67" i="10" s="1"/>
  <c r="AH49" i="10"/>
  <c r="AC66" i="10" s="1"/>
  <c r="AH32" i="10"/>
  <c r="AC60" i="10" s="1"/>
  <c r="AH43" i="10"/>
  <c r="AC64" i="10" s="1"/>
  <c r="AH46" i="10"/>
  <c r="AC65" i="10" s="1"/>
  <c r="AH52" i="10"/>
  <c r="AC67" i="10" s="1"/>
  <c r="AH40" i="10"/>
  <c r="AC63" i="10" s="1"/>
  <c r="AH38" i="10"/>
  <c r="AC62" i="10" s="1"/>
  <c r="X55" i="10"/>
  <c r="Y52" i="10" s="1"/>
  <c r="T67" i="10" s="1"/>
  <c r="AE33" i="6"/>
  <c r="AC37" i="6"/>
  <c r="AE41" i="6"/>
  <c r="AE38" i="6"/>
  <c r="AE31" i="6"/>
  <c r="AC35" i="6"/>
  <c r="AD35" i="6"/>
  <c r="AC28" i="6"/>
  <c r="AC40" i="6"/>
  <c r="AC36" i="6"/>
  <c r="AD36" i="6"/>
  <c r="AE32" i="6"/>
  <c r="AC39" i="6"/>
  <c r="AP55" i="10" l="1"/>
  <c r="AD28" i="6"/>
  <c r="AD40" i="6"/>
  <c r="AD27" i="6"/>
  <c r="AD39" i="6"/>
  <c r="AD29" i="6"/>
  <c r="AD30" i="6"/>
  <c r="AD42" i="6"/>
  <c r="AE16" i="6"/>
  <c r="AE37" i="6" s="1"/>
  <c r="AE5" i="6"/>
  <c r="AE26" i="6" s="1"/>
  <c r="Y35" i="10"/>
  <c r="T61" i="10" s="1"/>
  <c r="AE13" i="6"/>
  <c r="AE34" i="6" s="1"/>
  <c r="H55" i="10"/>
  <c r="B68" i="10" s="1"/>
  <c r="AH55" i="10"/>
  <c r="Y43" i="10"/>
  <c r="T64" i="10" s="1"/>
  <c r="Y46" i="10"/>
  <c r="T65" i="10" s="1"/>
  <c r="Y40" i="10"/>
  <c r="T63" i="10" s="1"/>
  <c r="Y49" i="10"/>
  <c r="T66" i="10" s="1"/>
  <c r="AE42" i="6"/>
  <c r="AE27" i="6"/>
  <c r="Y38" i="10"/>
  <c r="T62" i="10" s="1"/>
  <c r="AE30" i="6"/>
  <c r="Y32" i="10"/>
  <c r="AE29" i="6"/>
  <c r="AE40" i="6"/>
  <c r="AC43" i="6"/>
  <c r="AE39" i="6"/>
  <c r="AE36" i="6"/>
  <c r="AE28" i="6"/>
  <c r="AE35" i="6"/>
  <c r="AD43" i="6" l="1"/>
  <c r="T60" i="10"/>
  <c r="Y55" i="10"/>
  <c r="AE43" i="6"/>
  <c r="AL25" i="6" l="1"/>
  <c r="Z69" i="6"/>
  <c r="Z52" i="6"/>
  <c r="Z66" i="6"/>
  <c r="Z55" i="6"/>
  <c r="Z58" i="6"/>
  <c r="Z72" i="6"/>
  <c r="I4" i="11"/>
  <c r="Z63" i="6"/>
  <c r="Z60" i="6"/>
  <c r="Y72" i="6" l="1"/>
  <c r="L52" i="10" s="1"/>
  <c r="AL43" i="6"/>
  <c r="Y63" i="6"/>
  <c r="L43" i="10" s="1"/>
  <c r="C3" i="9"/>
  <c r="C25" i="9" s="1"/>
  <c r="Y55" i="6"/>
  <c r="L35" i="10" s="1"/>
  <c r="D3" i="10"/>
  <c r="Y66" i="6"/>
  <c r="L46" i="10" s="1"/>
  <c r="Y69" i="6"/>
  <c r="L49" i="10" s="1"/>
  <c r="Y60" i="6"/>
  <c r="L40" i="10" s="1"/>
  <c r="Y52" i="6"/>
  <c r="L32" i="10" s="1"/>
  <c r="Y58" i="6"/>
  <c r="L38" i="10" s="1"/>
  <c r="C23" i="9" l="1"/>
  <c r="C28" i="9" s="1"/>
  <c r="D22" i="10"/>
  <c r="E3" i="10" s="1"/>
  <c r="C34" i="9" l="1"/>
  <c r="C41" i="9"/>
  <c r="C40" i="9"/>
  <c r="C39" i="9"/>
  <c r="M46" i="10"/>
  <c r="C36" i="9"/>
  <c r="C45" i="9"/>
  <c r="C31" i="9"/>
  <c r="C42" i="9"/>
  <c r="M38" i="10"/>
  <c r="C33" i="9"/>
  <c r="C35" i="9"/>
  <c r="C37" i="9"/>
  <c r="C30" i="9"/>
  <c r="C29" i="9"/>
  <c r="C38" i="9"/>
  <c r="C43" i="9"/>
  <c r="C32" i="9"/>
  <c r="C44" i="9"/>
  <c r="M40" i="10"/>
  <c r="M35" i="10"/>
  <c r="M49" i="10"/>
  <c r="M51" i="10"/>
  <c r="E15" i="10"/>
  <c r="E20" i="10"/>
  <c r="M37" i="10"/>
  <c r="M34" i="10"/>
  <c r="E4" i="10"/>
  <c r="M39" i="10"/>
  <c r="E9" i="10"/>
  <c r="E19" i="10"/>
  <c r="M47" i="10"/>
  <c r="M44" i="10"/>
  <c r="M42" i="10"/>
  <c r="E13" i="10"/>
  <c r="E6" i="10"/>
  <c r="M45" i="10"/>
  <c r="E8" i="10"/>
  <c r="M50" i="10"/>
  <c r="E10" i="10"/>
  <c r="E11" i="10"/>
  <c r="M53" i="10"/>
  <c r="M36" i="10"/>
  <c r="E17" i="10"/>
  <c r="E12" i="10"/>
  <c r="E16" i="10"/>
  <c r="E7" i="10"/>
  <c r="M33" i="10"/>
  <c r="M54" i="10"/>
  <c r="M48" i="10"/>
  <c r="E5" i="10"/>
  <c r="M41" i="10"/>
  <c r="E14" i="10"/>
  <c r="E18" i="10"/>
  <c r="M43" i="10"/>
  <c r="M52" i="10"/>
  <c r="M32" i="10"/>
  <c r="P4" i="9" l="1"/>
  <c r="P10" i="9"/>
  <c r="N32" i="10"/>
  <c r="P3" i="9"/>
  <c r="P9" i="9"/>
  <c r="P13" i="9"/>
  <c r="P5" i="9"/>
  <c r="N38" i="10"/>
  <c r="P16" i="9"/>
  <c r="P17" i="9"/>
  <c r="P19" i="9"/>
  <c r="N52" i="10"/>
  <c r="N40" i="10"/>
  <c r="N46" i="10"/>
  <c r="P14" i="9"/>
  <c r="P7" i="9"/>
  <c r="P15" i="9"/>
  <c r="P18" i="9"/>
  <c r="P6" i="9"/>
  <c r="P8" i="9"/>
  <c r="N43" i="10"/>
  <c r="P11" i="9"/>
  <c r="P12" i="9"/>
  <c r="P20" i="9"/>
  <c r="E24" i="10"/>
  <c r="O40" i="10" s="1"/>
  <c r="N49" i="10"/>
  <c r="N35" i="10"/>
  <c r="O52" i="10" l="1"/>
  <c r="O38" i="10"/>
  <c r="O35" i="10"/>
  <c r="O43" i="10"/>
  <c r="O49" i="10"/>
  <c r="O46" i="10"/>
  <c r="O32" i="10"/>
  <c r="U17" i="9" l="1"/>
  <c r="U20" i="9"/>
  <c r="W16" i="9"/>
  <c r="U13" i="9"/>
  <c r="U7" i="9"/>
  <c r="W18" i="9"/>
  <c r="U12" i="9"/>
  <c r="U11" i="9"/>
  <c r="O55" i="10"/>
  <c r="P52" i="10" s="1"/>
  <c r="K67" i="10" s="1"/>
  <c r="U15" i="9"/>
  <c r="U4" i="9"/>
  <c r="U16" i="9"/>
  <c r="U3" i="9"/>
  <c r="U10" i="9"/>
  <c r="U6" i="9"/>
  <c r="U14" i="9"/>
  <c r="U9" i="9"/>
  <c r="W17" i="9"/>
  <c r="U5" i="9"/>
  <c r="W15" i="9"/>
  <c r="U19" i="9"/>
  <c r="U8" i="9"/>
  <c r="U18" i="9"/>
  <c r="W19" i="9"/>
  <c r="W11" i="9"/>
  <c r="W10" i="9"/>
  <c r="W3" i="9"/>
  <c r="W5" i="9"/>
  <c r="W9" i="9"/>
  <c r="W6" i="9"/>
  <c r="W7" i="9"/>
  <c r="W12" i="9"/>
  <c r="W13" i="9"/>
  <c r="W4" i="9"/>
  <c r="W8" i="9"/>
  <c r="W20" i="9"/>
  <c r="W14" i="9"/>
  <c r="P40" i="10" l="1"/>
  <c r="K63" i="10" s="1"/>
  <c r="P49" i="10"/>
  <c r="K66" i="10" s="1"/>
  <c r="P32" i="10"/>
  <c r="K60" i="10" s="1"/>
  <c r="P43" i="10"/>
  <c r="K64" i="10" s="1"/>
  <c r="P46" i="10"/>
  <c r="K65" i="10" s="1"/>
  <c r="P35" i="10"/>
  <c r="K61" i="10" s="1"/>
  <c r="P38" i="10"/>
  <c r="K62" i="10" s="1"/>
  <c r="P55" i="1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<sst xmlns="http://schemas.openxmlformats.org/spreadsheetml/2006/main" count="1202" uniqueCount="212">
  <si>
    <t>Parameters</t>
  </si>
  <si>
    <t>Water/Solids</t>
  </si>
  <si>
    <t>Silicate/Hydroxide</t>
  </si>
  <si>
    <t>Molarity</t>
  </si>
  <si>
    <t>Precursor</t>
  </si>
  <si>
    <t>Total Activator solution</t>
  </si>
  <si>
    <t>Hydroxide solution</t>
  </si>
  <si>
    <t>Silicate Solution</t>
  </si>
  <si>
    <t>Hydroxide powder weight</t>
  </si>
  <si>
    <t>Silicate powder weight</t>
  </si>
  <si>
    <t>Coarse Aggregates weight</t>
  </si>
  <si>
    <t>Fine Aggregates weight</t>
  </si>
  <si>
    <t>Water in NaOH solution</t>
  </si>
  <si>
    <t>Water in Silicate solution</t>
  </si>
  <si>
    <t>extra water</t>
  </si>
  <si>
    <t>Fine Aggregate/Coarse Aggregate</t>
  </si>
  <si>
    <t>Alkali/Precursor</t>
  </si>
  <si>
    <t>Binder sp gvt</t>
  </si>
  <si>
    <t>Silicate solution sp gvt.</t>
  </si>
  <si>
    <t>NaOH solution sp.gvt</t>
  </si>
  <si>
    <t>All in kg/cum</t>
  </si>
  <si>
    <t>As per water/binder wt ratio</t>
  </si>
  <si>
    <t>Superplasticizer</t>
  </si>
  <si>
    <t>Superplasticizer/binder wt%</t>
  </si>
  <si>
    <t>Precursor (kg/cum)</t>
  </si>
  <si>
    <t>Fly Ash</t>
  </si>
  <si>
    <t>Mix ID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</si>
  <si>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</si>
  <si>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</si>
  <si>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</si>
  <si>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</si>
  <si>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</si>
  <si>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</si>
  <si>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</si>
  <si>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</si>
  <si>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</si>
  <si>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</si>
  <si>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</si>
  <si>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</si>
  <si>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</si>
  <si>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</si>
  <si>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</si>
  <si>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</si>
  <si>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</si>
  <si>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</si>
  <si>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Precursor type</t>
  </si>
  <si>
    <t>Precursor content</t>
  </si>
  <si>
    <t>Level 1</t>
  </si>
  <si>
    <t>Level 2</t>
  </si>
  <si>
    <t>Level 3</t>
  </si>
  <si>
    <t>S No.</t>
  </si>
  <si>
    <t>NaOH Molarity</t>
  </si>
  <si>
    <t>Fagg/Cagg</t>
  </si>
  <si>
    <t>No. of 100mm cubes=</t>
  </si>
  <si>
    <t>No of 150mm cubes=</t>
  </si>
  <si>
    <t>Factor=</t>
  </si>
  <si>
    <t>Quantities in kg for trials</t>
  </si>
  <si>
    <t>total</t>
  </si>
  <si>
    <t>Sp/B</t>
  </si>
  <si>
    <t>GGBS/Pr</t>
  </si>
  <si>
    <t>Binders behave differently</t>
  </si>
  <si>
    <t>Binder content improves paste floawability</t>
  </si>
  <si>
    <t>improves workability</t>
  </si>
  <si>
    <t xml:space="preserve">unknown </t>
  </si>
  <si>
    <t>reduces workability</t>
  </si>
  <si>
    <t>imporves workability</t>
  </si>
  <si>
    <t>controls segregation</t>
  </si>
  <si>
    <t>GGBS/Precursor</t>
  </si>
  <si>
    <t>GGBS stimulates the reaction due to calcium content</t>
  </si>
  <si>
    <t>NA</t>
  </si>
  <si>
    <t>GGBS conten</t>
  </si>
  <si>
    <t>GGBS</t>
  </si>
  <si>
    <t>Primary Precursor</t>
  </si>
  <si>
    <t>Superplasticizer 2%</t>
  </si>
  <si>
    <t>T500</t>
  </si>
  <si>
    <t>DOC</t>
  </si>
  <si>
    <t>M1-2</t>
  </si>
  <si>
    <t>M2-2</t>
  </si>
  <si>
    <t>Extra mixes</t>
  </si>
  <si>
    <t>Remarks</t>
  </si>
  <si>
    <t>Segregattion/honeycombing</t>
  </si>
  <si>
    <t>doubtful</t>
  </si>
  <si>
    <t>similar to M2-2</t>
  </si>
  <si>
    <t>All good</t>
  </si>
  <si>
    <t>7 day CS</t>
  </si>
  <si>
    <t>28 day CS</t>
  </si>
  <si>
    <t>Didn’t achieve self compactibility</t>
  </si>
  <si>
    <t>SF (mm)</t>
  </si>
  <si>
    <t>mix too liquidy, like glue</t>
  </si>
  <si>
    <t>mix highly liquid and shoed segregation and bleeding</t>
  </si>
  <si>
    <t>All good with bit of honeycombing at corners</t>
  </si>
  <si>
    <t>Mix too fluidy with segregation and bleeding</t>
  </si>
  <si>
    <t>RHA has low sp gvt. Quantity high per unit weight, so higher workability</t>
  </si>
  <si>
    <t>SF</t>
  </si>
  <si>
    <t>Parameter</t>
  </si>
  <si>
    <t>Levels</t>
  </si>
  <si>
    <t>S/N for T500</t>
  </si>
  <si>
    <t>(kg/cum)</t>
  </si>
  <si>
    <t>%age</t>
  </si>
  <si>
    <t>CS</t>
  </si>
  <si>
    <t>RSM values</t>
  </si>
  <si>
    <t>Adj for 30 contour</t>
  </si>
  <si>
    <t>S/N for 7 day CS</t>
  </si>
  <si>
    <t>VF</t>
  </si>
  <si>
    <t>S/N for VF</t>
  </si>
  <si>
    <t>DENGs paper</t>
  </si>
  <si>
    <t xml:space="preserve">https://doi.org/10.3846/tede.2020.11890 </t>
  </si>
  <si>
    <t>Equal weights</t>
  </si>
  <si>
    <t>BWM weights</t>
  </si>
  <si>
    <t>distinguishing coeff =</t>
  </si>
  <si>
    <t>As per equal weights</t>
  </si>
  <si>
    <t>Grey relational grade</t>
  </si>
  <si>
    <t>Rank</t>
  </si>
  <si>
    <t>As per BWM weights</t>
  </si>
  <si>
    <t>S/N ratios</t>
  </si>
  <si>
    <t>Min S/N</t>
  </si>
  <si>
    <t>MaxS/N</t>
  </si>
  <si>
    <t>Normalised S/N</t>
  </si>
  <si>
    <t>Grey relational coefficients</t>
  </si>
  <si>
    <t>Mean S/N for slump flow</t>
  </si>
  <si>
    <t>Mean S/N for T500</t>
  </si>
  <si>
    <t>Mean S/N ratio for 28 day CS</t>
  </si>
  <si>
    <t>Mean S/N for 7 day CS</t>
  </si>
  <si>
    <t>Mean S/N for VF</t>
  </si>
  <si>
    <t>S/N 28 day CS</t>
  </si>
  <si>
    <t>S/N for SF</t>
  </si>
  <si>
    <t>Avg value of SF</t>
  </si>
  <si>
    <t>Avg value of T500</t>
  </si>
  <si>
    <t>Average Value of 28 CS</t>
  </si>
  <si>
    <t>Avg value o 7 CS</t>
  </si>
  <si>
    <t>Avg value of VF</t>
  </si>
  <si>
    <t>Mean S/N</t>
  </si>
  <si>
    <t xml:space="preserve">http://dx.doi.org/10.1016/j.jmrt.2013.10.007 </t>
  </si>
  <si>
    <t>Mean S/N for 28 CS</t>
  </si>
  <si>
    <t>(S/Ni-S/Nmean)2</t>
  </si>
  <si>
    <t>For calculating Ssi for 28 day CS</t>
  </si>
  <si>
    <t>SS</t>
  </si>
  <si>
    <t>(S/Nij-S/Nmean)2</t>
  </si>
  <si>
    <t>Sensitivity %</t>
  </si>
  <si>
    <t>Sum</t>
  </si>
  <si>
    <t>For pie chart</t>
  </si>
  <si>
    <t>Others</t>
  </si>
  <si>
    <t>%age impact on CS</t>
  </si>
  <si>
    <t>Calculating Ssi for SF</t>
  </si>
  <si>
    <t>*n</t>
  </si>
  <si>
    <t>adjusted senstivity</t>
  </si>
  <si>
    <t>Calculating Ssi for T500</t>
  </si>
  <si>
    <t>Calculating Ssi for VF time</t>
  </si>
  <si>
    <t>%age impact on T500</t>
  </si>
  <si>
    <t>%age impact on SF</t>
  </si>
  <si>
    <t>For Fly Ash SCGPC</t>
  </si>
  <si>
    <t>Parameter values or inputs</t>
  </si>
  <si>
    <t>CS28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</si>
  <si>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</si>
  <si>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</si>
  <si>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</si>
  <si>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</si>
  <si>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</si>
  <si>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</si>
  <si>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</si>
  <si>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</si>
  <si>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</si>
  <si>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</si>
  <si>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</si>
  <si>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</si>
  <si>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</si>
  <si>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</si>
  <si>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</si>
  <si>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</si>
  <si>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</si>
  <si>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</si>
  <si>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</si>
  <si>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</si>
  <si>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</si>
  <si>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</si>
  <si>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</si>
  <si>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Multilinear regression</t>
  </si>
  <si>
    <t>RESIDUAL OUTPUT</t>
  </si>
  <si>
    <t>Observation</t>
  </si>
  <si>
    <t>Predicted CS28</t>
  </si>
  <si>
    <t>Residuals</t>
  </si>
  <si>
    <t>Predicted SF</t>
  </si>
  <si>
    <t>Predicted T500</t>
  </si>
  <si>
    <t>Predicted VF</t>
  </si>
  <si>
    <t>.</t>
  </si>
  <si>
    <t>FA</t>
  </si>
  <si>
    <t>BA</t>
  </si>
  <si>
    <t>RHA</t>
  </si>
  <si>
    <t>SD</t>
  </si>
  <si>
    <t>X-Xmean sq</t>
  </si>
  <si>
    <t>Mean</t>
  </si>
  <si>
    <t>Act/Pr</t>
  </si>
  <si>
    <t>SS/SH</t>
  </si>
  <si>
    <t>SH Molarity</t>
  </si>
  <si>
    <t>W/S</t>
  </si>
  <si>
    <t>FAgg/CAgg</t>
  </si>
  <si>
    <t>X-Xema SQ</t>
  </si>
  <si>
    <t>Lbox</t>
  </si>
  <si>
    <t>Avg value of L box</t>
  </si>
  <si>
    <t>M S/N of Lbox</t>
  </si>
  <si>
    <t>LB S/N</t>
  </si>
  <si>
    <t>L Box ratio</t>
  </si>
  <si>
    <t>L box ratio</t>
  </si>
  <si>
    <t>Calculating Ssi for L box ratio</t>
  </si>
  <si>
    <t>L box</t>
  </si>
  <si>
    <t>LB</t>
  </si>
  <si>
    <t>Predicted LB</t>
  </si>
  <si>
    <t>For Bagasse Ash SCGPC</t>
  </si>
  <si>
    <t>For Rice Husk Ash SCGPC</t>
  </si>
  <si>
    <t xml:space="preserve"> </t>
  </si>
  <si>
    <t>Sample 1</t>
  </si>
  <si>
    <t>Sample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</si>
</sst>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"/>
    <numFmt numFmtId="165" formatCode="0.000"/>
    <numFmt numFmtId="166" formatCode="0.0000000000000"/>
    <numFmt numFmtId="167" formatCode="0.000000000000"/>
    <numFmt numFmtId="168" formatCode="0.000000"/>
    <numFmt numFmtId="169" formatCode="0.000000000000000"/>
    <numFmt numFmtId="170" formatCode="0.000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64" fontId="0" fillId="0" borderId="0" xfId="0" applyNumberFormat="1"/>
    <xf numFmtId="0" fontId="0" fillId="5" borderId="0" xfId="0" applyFill="1"/>
    <xf numFmtId="0" fontId="0" fillId="6" borderId="0" xfId="0" applyFill="1"/>
    <xf numFmtId="0" fontId="0" fillId="0" borderId="0" xfId="0" applyAlignment="1">
      <alignment wrapText="1"/>
    </xf>
    <xf numFmtId="9" fontId="0" fillId="3" borderId="0" xfId="0" applyNumberFormat="1" applyFill="1"/>
    <xf numFmtId="0" fontId="1" fillId="5" borderId="0" xfId="0" applyFont="1" applyFill="1"/>
    <xf numFmtId="0" fontId="0" fillId="0" borderId="0" xfId="0" applyAlignment="1">
      <alignment horizontal="center"/>
    </xf>
    <xf numFmtId="0" fontId="0" fillId="7" borderId="0" xfId="0" applyFill="1"/>
    <xf numFmtId="9" fontId="0" fillId="0" borderId="0" xfId="0" applyNumberFormat="1" applyAlignment="1">
      <alignment horizontal="center"/>
    </xf>
    <xf numFmtId="0" fontId="0" fillId="8" borderId="0" xfId="0" applyFill="1"/>
    <xf numFmtId="0" fontId="0" fillId="6" borderId="1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9" fontId="0" fillId="0" borderId="1" xfId="0" applyNumberFormat="1" applyBorder="1" applyAlignment="1">
      <alignment horizontal="center"/>
    </xf>
    <xf numFmtId="0" fontId="1" fillId="5" borderId="1" xfId="0" applyFont="1" applyFill="1" applyBorder="1"/>
    <xf numFmtId="0" fontId="0" fillId="5" borderId="1" xfId="0" applyFill="1" applyBorder="1"/>
    <xf numFmtId="0" fontId="0" fillId="0" borderId="1" xfId="0" applyBorder="1"/>
    <xf numFmtId="2" fontId="0" fillId="0" borderId="1" xfId="0" applyNumberFormat="1" applyBorder="1"/>
    <xf numFmtId="0" fontId="0" fillId="5" borderId="2" xfId="0" applyFill="1" applyBorder="1"/>
    <xf numFmtId="2" fontId="0" fillId="0" borderId="2" xfId="0" applyNumberFormat="1" applyBorder="1"/>
    <xf numFmtId="165" fontId="0" fillId="0" borderId="1" xfId="0" applyNumberFormat="1" applyBorder="1"/>
    <xf numFmtId="14" fontId="0" fillId="0" borderId="0" xfId="0" applyNumberFormat="1"/>
    <xf numFmtId="0" fontId="0" fillId="9" borderId="0" xfId="0" applyFill="1"/>
    <xf numFmtId="9" fontId="0" fillId="9" borderId="1" xfId="0" applyNumberFormat="1" applyFill="1" applyBorder="1" applyAlignment="1">
      <alignment horizontal="center"/>
    </xf>
    <xf numFmtId="0" fontId="0" fillId="9" borderId="1" xfId="0" applyFill="1" applyBorder="1"/>
    <xf numFmtId="165" fontId="0" fillId="9" borderId="1" xfId="0" applyNumberFormat="1" applyFill="1" applyBorder="1"/>
    <xf numFmtId="2" fontId="0" fillId="9" borderId="1" xfId="0" applyNumberFormat="1" applyFill="1" applyBorder="1"/>
    <xf numFmtId="2" fontId="0" fillId="9" borderId="2" xfId="0" applyNumberFormat="1" applyFill="1" applyBorder="1"/>
    <xf numFmtId="14" fontId="0" fillId="9" borderId="0" xfId="0" applyNumberFormat="1" applyFill="1"/>
    <xf numFmtId="2" fontId="0" fillId="0" borderId="0" xfId="0" applyNumberFormat="1"/>
    <xf numFmtId="2" fontId="0" fillId="9" borderId="0" xfId="0" applyNumberFormat="1" applyFill="1"/>
    <xf numFmtId="0" fontId="0" fillId="10" borderId="3" xfId="0" applyFill="1" applyBorder="1"/>
    <xf numFmtId="0" fontId="0" fillId="11" borderId="0" xfId="0" applyFill="1"/>
    <xf numFmtId="1" fontId="0" fillId="0" borderId="0" xfId="0" applyNumberFormat="1"/>
    <xf numFmtId="1" fontId="0" fillId="9" borderId="0" xfId="0" applyNumberFormat="1" applyFill="1"/>
    <xf numFmtId="0" fontId="0" fillId="9" borderId="0" xfId="0" applyFill="1" applyAlignment="1">
      <alignment horizontal="center"/>
    </xf>
    <xf numFmtId="164" fontId="0" fillId="9" borderId="0" xfId="0" applyNumberFormat="1" applyFill="1"/>
    <xf numFmtId="2" fontId="0" fillId="0" borderId="0" xfId="0" applyNumberFormat="1" applyAlignment="1">
      <alignment vertical="center"/>
    </xf>
    <xf numFmtId="0" fontId="2" fillId="12" borderId="0" xfId="0" applyFont="1" applyFill="1" applyAlignment="1">
      <alignment horizontal="right" vertical="center" wrapText="1"/>
    </xf>
    <xf numFmtId="2" fontId="0" fillId="11" borderId="0" xfId="0" applyNumberFormat="1" applyFill="1"/>
    <xf numFmtId="1" fontId="0" fillId="11" borderId="0" xfId="0" applyNumberFormat="1" applyFill="1"/>
    <xf numFmtId="0" fontId="3" fillId="9" borderId="1" xfId="0" applyFont="1" applyFill="1" applyBorder="1"/>
    <xf numFmtId="0" fontId="4" fillId="0" borderId="0" xfId="1"/>
    <xf numFmtId="0" fontId="3" fillId="13" borderId="0" xfId="0" applyFont="1" applyFill="1"/>
    <xf numFmtId="0" fontId="0" fillId="13" borderId="0" xfId="0" applyFill="1"/>
    <xf numFmtId="165" fontId="0" fillId="0" borderId="0" xfId="0" applyNumberFormat="1"/>
    <xf numFmtId="2" fontId="0" fillId="0" borderId="0" xfId="0" applyNumberFormat="1" applyAlignment="1">
      <alignment horizontal="center" vertical="center"/>
    </xf>
    <xf numFmtId="9" fontId="0" fillId="0" borderId="0" xfId="2" applyFont="1"/>
    <xf numFmtId="0" fontId="3" fillId="9" borderId="1" xfId="0" applyFont="1" applyFill="1" applyBorder="1" applyAlignment="1">
      <alignment horizontal="center"/>
    </xf>
    <xf numFmtId="165" fontId="0" fillId="9" borderId="0" xfId="0" applyNumberFormat="1" applyFill="1"/>
    <xf numFmtId="0" fontId="7" fillId="6" borderId="1" xfId="0" applyFont="1" applyFill="1" applyBorder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4" xfId="0" applyBorder="1"/>
    <xf numFmtId="0" fontId="8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Continuous"/>
    </xf>
    <xf numFmtId="0" fontId="0" fillId="14" borderId="0" xfId="0" applyFill="1"/>
    <xf numFmtId="0" fontId="0" fillId="14" borderId="4" xfId="0" applyFill="1" applyBorder="1"/>
    <xf numFmtId="0" fontId="3" fillId="11" borderId="0" xfId="0" applyFont="1" applyFill="1"/>
    <xf numFmtId="43" fontId="0" fillId="0" borderId="0" xfId="3" applyFont="1" applyAlignment="1">
      <alignment horizontal="center"/>
    </xf>
    <xf numFmtId="1" fontId="0" fillId="0" borderId="0" xfId="0" applyNumberFormat="1" applyAlignment="1">
      <alignment vertical="center"/>
    </xf>
    <xf numFmtId="1" fontId="0" fillId="9" borderId="0" xfId="0" applyNumberFormat="1" applyFill="1" applyAlignment="1">
      <alignment vertical="center"/>
    </xf>
    <xf numFmtId="164" fontId="0" fillId="0" borderId="1" xfId="0" applyNumberFormat="1" applyBorder="1"/>
    <xf numFmtId="9" fontId="0" fillId="0" borderId="3" xfId="0" applyNumberFormat="1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0" fontId="3" fillId="9" borderId="6" xfId="0" applyFont="1" applyFill="1" applyBorder="1"/>
    <xf numFmtId="0" fontId="9" fillId="6" borderId="1" xfId="0" applyFont="1" applyFill="1" applyBorder="1"/>
    <xf numFmtId="0" fontId="3" fillId="6" borderId="1" xfId="0" applyFont="1" applyFill="1" applyBorder="1"/>
    <xf numFmtId="2" fontId="0" fillId="11" borderId="1" xfId="0" applyNumberFormat="1" applyFill="1" applyBorder="1" applyAlignment="1" applyProtection="1">
      <alignment horizontal="center" wrapText="1"/>
      <protection locked="0"/>
    </xf>
    <xf numFmtId="166" fontId="0" fillId="9" borderId="0" xfId="0" applyNumberFormat="1" applyFill="1"/>
    <xf numFmtId="168" fontId="0" fillId="0" borderId="0" xfId="0" applyNumberFormat="1"/>
    <xf numFmtId="169" fontId="0" fillId="0" borderId="0" xfId="0" applyNumberFormat="1"/>
    <xf numFmtId="170" fontId="0" fillId="0" borderId="1" xfId="0" applyNumberFormat="1" applyBorder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3" xfId="0" applyFill="1" applyBorder="1"/>
    <xf numFmtId="0" fontId="0" fillId="10" borderId="0" xfId="0" applyFill="1" applyBorder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66FF66"/>
      <color rgb="FFFF00FF"/>
      <color rgb="FF006600"/>
      <color rgb="FF00FF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023530068753922E-2"/>
          <c:y val="5.4901960784313725E-2"/>
          <c:w val="0.88098919581235069"/>
          <c:h val="0.69636313107920333"/>
        </c:manualLayout>
      </c:layout>
      <c:barChart>
        <c:barDir val="col"/>
        <c:grouping val="clustered"/>
        <c:varyColors val="0"/>
        <c:ser>
          <c:idx val="0"/>
          <c:order val="0"/>
          <c:tx>
            <c:v>7 day CS</c:v>
          </c:tx>
          <c:spPr>
            <a:pattFill prst="smConfetti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 w="63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Sheet1!$F$2:$F$19</c:f>
                <c:numCache>
                  <c:formatCode>General</c:formatCode>
                  <c:ptCount val="18"/>
                  <c:pt idx="0">
                    <c:v>0.4121892769104985</c:v>
                  </c:pt>
                  <c:pt idx="1">
                    <c:v>0.60802960454241273</c:v>
                  </c:pt>
                  <c:pt idx="2">
                    <c:v>0.29461839725312455</c:v>
                  </c:pt>
                  <c:pt idx="3">
                    <c:v>0.30265491900843106</c:v>
                  </c:pt>
                  <c:pt idx="4">
                    <c:v>0.24556058315617349</c:v>
                  </c:pt>
                  <c:pt idx="5">
                    <c:v>0.5011985634456666</c:v>
                  </c:pt>
                  <c:pt idx="6">
                    <c:v>0.56929781309961158</c:v>
                  </c:pt>
                  <c:pt idx="7">
                    <c:v>0.47031904065219526</c:v>
                  </c:pt>
                  <c:pt idx="8">
                    <c:v>0.49112116631234665</c:v>
                  </c:pt>
                  <c:pt idx="9">
                    <c:v>0.17435595774162649</c:v>
                  </c:pt>
                  <c:pt idx="10">
                    <c:v>0.37403208418530065</c:v>
                  </c:pt>
                  <c:pt idx="11">
                    <c:v>0.29512709126747411</c:v>
                  </c:pt>
                  <c:pt idx="12">
                    <c:v>0.22912878474779216</c:v>
                  </c:pt>
                  <c:pt idx="13">
                    <c:v>0.45508241011930928</c:v>
                  </c:pt>
                  <c:pt idx="14">
                    <c:v>0.27730849247724015</c:v>
                  </c:pt>
                  <c:pt idx="15">
                    <c:v>0.40853396431630878</c:v>
                  </c:pt>
                  <c:pt idx="16">
                    <c:v>0.36660605559646736</c:v>
                  </c:pt>
                  <c:pt idx="17">
                    <c:v>0.51730068625510239</c:v>
                  </c:pt>
                </c:numCache>
              </c:numRef>
            </c:plus>
            <c:minus>
              <c:numRef>
                <c:f>Sheet1!$F$2:$F$19</c:f>
                <c:numCache>
                  <c:formatCode>General</c:formatCode>
                  <c:ptCount val="18"/>
                  <c:pt idx="0">
                    <c:v>0.4121892769104985</c:v>
                  </c:pt>
                  <c:pt idx="1">
                    <c:v>0.60802960454241273</c:v>
                  </c:pt>
                  <c:pt idx="2">
                    <c:v>0.29461839725312455</c:v>
                  </c:pt>
                  <c:pt idx="3">
                    <c:v>0.30265491900843106</c:v>
                  </c:pt>
                  <c:pt idx="4">
                    <c:v>0.24556058315617349</c:v>
                  </c:pt>
                  <c:pt idx="5">
                    <c:v>0.5011985634456666</c:v>
                  </c:pt>
                  <c:pt idx="6">
                    <c:v>0.56929781309961158</c:v>
                  </c:pt>
                  <c:pt idx="7">
                    <c:v>0.47031904065219526</c:v>
                  </c:pt>
                  <c:pt idx="8">
                    <c:v>0.49112116631234665</c:v>
                  </c:pt>
                  <c:pt idx="9">
                    <c:v>0.17435595774162649</c:v>
                  </c:pt>
                  <c:pt idx="10">
                    <c:v>0.37403208418530065</c:v>
                  </c:pt>
                  <c:pt idx="11">
                    <c:v>0.29512709126747411</c:v>
                  </c:pt>
                  <c:pt idx="12">
                    <c:v>0.22912878474779216</c:v>
                  </c:pt>
                  <c:pt idx="13">
                    <c:v>0.45508241011930928</c:v>
                  </c:pt>
                  <c:pt idx="14">
                    <c:v>0.27730849247724015</c:v>
                  </c:pt>
                  <c:pt idx="15">
                    <c:v>0.40853396431630878</c:v>
                  </c:pt>
                  <c:pt idx="16">
                    <c:v>0.36660605559646736</c:v>
                  </c:pt>
                  <c:pt idx="17">
                    <c:v>0.51730068625510239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95000"/>
                    <a:lumOff val="5000"/>
                  </a:schemeClr>
                </a:solidFill>
                <a:round/>
              </a:ln>
              <a:effectLst/>
            </c:spPr>
          </c:errBars>
          <c:cat>
            <c:strRef>
              <c:f>Sheet1!$A$2:$A$19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Sheet1!$B$2:$B$19</c:f>
              <c:numCache>
                <c:formatCode>0.00</c:formatCode>
                <c:ptCount val="18"/>
                <c:pt idx="0">
                  <c:v>7.4</c:v>
                </c:pt>
                <c:pt idx="1">
                  <c:v>8.7200000000000006</c:v>
                </c:pt>
                <c:pt idx="2">
                  <c:v>11.42</c:v>
                </c:pt>
                <c:pt idx="3">
                  <c:v>6.09</c:v>
                </c:pt>
                <c:pt idx="4">
                  <c:v>10.97</c:v>
                </c:pt>
                <c:pt idx="5">
                  <c:v>10.199999999999999</c:v>
                </c:pt>
                <c:pt idx="6">
                  <c:v>10.23</c:v>
                </c:pt>
                <c:pt idx="7">
                  <c:v>8.34</c:v>
                </c:pt>
                <c:pt idx="8">
                  <c:v>13.56</c:v>
                </c:pt>
                <c:pt idx="9">
                  <c:v>13.24</c:v>
                </c:pt>
                <c:pt idx="10">
                  <c:v>19.87</c:v>
                </c:pt>
                <c:pt idx="11">
                  <c:v>15.31</c:v>
                </c:pt>
                <c:pt idx="12">
                  <c:v>8.9</c:v>
                </c:pt>
                <c:pt idx="13">
                  <c:v>14.67</c:v>
                </c:pt>
                <c:pt idx="14">
                  <c:v>12.37</c:v>
                </c:pt>
                <c:pt idx="15">
                  <c:v>13.68</c:v>
                </c:pt>
                <c:pt idx="16">
                  <c:v>11.56</c:v>
                </c:pt>
                <c:pt idx="17">
                  <c:v>14.11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4-4DAD-8450-C94763D15F0E}"/>
            </c:ext>
          </c:extLst>
        </c:ser>
        <c:ser>
          <c:idx val="1"/>
          <c:order val="1"/>
          <c:tx>
            <c:v>28 day CS</c:v>
          </c:tx>
          <c:spPr>
            <a:gradFill flip="none" rotWithShape="1">
              <a:gsLst>
                <a:gs pos="0">
                  <a:schemeClr val="bg1">
                    <a:lumMod val="83000"/>
                  </a:schemeClr>
                </a:gs>
                <a:gs pos="34000">
                  <a:schemeClr val="accent3">
                    <a:lumMod val="89000"/>
                    <a:alpha val="98000"/>
                  </a:schemeClr>
                </a:gs>
                <a:gs pos="52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Sheet1!$K$2:$K$19</c:f>
                <c:numCache>
                  <c:formatCode>General</c:formatCode>
                  <c:ptCount val="18"/>
                  <c:pt idx="0">
                    <c:v>0.70342874550305468</c:v>
                  </c:pt>
                  <c:pt idx="1">
                    <c:v>0.54286278192559523</c:v>
                  </c:pt>
                  <c:pt idx="2">
                    <c:v>0.6426608748010032</c:v>
                  </c:pt>
                  <c:pt idx="3">
                    <c:v>0.84804186217426891</c:v>
                  </c:pt>
                  <c:pt idx="4">
                    <c:v>0.62837250098966169</c:v>
                  </c:pt>
                  <c:pt idx="5">
                    <c:v>0.49600907249766674</c:v>
                  </c:pt>
                  <c:pt idx="6">
                    <c:v>0.38911180912432347</c:v>
                  </c:pt>
                  <c:pt idx="7">
                    <c:v>0.59409847668547222</c:v>
                  </c:pt>
                  <c:pt idx="8">
                    <c:v>0.34252737116907639</c:v>
                  </c:pt>
                  <c:pt idx="9">
                    <c:v>0.76736366867346684</c:v>
                  </c:pt>
                  <c:pt idx="10">
                    <c:v>0.40537020117418254</c:v>
                  </c:pt>
                  <c:pt idx="11">
                    <c:v>0.5086255990411761</c:v>
                  </c:pt>
                  <c:pt idx="12">
                    <c:v>0.28173569173961743</c:v>
                  </c:pt>
                  <c:pt idx="13">
                    <c:v>0.33150113121979841</c:v>
                  </c:pt>
                  <c:pt idx="14">
                    <c:v>0.25073491978582085</c:v>
                  </c:pt>
                  <c:pt idx="15">
                    <c:v>0.53293995909483671</c:v>
                  </c:pt>
                  <c:pt idx="16">
                    <c:v>0.48844139873683995</c:v>
                  </c:pt>
                  <c:pt idx="17">
                    <c:v>0.31273471185655327</c:v>
                  </c:pt>
                </c:numCache>
              </c:numRef>
            </c:plus>
            <c:minus>
              <c:numRef>
                <c:f>Sheet1!$K$2:$K$19</c:f>
                <c:numCache>
                  <c:formatCode>General</c:formatCode>
                  <c:ptCount val="18"/>
                  <c:pt idx="0">
                    <c:v>0.70342874550305468</c:v>
                  </c:pt>
                  <c:pt idx="1">
                    <c:v>0.54286278192559523</c:v>
                  </c:pt>
                  <c:pt idx="2">
                    <c:v>0.6426608748010032</c:v>
                  </c:pt>
                  <c:pt idx="3">
                    <c:v>0.84804186217426891</c:v>
                  </c:pt>
                  <c:pt idx="4">
                    <c:v>0.62837250098966169</c:v>
                  </c:pt>
                  <c:pt idx="5">
                    <c:v>0.49600907249766674</c:v>
                  </c:pt>
                  <c:pt idx="6">
                    <c:v>0.38911180912432347</c:v>
                  </c:pt>
                  <c:pt idx="7">
                    <c:v>0.59409847668547222</c:v>
                  </c:pt>
                  <c:pt idx="8">
                    <c:v>0.34252737116907639</c:v>
                  </c:pt>
                  <c:pt idx="9">
                    <c:v>0.76736366867346684</c:v>
                  </c:pt>
                  <c:pt idx="10">
                    <c:v>0.40537020117418254</c:v>
                  </c:pt>
                  <c:pt idx="11">
                    <c:v>0.5086255990411761</c:v>
                  </c:pt>
                  <c:pt idx="12">
                    <c:v>0.28173569173961743</c:v>
                  </c:pt>
                  <c:pt idx="13">
                    <c:v>0.33150113121979841</c:v>
                  </c:pt>
                  <c:pt idx="14">
                    <c:v>0.25073491978582085</c:v>
                  </c:pt>
                  <c:pt idx="15">
                    <c:v>0.53293995909483671</c:v>
                  </c:pt>
                  <c:pt idx="16">
                    <c:v>0.48844139873683995</c:v>
                  </c:pt>
                  <c:pt idx="17">
                    <c:v>0.31273471185655327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Sheet1!$G$2:$G$19</c:f>
              <c:numCache>
                <c:formatCode>General</c:formatCode>
                <c:ptCount val="18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9.8450000000000006</c:v>
                </c:pt>
                <c:pt idx="4">
                  <c:v>19.558000000000003</c:v>
                </c:pt>
                <c:pt idx="5">
                  <c:v>16.005000000000003</c:v>
                </c:pt>
                <c:pt idx="6">
                  <c:v>17.996000000000002</c:v>
                </c:pt>
                <c:pt idx="7">
                  <c:v>13.321</c:v>
                </c:pt>
                <c:pt idx="8">
                  <c:v>21.725000000000001</c:v>
                </c:pt>
                <c:pt idx="9">
                  <c:v>21.417000000000002</c:v>
                </c:pt>
                <c:pt idx="10">
                  <c:v>32.725000000000001</c:v>
                </c:pt>
                <c:pt idx="11">
                  <c:v>26.41</c:v>
                </c:pt>
                <c:pt idx="12">
                  <c:v>15.455000000000002</c:v>
                </c:pt>
                <c:pt idx="13">
                  <c:v>23.881000000000004</c:v>
                </c:pt>
                <c:pt idx="14">
                  <c:v>20.416</c:v>
                </c:pt>
                <c:pt idx="15">
                  <c:v>22.605000000000004</c:v>
                </c:pt>
                <c:pt idx="16">
                  <c:v>18.645</c:v>
                </c:pt>
                <c:pt idx="17">
                  <c:v>24.101000000000003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4-4DAD-8450-C94763D1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502211439"/>
        <c:axId val="502210479"/>
      </c:barChart>
      <c:catAx>
        <c:axId val="502211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out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2210479"/>
        <c:crossesAt val="0"/>
        <c:auto val="0"/>
        <c:lblAlgn val="ctr"/>
        <c:lblOffset val="10"/>
        <c:tickLblSkip val="1"/>
        <c:tickMarkSkip val="1"/>
        <c:noMultiLvlLbl val="0"/>
      </c:catAx>
      <c:valAx>
        <c:axId val="502210479"/>
        <c:scaling>
          <c:orientation val="minMax"/>
          <c:max val="35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2211439"/>
        <c:crossesAt val="1"/>
        <c:crossBetween val="between"/>
        <c:majorUnit val="5"/>
        <c:min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 and SN plots'!$AI$52:$AI$54</c:f>
              <c:numCache>
                <c:formatCode>0</c:formatCode>
                <c:ptCount val="3"/>
                <c:pt idx="0">
                  <c:v>17.833333333333332</c:v>
                </c:pt>
                <c:pt idx="1">
                  <c:v>8.8333333333333339</c:v>
                </c:pt>
                <c:pt idx="2">
                  <c:v>11.049999999999999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D-417F-9C67-D004DB03D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plots'!$AG$52:$AG$54</c:f>
              <c:numCache>
                <c:formatCode>0</c:formatCode>
                <c:ptCount val="3"/>
                <c:pt idx="0">
                  <c:v>-24.015903843691575</c:v>
                </c:pt>
                <c:pt idx="1">
                  <c:v>-18.790341815165409</c:v>
                </c:pt>
                <c:pt idx="2">
                  <c:v>-20.571374732695617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0D-417F-9C67-D004DB03D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10D-417F-9C67-D004DB03D3A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type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2675621426944262"/>
              <c:y val="0.83963387699852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in val="-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7.3454024853246676E-3"/>
              <c:y val="0.248035579540697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6806625685656857"/>
              <c:y val="0.22703243415714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40036146144203"/>
          <c:y val="0.18977703040149699"/>
          <c:w val="0.57605557040528321"/>
          <c:h val="0.56522960296437852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plots'!$AI$55:$AI$57</c:f>
              <c:numCache>
                <c:formatCode>0</c:formatCode>
                <c:ptCount val="3"/>
                <c:pt idx="0">
                  <c:v>12.666666666666666</c:v>
                </c:pt>
                <c:pt idx="1">
                  <c:v>12.716666666666667</c:v>
                </c:pt>
                <c:pt idx="2">
                  <c:v>12.333333333333334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4-4947-8C60-A681BBAF2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plots'!$AG$55:$AG$57</c:f>
              <c:numCache>
                <c:formatCode>0</c:formatCode>
                <c:ptCount val="3"/>
                <c:pt idx="0">
                  <c:v>-21.565132815148615</c:v>
                </c:pt>
                <c:pt idx="1">
                  <c:v>-21.25892888820389</c:v>
                </c:pt>
                <c:pt idx="2">
                  <c:v>-20.553558688200098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4-4947-8C60-A681BBAF2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64-4947-8C60-A681BBAF23C9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content (kg/cum)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8867661952627462"/>
              <c:y val="0.86384756895494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2.2496622027568178E-2"/>
              <c:y val="0.279281862508252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9771572831274393"/>
              <c:y val="0.24960719703016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2689497509741557"/>
          <c:y val="3.3103611459060532E-3"/>
          <c:w val="0.7775062188012335"/>
          <c:h val="0.16863650690294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0993771123513"/>
          <c:y val="0.1560596163702663"/>
          <c:w val="0.58891255236731732"/>
          <c:h val="0.5765516431841744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plots'!$AI$58:$AI$59</c:f>
              <c:numCache>
                <c:formatCode>0</c:formatCode>
                <c:ptCount val="2"/>
                <c:pt idx="0">
                  <c:v>11.366666666666667</c:v>
                </c:pt>
                <c:pt idx="1">
                  <c:v>13.777777777777779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B-4CF1-A297-A4B5871C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plots'!$AG$58:$AG$59</c:f>
              <c:numCache>
                <c:formatCode>0</c:formatCode>
                <c:ptCount val="2"/>
                <c:pt idx="0">
                  <c:v>-20.458212040080639</c:v>
                </c:pt>
                <c:pt idx="1">
                  <c:v>-21.793534887621099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B-4CF1-A297-A4B5871C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7B-4CF1-A297-A4B5871C9BBA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6268450178667424"/>
              <c:y val="0.87477114100497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</a:t>
                </a: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S/N ratio</a:t>
                </a:r>
              </a:p>
            </c:rich>
          </c:tx>
          <c:layout>
            <c:manualLayout>
              <c:xMode val="edge"/>
              <c:yMode val="edge"/>
              <c:x val="2.7878584987303633E-2"/>
              <c:y val="0.22709957362668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8332489932826619"/>
              <c:y val="0.16755610528694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3913442747367424"/>
          <c:y val="5.1770339874244375E-3"/>
          <c:w val="0.7775062188012335"/>
          <c:h val="0.130190203940449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836384514435695"/>
          <c:y val="0.20124656704124788"/>
          <c:w val="0.58417618110236225"/>
          <c:h val="0.54638979835401558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plots'!$AI$60:$AI$62</c:f>
              <c:numCache>
                <c:formatCode>0</c:formatCode>
                <c:ptCount val="3"/>
                <c:pt idx="0">
                  <c:v>14.416666666666666</c:v>
                </c:pt>
                <c:pt idx="1">
                  <c:v>14.333333333333334</c:v>
                </c:pt>
                <c:pt idx="2">
                  <c:v>8.9666666666666668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9-40DE-8AA3-5A93A7155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plots'!$AG$60:$AG$62</c:f>
              <c:numCache>
                <c:formatCode>0</c:formatCode>
                <c:ptCount val="3"/>
                <c:pt idx="0">
                  <c:v>-22.453747353105054</c:v>
                </c:pt>
                <c:pt idx="1">
                  <c:v>-22.1317340184914</c:v>
                </c:pt>
                <c:pt idx="2">
                  <c:v>-18.792139019956149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9-40DE-8AA3-5A93A7155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409-40DE-8AA3-5A93A7155C54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Alkali/Precursor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14909843216367"/>
              <c:y val="0.874557198739692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5121651240164619E-2"/>
              <c:y val="0.2404529654170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9455937849051226"/>
              <c:y val="0.225226478192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8.690993250097713E-2"/>
          <c:y val="4.8625773191092328E-3"/>
          <c:w val="0.84885514452513489"/>
          <c:h val="0.133119260520735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51535969810197"/>
          <c:y val="0.16891060474510686"/>
          <c:w val="0.56852445377797078"/>
          <c:h val="0.57552483358934969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plots'!$AI$63:$AI$65</c:f>
              <c:numCache>
                <c:formatCode>0</c:formatCode>
                <c:ptCount val="3"/>
                <c:pt idx="0">
                  <c:v>13.083333333333334</c:v>
                </c:pt>
                <c:pt idx="1">
                  <c:v>13.716666666666667</c:v>
                </c:pt>
                <c:pt idx="2">
                  <c:v>10.916666666666666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4-4D9F-887B-6F51E129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plots'!$AG$63:$AG$65</c:f>
              <c:numCache>
                <c:formatCode>0</c:formatCode>
                <c:ptCount val="3"/>
                <c:pt idx="0">
                  <c:v>-21.281015528580571</c:v>
                </c:pt>
                <c:pt idx="1">
                  <c:v>-21.898909790709713</c:v>
                </c:pt>
                <c:pt idx="2">
                  <c:v>-20.197695072262317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14-4D9F-887B-6F51E129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B14-4D9F-887B-6F51E129E034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8653055625546823"/>
              <c:y val="0.8764068252146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3.3088511516337647E-2"/>
              <c:y val="0.219430328125980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6501815089893219"/>
              <c:y val="0.166073174137690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1408620062752543"/>
          <c:y val="3.6555699248546282E-3"/>
          <c:w val="0.7775062188012335"/>
          <c:h val="0.17437142149593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86463065759324"/>
          <c:y val="0.17503062117235346"/>
          <c:w val="0.58948765097280409"/>
          <c:h val="0.57628946381702284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plots'!$AI$66:$AI$68</c:f>
              <c:numCache>
                <c:formatCode>0</c:formatCode>
                <c:ptCount val="3"/>
                <c:pt idx="0">
                  <c:v>16.133333333333333</c:v>
                </c:pt>
                <c:pt idx="1">
                  <c:v>11.083333333333334</c:v>
                </c:pt>
                <c:pt idx="2">
                  <c:v>11.75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D-4524-8885-BF86BA80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plots'!$AG$66:$AG$68</c:f>
              <c:numCache>
                <c:formatCode>0</c:formatCode>
                <c:ptCount val="3"/>
                <c:pt idx="0">
                  <c:v>-23.183412728589769</c:v>
                </c:pt>
                <c:pt idx="1">
                  <c:v>-20.609668692172413</c:v>
                </c:pt>
                <c:pt idx="2">
                  <c:v>-20.426956691088513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D-4524-8885-BF86BA80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41D-4524-8885-BF86BA805E50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 molarity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6276575321696242"/>
              <c:y val="0.873193350831146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2.1780860386300595E-2"/>
              <c:y val="0.265072341606884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7867678644472913"/>
              <c:y val="0.18611517926475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2160974103957217"/>
          <c:y val="4.4344456942882162E-4"/>
          <c:w val="0.7775062188012335"/>
          <c:h val="0.14262517185351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08549393521914"/>
          <c:y val="0.14963368351329659"/>
          <c:w val="0.59145626730937617"/>
          <c:h val="0.59674168147950613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plots'!$AI$69:$AI$71</c:f>
              <c:numCache>
                <c:formatCode>0</c:formatCode>
                <c:ptCount val="3"/>
                <c:pt idx="0">
                  <c:v>14.75</c:v>
                </c:pt>
                <c:pt idx="1">
                  <c:v>11.916666666666666</c:v>
                </c:pt>
                <c:pt idx="2">
                  <c:v>11.049999999999999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8-42FA-8636-19BBF5B7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plots'!$AG$69:$AG$71</c:f>
              <c:numCache>
                <c:formatCode>0</c:formatCode>
                <c:ptCount val="3"/>
                <c:pt idx="0">
                  <c:v>-22.019962905135824</c:v>
                </c:pt>
                <c:pt idx="1">
                  <c:v>-21.255763111769486</c:v>
                </c:pt>
                <c:pt idx="2">
                  <c:v>-20.101894374647294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8-42FA-8636-19BBF5B7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4D8-42FA-8636-19BBF5B711E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869187182228474"/>
              <c:y val="0.87922925150635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4.8919313027591298E-3"/>
              <c:y val="0.192941156259201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7716637463596747"/>
              <c:y val="0.161530022204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0768996932487081"/>
          <c:y val="5.1770339874244158E-3"/>
          <c:w val="0.7775062188012335"/>
          <c:h val="0.1554367554006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0996345021069"/>
          <c:y val="0.17926354238018893"/>
          <c:w val="0.55450900491641775"/>
          <c:h val="0.56648752008749848"/>
        </c:manualLayout>
      </c:layout>
      <c:barChart>
        <c:barDir val="col"/>
        <c:grouping val="clustered"/>
        <c:varyColors val="0"/>
        <c:ser>
          <c:idx val="3"/>
          <c:order val="1"/>
          <c:tx>
            <c:v>Mean VF time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plots'!$AI$72:$AI$74</c:f>
              <c:numCache>
                <c:formatCode>0</c:formatCode>
                <c:ptCount val="3"/>
                <c:pt idx="0">
                  <c:v>11.549999999999999</c:v>
                </c:pt>
                <c:pt idx="1">
                  <c:v>12.833333333333334</c:v>
                </c:pt>
                <c:pt idx="2">
                  <c:v>13.333333333333334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A-41F4-BAB9-A9B7E0886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plots'!$AG$72:$AG$74</c:f>
              <c:numCache>
                <c:formatCode>0</c:formatCode>
                <c:ptCount val="3"/>
                <c:pt idx="0">
                  <c:v>-20.488615577746302</c:v>
                </c:pt>
                <c:pt idx="1">
                  <c:v>-21.707279296081001</c:v>
                </c:pt>
                <c:pt idx="2">
                  <c:v>-21.181725517725301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A-41F4-BAB9-A9B7E0886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75A-41F4-BAB9-A9B7E0886627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FA/CA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896726860023718"/>
              <c:y val="0.876156697944172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100"/>
        <c:noMultiLvlLbl val="0"/>
      </c:catAx>
      <c:valAx>
        <c:axId val="70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3.2465601842019964E-2"/>
              <c:y val="0.20599461347080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VF time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</a:p>
            </c:rich>
          </c:tx>
          <c:layout>
            <c:manualLayout>
              <c:xMode val="edge"/>
              <c:yMode val="edge"/>
              <c:x val="0.85868851883136477"/>
              <c:y val="0.18073429255610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8.3692015965538477E-2"/>
          <c:y val="2.0024872689551453E-3"/>
          <c:w val="0.7775062188012335"/>
          <c:h val="0.14318250581541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 and SN plots'!$AD$52:$AD$54</c:f>
              <c:numCache>
                <c:formatCode>0</c:formatCode>
                <c:ptCount val="3"/>
                <c:pt idx="0">
                  <c:v>20.811833333333336</c:v>
                </c:pt>
                <c:pt idx="1">
                  <c:v>17.526666666666667</c:v>
                </c:pt>
                <c:pt idx="2">
                  <c:v>19.732166666666668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0-4469-A599-46F846A8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plots'!$AC$52:$AC$54</c:f>
              <c:numCache>
                <c:formatCode>0</c:formatCode>
                <c:ptCount val="3"/>
                <c:pt idx="0">
                  <c:v>25.788424529437076</c:v>
                </c:pt>
                <c:pt idx="1">
                  <c:v>24.552960052665821</c:v>
                </c:pt>
                <c:pt idx="2">
                  <c:v>25.744915199006929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0-4469-A599-46F846A8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D0-4469-A599-46F846A82530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type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049890680960803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plots'!$AF$58:$AF$59</c:f>
              <c:numCache>
                <c:formatCode>0</c:formatCode>
                <c:ptCount val="2"/>
                <c:pt idx="0">
                  <c:v>9.6588888888888889</c:v>
                </c:pt>
                <c:pt idx="1">
                  <c:v>13.745555555555555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D-4CD0-9824-4340272B73BF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plots'!$AD$58:$AD$59</c:f>
              <c:numCache>
                <c:formatCode>0</c:formatCode>
                <c:ptCount val="2"/>
                <c:pt idx="0">
                  <c:v>15.863222222222223</c:v>
                </c:pt>
                <c:pt idx="1">
                  <c:v>22.850555555555555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D-461E-B7E1-DA75BBA93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val>
            <c:numRef>
              <c:f>'results and SN plots'!$AE$58:$AE$59</c:f>
              <c:numCache>
                <c:formatCode>0</c:formatCode>
                <c:ptCount val="2"/>
                <c:pt idx="0">
                  <c:v>19.475866165386265</c:v>
                </c:pt>
                <c:pt idx="1">
                  <c:v>22.581826240560062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D-4CD0-9824-4340272B73BF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plots'!$AC$58:$AC$59</c:f>
              <c:numCache>
                <c:formatCode>0</c:formatCode>
                <c:ptCount val="2"/>
                <c:pt idx="0">
                  <c:v>23.721309120856372</c:v>
                </c:pt>
                <c:pt idx="1">
                  <c:v>27.002890733216844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D-461E-B7E1-DA75BBA93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87D-461E-B7E1-DA75BBA9344A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 ratio</a:t>
                </a:r>
              </a:p>
            </c:rich>
          </c:tx>
          <c:layout>
            <c:manualLayout>
              <c:xMode val="edge"/>
              <c:yMode val="edge"/>
              <c:x val="0.34858012988132847"/>
              <c:y val="0.87481941243487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7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plots'!$AD$55:$AD$57</c:f>
              <c:numCache>
                <c:formatCode>0</c:formatCode>
                <c:ptCount val="3"/>
                <c:pt idx="0">
                  <c:v>16.236000000000001</c:v>
                </c:pt>
                <c:pt idx="1">
                  <c:v>20.698333333333334</c:v>
                </c:pt>
                <c:pt idx="2">
                  <c:v>21.136333333333337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F-43A0-A371-FA964E4B1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plots'!$AC$55:$AC$57</c:f>
              <c:numCache>
                <c:formatCode>0</c:formatCode>
                <c:ptCount val="3"/>
                <c:pt idx="0">
                  <c:v>23.75553076258343</c:v>
                </c:pt>
                <c:pt idx="1">
                  <c:v>25.950337875230414</c:v>
                </c:pt>
                <c:pt idx="2">
                  <c:v>26.38043114329599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F-43A0-A371-FA964E4B1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AF-43A0-A371-FA964E4B1375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 content (kg/cum)</a:t>
                </a:r>
              </a:p>
            </c:rich>
          </c:tx>
          <c:layout>
            <c:manualLayout>
              <c:xMode val="edge"/>
              <c:yMode val="edge"/>
              <c:x val="0.17704851266282554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plots'!$AD$60:$AD$62</c:f>
              <c:numCache>
                <c:formatCode>0</c:formatCode>
                <c:ptCount val="3"/>
                <c:pt idx="0">
                  <c:v>19.818333333333332</c:v>
                </c:pt>
                <c:pt idx="1">
                  <c:v>19.020666666666667</c:v>
                </c:pt>
                <c:pt idx="2">
                  <c:v>19.231666666666669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B-4010-A709-3BEA6E1B6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plots'!$AC$60:$AC$62</c:f>
              <c:numCache>
                <c:formatCode>0</c:formatCode>
                <c:ptCount val="3"/>
                <c:pt idx="0">
                  <c:v>25.137654156457003</c:v>
                </c:pt>
                <c:pt idx="1">
                  <c:v>25.445485885107285</c:v>
                </c:pt>
                <c:pt idx="2">
                  <c:v>25.503159739545538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B-4010-A709-3BEA6E1B6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9B-4010-A709-3BEA6E1B6DBE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Act/Pr ratio</a:t>
                </a:r>
              </a:p>
            </c:rich>
          </c:tx>
          <c:layout>
            <c:manualLayout>
              <c:xMode val="edge"/>
              <c:yMode val="edge"/>
              <c:x val="0.34546967697026976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plots'!$AD$63:$AD$65</c:f>
              <c:numCache>
                <c:formatCode>0</c:formatCode>
                <c:ptCount val="3"/>
                <c:pt idx="0">
                  <c:v>20.801000000000002</c:v>
                </c:pt>
                <c:pt idx="1">
                  <c:v>18.109500000000001</c:v>
                </c:pt>
                <c:pt idx="2">
                  <c:v>19.160166666666669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3-4F26-8CEE-BA25E9EF0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plots'!$AC$63:$AC$65</c:f>
              <c:numCache>
                <c:formatCode>0</c:formatCode>
                <c:ptCount val="3"/>
                <c:pt idx="0">
                  <c:v>25.795447519625057</c:v>
                </c:pt>
                <c:pt idx="1">
                  <c:v>24.698138864454606</c:v>
                </c:pt>
                <c:pt idx="2">
                  <c:v>25.592713397030167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3-4F26-8CEE-BA25E9EF0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63-4F26-8CEE-BA25E9EF08E0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 ratio</a:t>
                </a:r>
              </a:p>
            </c:rich>
          </c:tx>
          <c:layout>
            <c:manualLayout>
              <c:xMode val="edge"/>
              <c:yMode val="edge"/>
              <c:x val="0.34546967697026976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plots'!$AD$63:$AD$65</c:f>
              <c:numCache>
                <c:formatCode>0</c:formatCode>
                <c:ptCount val="3"/>
                <c:pt idx="0">
                  <c:v>20.801000000000002</c:v>
                </c:pt>
                <c:pt idx="1">
                  <c:v>18.109500000000001</c:v>
                </c:pt>
                <c:pt idx="2">
                  <c:v>19.160166666666669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2-4C19-A4A1-CA33F2BF6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plots'!$AC$66:$AC$68</c:f>
              <c:numCache>
                <c:formatCode>0</c:formatCode>
                <c:ptCount val="3"/>
                <c:pt idx="0">
                  <c:v>24.048092238148232</c:v>
                </c:pt>
                <c:pt idx="1">
                  <c:v>25.422557515157781</c:v>
                </c:pt>
                <c:pt idx="2">
                  <c:v>26.61565002780381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2-4C19-A4A1-CA33F2BF6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742-4C19-A4A1-CA33F2BF686C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molarity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4546967697026976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plots'!$AD$63:$AD$65</c:f>
              <c:numCache>
                <c:formatCode>0</c:formatCode>
                <c:ptCount val="3"/>
                <c:pt idx="0">
                  <c:v>20.801000000000002</c:v>
                </c:pt>
                <c:pt idx="1">
                  <c:v>18.109500000000001</c:v>
                </c:pt>
                <c:pt idx="2">
                  <c:v>19.160166666666669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F-45D2-8ADC-7B18D625D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plots'!$AC$69:$AC$71</c:f>
              <c:numCache>
                <c:formatCode>0</c:formatCode>
                <c:ptCount val="3"/>
                <c:pt idx="0">
                  <c:v>25.955150048208242</c:v>
                </c:pt>
                <c:pt idx="1">
                  <c:v>25.853411373087251</c:v>
                </c:pt>
                <c:pt idx="2">
                  <c:v>24.876253448458268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F-45D2-8ADC-7B18D625D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00F-45D2-8ADC-7B18D625DC5E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</a:p>
            </c:rich>
          </c:tx>
          <c:layout>
            <c:manualLayout>
              <c:xMode val="edge"/>
              <c:yMode val="edge"/>
              <c:x val="0.34546967697026976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plots'!$AD$63:$AD$65</c:f>
              <c:numCache>
                <c:formatCode>0</c:formatCode>
                <c:ptCount val="3"/>
                <c:pt idx="0">
                  <c:v>20.801000000000002</c:v>
                </c:pt>
                <c:pt idx="1">
                  <c:v>18.109500000000001</c:v>
                </c:pt>
                <c:pt idx="2">
                  <c:v>19.160166666666669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C-4816-82D3-FDE1AFE9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plots'!$AC$72:$AC$74</c:f>
              <c:numCache>
                <c:formatCode>0</c:formatCode>
                <c:ptCount val="3"/>
                <c:pt idx="0">
                  <c:v>24.809536642971398</c:v>
                </c:pt>
                <c:pt idx="1">
                  <c:v>26.017047268453165</c:v>
                </c:pt>
                <c:pt idx="2">
                  <c:v>25.259715869685266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C-4816-82D3-FDE1AFE9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1C-4816-82D3-FDE1AFE93CC0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FAgg/CAgg ratio</a:t>
                </a:r>
              </a:p>
            </c:rich>
          </c:tx>
          <c:layout>
            <c:manualLayout>
              <c:xMode val="edge"/>
              <c:yMode val="edge"/>
              <c:x val="0.34546967697026976"/>
              <c:y val="0.85092135119065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28 day CS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88303702701723008"/>
              <c:y val="0.15366385190833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plots'!$Z$58:$Z$59</c:f>
              <c:numCache>
                <c:formatCode>0</c:formatCode>
                <c:ptCount val="2"/>
                <c:pt idx="0">
                  <c:v>652.25555555555559</c:v>
                </c:pt>
                <c:pt idx="1">
                  <c:v>609.94444444444446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5-4770-A7C4-E3CB327D5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plots'!$Y$58:$Y$59</c:f>
              <c:numCache>
                <c:formatCode>0</c:formatCode>
                <c:ptCount val="2"/>
                <c:pt idx="0">
                  <c:v>56.115250273741331</c:v>
                </c:pt>
                <c:pt idx="1">
                  <c:v>55.634967300172754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5-4770-A7C4-E3CB327D5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95-4770-A7C4-E3CB327D54A4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 ratio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plots'!$Z$52:$Z$54</c:f>
              <c:numCache>
                <c:formatCode>0</c:formatCode>
                <c:ptCount val="3"/>
                <c:pt idx="0">
                  <c:v>578.83333333333337</c:v>
                </c:pt>
                <c:pt idx="1">
                  <c:v>668.41666666666663</c:v>
                </c:pt>
                <c:pt idx="2">
                  <c:v>646.05000000000007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3-4650-A8DF-B44DB9593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plots'!$Y$52:$Y$54</c:f>
              <c:numCache>
                <c:formatCode>0</c:formatCode>
                <c:ptCount val="3"/>
                <c:pt idx="0">
                  <c:v>55.091867694402488</c:v>
                </c:pt>
                <c:pt idx="1">
                  <c:v>56.442576160656337</c:v>
                </c:pt>
                <c:pt idx="2">
                  <c:v>56.090882505812289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3-4650-A8DF-B44DB9593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6D3-4650-A8DF-B44DB95936F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 type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565650882867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plots'!$Z$55:$Z$57</c:f>
              <c:numCache>
                <c:formatCode>0</c:formatCode>
                <c:ptCount val="3"/>
                <c:pt idx="0">
                  <c:v>560.33333333333337</c:v>
                </c:pt>
                <c:pt idx="1">
                  <c:v>617.80000000000007</c:v>
                </c:pt>
                <c:pt idx="2">
                  <c:v>715.16666666666663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7-4953-A8C3-5E52BB0E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plots'!$Y$55:$Y$57</c:f>
              <c:numCache>
                <c:formatCode>0</c:formatCode>
                <c:ptCount val="3"/>
                <c:pt idx="0">
                  <c:v>54.840678624826005</c:v>
                </c:pt>
                <c:pt idx="1">
                  <c:v>55.745444314350237</c:v>
                </c:pt>
                <c:pt idx="2">
                  <c:v>57.039203421694886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7-4953-A8C3-5E52BB0E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C47-4953-A8C3-5E52BB0E406C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 content (kg/cum)</a:t>
                </a:r>
              </a:p>
            </c:rich>
          </c:tx>
          <c:layout>
            <c:manualLayout>
              <c:xMode val="edge"/>
              <c:yMode val="edge"/>
              <c:x val="0.1845338977431564"/>
              <c:y val="0.867852562478836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plots'!$Z$60:$Z$62</c:f>
              <c:numCache>
                <c:formatCode>0</c:formatCode>
                <c:ptCount val="3"/>
                <c:pt idx="0">
                  <c:v>608.66666666666663</c:v>
                </c:pt>
                <c:pt idx="1">
                  <c:v>611.16666666666663</c:v>
                </c:pt>
                <c:pt idx="2">
                  <c:v>673.4666666666667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A-4903-9DE3-61F1E327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plots'!$Y$60:$Y$62</c:f>
              <c:numCache>
                <c:formatCode>0</c:formatCode>
                <c:ptCount val="3"/>
                <c:pt idx="0">
                  <c:v>55.472838707538187</c:v>
                </c:pt>
                <c:pt idx="1">
                  <c:v>55.675075641612437</c:v>
                </c:pt>
                <c:pt idx="2">
                  <c:v>56.477412011720503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A-4903-9DE3-61F1E327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92A-4903-9DE3-61F1E327EF6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Act/Pr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424159934977349"/>
              <c:y val="0.8565650882867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plots'!$Z$63:$Z$65</c:f>
              <c:numCache>
                <c:formatCode>0</c:formatCode>
                <c:ptCount val="3"/>
                <c:pt idx="0">
                  <c:v>613.25</c:v>
                </c:pt>
                <c:pt idx="1">
                  <c:v>616.05000000000007</c:v>
                </c:pt>
                <c:pt idx="2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4-4672-8676-0AFBFC61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plots'!$Y$63:$Y$65</c:f>
              <c:numCache>
                <c:formatCode>0</c:formatCode>
                <c:ptCount val="3"/>
                <c:pt idx="0">
                  <c:v>55.579538898627298</c:v>
                </c:pt>
                <c:pt idx="1">
                  <c:v>55.715051276903374</c:v>
                </c:pt>
                <c:pt idx="2">
                  <c:v>56.330736185340463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4-4672-8676-0AFBFC61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B74-4672-8676-0AFBFC6187D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424159934977349"/>
              <c:y val="0.8565650882867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plots'!$Z$66:$Z$68</c:f>
              <c:numCache>
                <c:formatCode>0</c:formatCode>
                <c:ptCount val="3"/>
                <c:pt idx="0">
                  <c:v>614.55000000000007</c:v>
                </c:pt>
                <c:pt idx="1">
                  <c:v>641.25</c:v>
                </c:pt>
                <c:pt idx="2">
                  <c:v>637.5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9-48F8-9CA3-A01AEFE23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plots'!$Y$66:$Y$68</c:f>
              <c:numCache>
                <c:formatCode>0</c:formatCode>
                <c:ptCount val="3"/>
                <c:pt idx="0">
                  <c:v>55.550589779956063</c:v>
                </c:pt>
                <c:pt idx="1">
                  <c:v>56.064020961487763</c:v>
                </c:pt>
                <c:pt idx="2">
                  <c:v>56.010715619427295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9-48F8-9CA3-A01AEFE23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3B9-48F8-9CA3-A01AEFE23D57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 molarity</a:t>
                </a:r>
              </a:p>
            </c:rich>
          </c:tx>
          <c:layout>
            <c:manualLayout>
              <c:xMode val="edge"/>
              <c:yMode val="edge"/>
              <c:x val="0.33424159934977349"/>
              <c:y val="0.8565650882867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plots'!$Z$69:$Z$71</c:f>
              <c:numCache>
                <c:formatCode>0</c:formatCode>
                <c:ptCount val="3"/>
                <c:pt idx="0">
                  <c:v>600.58333333333337</c:v>
                </c:pt>
                <c:pt idx="1">
                  <c:v>653.25</c:v>
                </c:pt>
                <c:pt idx="2">
                  <c:v>662.88333333333333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3-445B-B767-162B15AB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plots'!$Y$69:$Y$71</c:f>
              <c:numCache>
                <c:formatCode>0</c:formatCode>
                <c:ptCount val="3"/>
                <c:pt idx="0">
                  <c:v>55.389667174004337</c:v>
                </c:pt>
                <c:pt idx="1">
                  <c:v>56.264422115604809</c:v>
                </c:pt>
                <c:pt idx="2">
                  <c:v>56.330937618832642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3-445B-B767-162B15AB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D63-445B-B767-162B15ABC221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424159934977349"/>
              <c:y val="0.8565650882867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SF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plots'!$Z$63:$Z$65</c:f>
              <c:numCache>
                <c:formatCode>0</c:formatCode>
                <c:ptCount val="3"/>
                <c:pt idx="0">
                  <c:v>613.25</c:v>
                </c:pt>
                <c:pt idx="1">
                  <c:v>616.05000000000007</c:v>
                </c:pt>
                <c:pt idx="2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6-40DD-96B3-57D53E5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plots'!$Y$72:$Y$74</c:f>
              <c:numCache>
                <c:formatCode>0</c:formatCode>
                <c:ptCount val="3"/>
                <c:pt idx="0">
                  <c:v>55.74892556479886</c:v>
                </c:pt>
                <c:pt idx="1">
                  <c:v>56.256635286631905</c:v>
                </c:pt>
                <c:pt idx="2">
                  <c:v>55.619765509440363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6-40DD-96B3-57D53E5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E26-40DD-96B3-57D53E56AB9B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FAgg/CAgg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7810121124729209"/>
              <c:y val="0.84527761409458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58"/>
          <c:min val="5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725"/>
          <c:min val="5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SF (mm)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plots'!$AB$58:$AB$59</c:f>
              <c:numCache>
                <c:formatCode>0</c:formatCode>
                <c:ptCount val="2"/>
                <c:pt idx="0">
                  <c:v>7.5625</c:v>
                </c:pt>
                <c:pt idx="1">
                  <c:v>9.974444444444444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D-49A6-BFC4-1A3F8F6C7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plots'!$AA$58:$AA$59</c:f>
              <c:numCache>
                <c:formatCode>0</c:formatCode>
                <c:ptCount val="2"/>
                <c:pt idx="0">
                  <c:v>-16.601584972678388</c:v>
                </c:pt>
                <c:pt idx="1">
                  <c:v>-19.005755520620514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D-49A6-BFC4-1A3F8F6C7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BD-49A6-BFC4-1A3F8F6C7AA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 ratio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plots'!$AB$52:$AB$54</c:f>
              <c:numCache>
                <c:formatCode>0</c:formatCode>
                <c:ptCount val="3"/>
                <c:pt idx="0">
                  <c:v>12.288</c:v>
                </c:pt>
                <c:pt idx="1">
                  <c:v>5.1966666666666663</c:v>
                </c:pt>
                <c:pt idx="2">
                  <c:v>9.6083333333333343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B-4BB2-AA03-5362E28E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plots'!$AA$52:$AA$54</c:f>
              <c:numCache>
                <c:formatCode>0</c:formatCode>
                <c:ptCount val="3"/>
                <c:pt idx="0">
                  <c:v>-20.512733428506994</c:v>
                </c:pt>
                <c:pt idx="1">
                  <c:v>-14.123036732055581</c:v>
                </c:pt>
                <c:pt idx="2">
                  <c:v>-19.427098655357209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B-4BB2-AA03-5362E28E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10B-4BB2-AA03-5362E28E69C7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type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1927082918911176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plots'!$AB$55:$AB$57</c:f>
              <c:numCache>
                <c:formatCode>0</c:formatCode>
                <c:ptCount val="3"/>
                <c:pt idx="0">
                  <c:v>8.1280000000000001</c:v>
                </c:pt>
                <c:pt idx="1">
                  <c:v>10.161666666666665</c:v>
                </c:pt>
                <c:pt idx="2">
                  <c:v>8.11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A-475D-A8C9-E7684520C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plots'!$AA$55:$AA$57</c:f>
              <c:numCache>
                <c:formatCode>0</c:formatCode>
                <c:ptCount val="3"/>
                <c:pt idx="0">
                  <c:v>-18.066896930788435</c:v>
                </c:pt>
                <c:pt idx="1">
                  <c:v>-19.100175824044978</c:v>
                </c:pt>
                <c:pt idx="2">
                  <c:v>-16.488156644799943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A-475D-A8C9-E7684520C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F2A-475D-A8C9-E7684520C10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content (kg/cum)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107327455243144"/>
              <c:y val="0.84527761409458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988131059438582"/>
          <c:y val="0.17785237583556193"/>
          <c:w val="0.587798460878216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plots'!$AB$60:$AB$62</c:f>
              <c:numCache>
                <c:formatCode>0</c:formatCode>
                <c:ptCount val="3"/>
                <c:pt idx="0">
                  <c:v>10.318</c:v>
                </c:pt>
                <c:pt idx="1">
                  <c:v>10.06</c:v>
                </c:pt>
                <c:pt idx="2">
                  <c:v>6.3866666666666676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C-4A2D-988A-D13B44BCE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plots'!$AA$60:$AA$62</c:f>
              <c:numCache>
                <c:formatCode>0</c:formatCode>
                <c:ptCount val="3"/>
                <c:pt idx="0">
                  <c:v>-19.43429473635133</c:v>
                </c:pt>
                <c:pt idx="1">
                  <c:v>-19.168803736267897</c:v>
                </c:pt>
                <c:pt idx="2">
                  <c:v>-15.280030561274609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C-4A2D-988A-D13B44BCE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2EC-4A2D-988A-D13B44BCEA05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Act/Pr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4546967697026976"/>
              <c:y val="0.84527761409458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71222723232585"/>
          <c:y val="0.17785237583556193"/>
          <c:w val="0.61096804308049302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plots'!$AB$63:$AB$65</c:f>
              <c:numCache>
                <c:formatCode>0</c:formatCode>
                <c:ptCount val="3"/>
                <c:pt idx="0">
                  <c:v>7.8719999999999999</c:v>
                </c:pt>
                <c:pt idx="1">
                  <c:v>10.053333333333333</c:v>
                </c:pt>
                <c:pt idx="2">
                  <c:v>8.4316666666666666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D-45A8-A888-741094B9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plots'!$AA$63:$AA$65</c:f>
              <c:numCache>
                <c:formatCode>0</c:formatCode>
                <c:ptCount val="3"/>
                <c:pt idx="0">
                  <c:v>-16.758520193441733</c:v>
                </c:pt>
                <c:pt idx="1">
                  <c:v>-19.129147614485642</c:v>
                </c:pt>
                <c:pt idx="2">
                  <c:v>-17.549498802148197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D-45A8-A888-741094B9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43D-45A8-A888-741094B97566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 ratio</a:t>
                </a:r>
              </a:p>
            </c:rich>
          </c:tx>
          <c:layout>
            <c:manualLayout>
              <c:xMode val="edge"/>
              <c:yMode val="edge"/>
              <c:x val="0.34546967697026976"/>
              <c:y val="0.84527761409458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04272121449484"/>
          <c:y val="0.17785237583556193"/>
          <c:w val="0.62263727798392055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plots'!$AB$66:$AB$68</c:f>
              <c:numCache>
                <c:formatCode>0</c:formatCode>
                <c:ptCount val="3"/>
                <c:pt idx="0">
                  <c:v>8.9280000000000008</c:v>
                </c:pt>
                <c:pt idx="1">
                  <c:v>8.7899999999999991</c:v>
                </c:pt>
                <c:pt idx="2">
                  <c:v>8.5616666666666656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7-4127-B8ED-2A9019A5F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plots'!$AA$66:$AA$68</c:f>
              <c:numCache>
                <c:formatCode>0</c:formatCode>
                <c:ptCount val="3"/>
                <c:pt idx="0">
                  <c:v>-17.830521203716973</c:v>
                </c:pt>
                <c:pt idx="1">
                  <c:v>-18.218197712313486</c:v>
                </c:pt>
                <c:pt idx="2">
                  <c:v>-17.281902852120549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7-4127-B8ED-2A9019A5F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0B7-4127-B8ED-2A9019A5F96B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 molarity</a:t>
                </a:r>
              </a:p>
            </c:rich>
          </c:tx>
          <c:layout>
            <c:manualLayout>
              <c:xMode val="edge"/>
              <c:yMode val="edge"/>
              <c:x val="0.32301352172927722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70634536755964"/>
          <c:y val="0.17785237583556193"/>
          <c:w val="0.61097352208982392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plots'!$AB$69:$AB$71</c:f>
              <c:numCache>
                <c:formatCode>0</c:formatCode>
                <c:ptCount val="3"/>
                <c:pt idx="0">
                  <c:v>9.5</c:v>
                </c:pt>
                <c:pt idx="1">
                  <c:v>9.2483333333333331</c:v>
                </c:pt>
                <c:pt idx="2">
                  <c:v>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C-4247-B1D9-7AE7F2AD7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plots'!$AA$69:$AA$71</c:f>
              <c:numCache>
                <c:formatCode>0</c:formatCode>
                <c:ptCount val="3"/>
                <c:pt idx="0">
                  <c:v>-18.312988546812374</c:v>
                </c:pt>
                <c:pt idx="1">
                  <c:v>-18.354710012549159</c:v>
                </c:pt>
                <c:pt idx="2">
                  <c:v>-17.028546109609145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C-4247-B1D9-7AE7F2AD7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4BC-4247-B1D9-7AE7F2AD72C9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</a:p>
            </c:rich>
          </c:tx>
          <c:layout>
            <c:manualLayout>
              <c:xMode val="edge"/>
              <c:yMode val="edge"/>
              <c:x val="0.32301352172927722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409784574555074"/>
          <c:y val="0.17785237583556193"/>
          <c:w val="0.60358225186493097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T500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plots'!$AB$72:$AB$74</c:f>
              <c:numCache>
                <c:formatCode>0</c:formatCode>
                <c:ptCount val="3"/>
                <c:pt idx="0">
                  <c:v>7.0640000000000018</c:v>
                </c:pt>
                <c:pt idx="1">
                  <c:v>10.01</c:v>
                </c:pt>
                <c:pt idx="2">
                  <c:v>9.1483333333333317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8-4E42-A755-3DD0AF0F9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plots'!$AA$72:$AA$74</c:f>
              <c:numCache>
                <c:formatCode>0</c:formatCode>
                <c:ptCount val="3"/>
                <c:pt idx="0">
                  <c:v>-16.63255021744434</c:v>
                </c:pt>
                <c:pt idx="1">
                  <c:v>-19.142072465866661</c:v>
                </c:pt>
                <c:pt idx="2">
                  <c:v>-17.641548930765008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8-4E42-A755-3DD0AF0F9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768-4E42-A755-3DD0AF0F909D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FAgg/CAgg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</a:t>
                </a: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atio</a:t>
                </a:r>
              </a:p>
            </c:rich>
          </c:tx>
          <c:layout>
            <c:manualLayout>
              <c:xMode val="edge"/>
              <c:yMode val="edge"/>
              <c:x val="0.27810121124729209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-13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3"/>
          <c:min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T500 (s)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plots'!$AF$58:$AF$59</c:f>
              <c:numCache>
                <c:formatCode>0</c:formatCode>
                <c:ptCount val="2"/>
                <c:pt idx="0">
                  <c:v>9.6588888888888889</c:v>
                </c:pt>
                <c:pt idx="1">
                  <c:v>13.745555555555555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B-4C3E-A6EA-F8EDF8769C18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plots'!$AD$58:$AD$59</c:f>
              <c:numCache>
                <c:formatCode>0</c:formatCode>
                <c:ptCount val="2"/>
                <c:pt idx="0">
                  <c:v>15.863222222222223</c:v>
                </c:pt>
                <c:pt idx="1">
                  <c:v>22.850555555555555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B-4C3E-A6EA-F8EDF876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val>
            <c:numRef>
              <c:f>'results and SN plots'!$AE$58:$AE$59</c:f>
              <c:numCache>
                <c:formatCode>0</c:formatCode>
                <c:ptCount val="2"/>
                <c:pt idx="0">
                  <c:v>19.475866165386265</c:v>
                </c:pt>
                <c:pt idx="1">
                  <c:v>22.581826240560062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C3E-A6EA-F8EDF8769C18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plots'!$AC$58:$AC$59</c:f>
              <c:numCache>
                <c:formatCode>0</c:formatCode>
                <c:ptCount val="2"/>
                <c:pt idx="0">
                  <c:v>23.721309120856372</c:v>
                </c:pt>
                <c:pt idx="1">
                  <c:v>27.002890733216844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3B-4C3E-A6EA-F8EDF876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3B-4C3E-A6EA-F8EDF8769C18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 ratio</a:t>
                </a:r>
              </a:p>
            </c:rich>
          </c:tx>
          <c:layout>
            <c:manualLayout>
              <c:xMode val="edge"/>
              <c:yMode val="edge"/>
              <c:x val="0.34858012988132847"/>
              <c:y val="0.87481941243487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plots'!$AF$52:$AF$54</c:f>
              <c:numCache>
                <c:formatCode>0</c:formatCode>
                <c:ptCount val="3"/>
                <c:pt idx="0">
                  <c:v>12.660000000000002</c:v>
                </c:pt>
                <c:pt idx="1">
                  <c:v>10.533333333333333</c:v>
                </c:pt>
                <c:pt idx="2">
                  <c:v>11.913333333333334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8-44B8-A2AB-5D2222221CEA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plots'!$AD$52:$AD$54</c:f>
              <c:numCache>
                <c:formatCode>0</c:formatCode>
                <c:ptCount val="3"/>
                <c:pt idx="0">
                  <c:v>20.811833333333336</c:v>
                </c:pt>
                <c:pt idx="1">
                  <c:v>17.526666666666667</c:v>
                </c:pt>
                <c:pt idx="2">
                  <c:v>19.732166666666668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8-44B8-A2AB-5D2222221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plots'!$AE$52:$AE$54</c:f>
              <c:numCache>
                <c:formatCode>0</c:formatCode>
                <c:ptCount val="3"/>
                <c:pt idx="0">
                  <c:v>21.574917838283767</c:v>
                </c:pt>
                <c:pt idx="1">
                  <c:v>20.138713040289399</c:v>
                </c:pt>
                <c:pt idx="2">
                  <c:v>21.372907730346327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8-44B8-A2AB-5D2222221CEA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plots'!$AC$52:$AC$54</c:f>
              <c:numCache>
                <c:formatCode>0</c:formatCode>
                <c:ptCount val="3"/>
                <c:pt idx="0">
                  <c:v>25.788424529437076</c:v>
                </c:pt>
                <c:pt idx="1">
                  <c:v>24.552960052665821</c:v>
                </c:pt>
                <c:pt idx="2">
                  <c:v>25.744915199006929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8-44B8-A2AB-5D2222221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AF8-44B8-A2AB-5D2222221CEA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 type</a:t>
                </a:r>
              </a:p>
            </c:rich>
          </c:tx>
          <c:layout>
            <c:manualLayout>
              <c:xMode val="edge"/>
              <c:yMode val="edge"/>
              <c:x val="0.34858012988132847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plots'!$AF$55:$AF$57</c:f>
              <c:numCache>
                <c:formatCode>0</c:formatCode>
                <c:ptCount val="3"/>
                <c:pt idx="0">
                  <c:v>9.9233333333333338</c:v>
                </c:pt>
                <c:pt idx="1">
                  <c:v>12.355000000000002</c:v>
                </c:pt>
                <c:pt idx="2">
                  <c:v>12.828333333333333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6-4E28-B0C8-CFC10B22F6D6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plots'!$AD$55:$AD$57</c:f>
              <c:numCache>
                <c:formatCode>0</c:formatCode>
                <c:ptCount val="3"/>
                <c:pt idx="0">
                  <c:v>16.236000000000001</c:v>
                </c:pt>
                <c:pt idx="1">
                  <c:v>20.698333333333334</c:v>
                </c:pt>
                <c:pt idx="2">
                  <c:v>21.136333333333337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6-4E28-B0C8-CFC10B22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plots'!$AE$55:$AE$57</c:f>
              <c:numCache>
                <c:formatCode>0</c:formatCode>
                <c:ptCount val="3"/>
                <c:pt idx="0">
                  <c:v>19.57029578402901</c:v>
                </c:pt>
                <c:pt idx="1">
                  <c:v>21.43158326060875</c:v>
                </c:pt>
                <c:pt idx="2">
                  <c:v>22.084659564281736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6-4E28-B0C8-CFC10B22F6D6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plots'!$AC$55:$AC$57</c:f>
              <c:numCache>
                <c:formatCode>0</c:formatCode>
                <c:ptCount val="3"/>
                <c:pt idx="0">
                  <c:v>23.75553076258343</c:v>
                </c:pt>
                <c:pt idx="1">
                  <c:v>25.950337875230414</c:v>
                </c:pt>
                <c:pt idx="2">
                  <c:v>26.38043114329599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26-4E28-B0C8-CFC10B22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E26-4E28-B0C8-CFC10B22F6D6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content (kg/cum)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4902460219783665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plots'!$AF$60:$AF$62</c:f>
              <c:numCache>
                <c:formatCode>0</c:formatCode>
                <c:ptCount val="3"/>
                <c:pt idx="0">
                  <c:v>12.233333333333334</c:v>
                </c:pt>
                <c:pt idx="1">
                  <c:v>10.948333333333332</c:v>
                </c:pt>
                <c:pt idx="2">
                  <c:v>11.924999999999999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D-4AFF-941A-2DD71A7EA857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plots'!$AD$60:$AD$62</c:f>
              <c:numCache>
                <c:formatCode>0</c:formatCode>
                <c:ptCount val="3"/>
                <c:pt idx="0">
                  <c:v>19.818333333333332</c:v>
                </c:pt>
                <c:pt idx="1">
                  <c:v>19.020666666666667</c:v>
                </c:pt>
                <c:pt idx="2">
                  <c:v>19.231666666666669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D-4AFF-941A-2DD71A7E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plots'!$AE$60:$AE$62</c:f>
              <c:numCache>
                <c:formatCode>0</c:formatCode>
                <c:ptCount val="3"/>
                <c:pt idx="0">
                  <c:v>21.087344274627267</c:v>
                </c:pt>
                <c:pt idx="1">
                  <c:v>20.626405925490406</c:v>
                </c:pt>
                <c:pt idx="2">
                  <c:v>21.372788408801821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0D-4AFF-941A-2DD71A7EA857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plots'!$AC$60:$AC$62</c:f>
              <c:numCache>
                <c:formatCode>0</c:formatCode>
                <c:ptCount val="3"/>
                <c:pt idx="0">
                  <c:v>25.137654156457003</c:v>
                </c:pt>
                <c:pt idx="1">
                  <c:v>25.445485885107285</c:v>
                </c:pt>
                <c:pt idx="2">
                  <c:v>25.503159739545538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0D-4AFF-941A-2DD71A7E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10D-4AFF-941A-2DD71A7EA857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Act/Pr ratio</a:t>
                </a:r>
              </a:p>
            </c:rich>
          </c:tx>
          <c:layout>
            <c:manualLayout>
              <c:xMode val="edge"/>
              <c:yMode val="edge"/>
              <c:x val="0.38413567548257554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7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plots'!$AF$63:$AF$65</c:f>
              <c:numCache>
                <c:formatCode>0</c:formatCode>
                <c:ptCount val="3"/>
                <c:pt idx="0">
                  <c:v>12.746666666666668</c:v>
                </c:pt>
                <c:pt idx="1">
                  <c:v>10.751666666666665</c:v>
                </c:pt>
                <c:pt idx="2">
                  <c:v>11.608333333333334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F-4BA0-A529-D76F5ECF9C08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plots'!$AD$63:$AD$65</c:f>
              <c:numCache>
                <c:formatCode>0</c:formatCode>
                <c:ptCount val="3"/>
                <c:pt idx="0">
                  <c:v>20.801000000000002</c:v>
                </c:pt>
                <c:pt idx="1">
                  <c:v>18.109500000000001</c:v>
                </c:pt>
                <c:pt idx="2">
                  <c:v>19.160166666666669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F-4BA0-A529-D76F5ECF9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plots'!$AE$63:$AE$65</c:f>
              <c:numCache>
                <c:formatCode>0</c:formatCode>
                <c:ptCount val="3"/>
                <c:pt idx="0">
                  <c:v>21.672875066374999</c:v>
                </c:pt>
                <c:pt idx="1">
                  <c:v>20.199102719715537</c:v>
                </c:pt>
                <c:pt idx="2">
                  <c:v>21.214560822828961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F-4BA0-A529-D76F5ECF9C08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plots'!$AC$63:$AC$65</c:f>
              <c:numCache>
                <c:formatCode>0</c:formatCode>
                <c:ptCount val="3"/>
                <c:pt idx="0">
                  <c:v>25.795447519625057</c:v>
                </c:pt>
                <c:pt idx="1">
                  <c:v>24.698138864454606</c:v>
                </c:pt>
                <c:pt idx="2">
                  <c:v>25.592713397030167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1F-4BA0-A529-D76F5ECF9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71F-4BA0-A529-D76F5ECF9C08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7702456636232612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7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plots'!$AF$66:$AF$68</c:f>
              <c:numCache>
                <c:formatCode>0</c:formatCode>
                <c:ptCount val="3"/>
                <c:pt idx="0">
                  <c:v>10.285</c:v>
                </c:pt>
                <c:pt idx="1">
                  <c:v>11.731666666666667</c:v>
                </c:pt>
                <c:pt idx="2">
                  <c:v>13.090000000000003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A-4C43-8766-690B664F566F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plots'!$AD$66:$AD$68</c:f>
              <c:numCache>
                <c:formatCode>0</c:formatCode>
                <c:ptCount val="3"/>
                <c:pt idx="0">
                  <c:v>16.655666666666665</c:v>
                </c:pt>
                <c:pt idx="1">
                  <c:v>19.504833333333334</c:v>
                </c:pt>
                <c:pt idx="2">
                  <c:v>21.910166666666669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A-4C43-8766-690B664F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plots'!$AE$66:$AE$68</c:f>
              <c:numCache>
                <c:formatCode>0</c:formatCode>
                <c:ptCount val="3"/>
                <c:pt idx="0">
                  <c:v>19.98773657852772</c:v>
                </c:pt>
                <c:pt idx="1">
                  <c:v>20.984128599325995</c:v>
                </c:pt>
                <c:pt idx="2">
                  <c:v>22.114673431065778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A-4C43-8766-690B664F566F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plots'!$AC$66:$AC$68</c:f>
              <c:numCache>
                <c:formatCode>0</c:formatCode>
                <c:ptCount val="3"/>
                <c:pt idx="0">
                  <c:v>24.048092238148232</c:v>
                </c:pt>
                <c:pt idx="1">
                  <c:v>25.422557515157781</c:v>
                </c:pt>
                <c:pt idx="2">
                  <c:v>26.61565002780381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8A-4C43-8766-690B664F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28A-4C43-8766-690B664F566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 molarity</a:t>
                </a:r>
              </a:p>
            </c:rich>
          </c:tx>
          <c:layout>
            <c:manualLayout>
              <c:xMode val="edge"/>
              <c:yMode val="edge"/>
              <c:x val="0.37702456636232612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7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plots'!$AF$69:$AF$71</c:f>
              <c:numCache>
                <c:formatCode>0</c:formatCode>
                <c:ptCount val="3"/>
                <c:pt idx="0">
                  <c:v>12.598333333333334</c:v>
                </c:pt>
                <c:pt idx="1">
                  <c:v>11.861666666666666</c:v>
                </c:pt>
                <c:pt idx="2">
                  <c:v>11.454999999999998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0-44E7-9CF2-25DAFD27482F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plots'!$AD$69:$AD$71</c:f>
              <c:numCache>
                <c:formatCode>0</c:formatCode>
                <c:ptCount val="3"/>
                <c:pt idx="0">
                  <c:v>20.712833333333336</c:v>
                </c:pt>
                <c:pt idx="1">
                  <c:v>19.91</c:v>
                </c:pt>
                <c:pt idx="2">
                  <c:v>18.934666666666669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0-44E7-9CF2-25DAFD274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plots'!$AE$69:$AE$71</c:f>
              <c:numCache>
                <c:formatCode>0</c:formatCode>
                <c:ptCount val="3"/>
                <c:pt idx="0">
                  <c:v>21.763964795874575</c:v>
                </c:pt>
                <c:pt idx="1">
                  <c:v>21.322791343693186</c:v>
                </c:pt>
                <c:pt idx="2">
                  <c:v>20.535214448965061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0-44E7-9CF2-25DAFD27482F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plots'!$AC$69:$AC$71</c:f>
              <c:numCache>
                <c:formatCode>0</c:formatCode>
                <c:ptCount val="3"/>
                <c:pt idx="0">
                  <c:v>25.955150048208242</c:v>
                </c:pt>
                <c:pt idx="1">
                  <c:v>25.853411373087251</c:v>
                </c:pt>
                <c:pt idx="2">
                  <c:v>24.876253448458268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0-44E7-9CF2-25DAFD274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710-44E7-9CF2-25DAFD27482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</a:p>
            </c:rich>
          </c:tx>
          <c:layout>
            <c:manualLayout>
              <c:xMode val="edge"/>
              <c:yMode val="edge"/>
              <c:x val="0.37702456636232612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7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15991058068077"/>
          <c:y val="0.23909652970477072"/>
          <c:w val="0.68894348459314569"/>
          <c:h val="0.57205674666552908"/>
        </c:manualLayout>
      </c:layout>
      <c:barChart>
        <c:barDir val="col"/>
        <c:grouping val="clustered"/>
        <c:varyColors val="0"/>
        <c:ser>
          <c:idx val="2"/>
          <c:order val="2"/>
          <c:tx>
            <c:v>Mean 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 and SN plots'!$AF$72:$AF$74</c:f>
              <c:numCache>
                <c:formatCode>0</c:formatCode>
                <c:ptCount val="3"/>
                <c:pt idx="0">
                  <c:v>11.071666666666667</c:v>
                </c:pt>
                <c:pt idx="1">
                  <c:v>12.488333333333335</c:v>
                </c:pt>
                <c:pt idx="2">
                  <c:v>11.546666666666667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919-882B-FBCA6239B588}"/>
            </c:ext>
          </c:extLst>
        </c:ser>
        <c:ser>
          <c:idx val="3"/>
          <c:order val="3"/>
          <c:tx>
            <c:v>Mean 28 day CS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plots'!$AD$72:$AD$74</c:f>
              <c:numCache>
                <c:formatCode>0</c:formatCode>
                <c:ptCount val="3"/>
                <c:pt idx="0">
                  <c:v>18.151833333333332</c:v>
                </c:pt>
                <c:pt idx="1">
                  <c:v>20.762499999999999</c:v>
                </c:pt>
                <c:pt idx="2">
                  <c:v>19.156333333333333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8-4919-882B-FBCA6239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4"/>
          <c:order val="0"/>
          <c:tx>
            <c:v>Mean S/N of 7 day CS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22225">
                <a:solidFill>
                  <a:schemeClr val="accent5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plots'!$AE$72:$AE$74</c:f>
              <c:numCache>
                <c:formatCode>0</c:formatCode>
                <c:ptCount val="3"/>
                <c:pt idx="0">
                  <c:v>20.647963654768585</c:v>
                </c:pt>
                <c:pt idx="1">
                  <c:v>21.550167724547848</c:v>
                </c:pt>
                <c:pt idx="2">
                  <c:v>20.888407229603061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48-4919-882B-FBCA6239B588}"/>
            </c:ext>
          </c:extLst>
        </c:ser>
        <c:ser>
          <c:idx val="1"/>
          <c:order val="1"/>
          <c:tx>
            <c:v>Mean S/N of 28 day CS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plots'!$AC$72:$AC$74</c:f>
              <c:numCache>
                <c:formatCode>0</c:formatCode>
                <c:ptCount val="3"/>
                <c:pt idx="0">
                  <c:v>24.809536642971398</c:v>
                </c:pt>
                <c:pt idx="1">
                  <c:v>26.017047268453165</c:v>
                </c:pt>
                <c:pt idx="2">
                  <c:v>25.259715869685266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48-4919-882B-FBCA6239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4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248-4919-882B-FBCA6239B588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FAgg/CAgg ratio</a:t>
                </a:r>
              </a:p>
            </c:rich>
          </c:tx>
          <c:layout>
            <c:manualLayout>
              <c:xMode val="edge"/>
              <c:yMode val="edge"/>
              <c:x val="0.34858012988132847"/>
              <c:y val="0.89131409829025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374530715305E-2"/>
              <c:y val="0.34044176892427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27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CS value </a:t>
                </a: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(MPa)</a:t>
                </a:r>
              </a:p>
            </c:rich>
          </c:tx>
          <c:layout>
            <c:manualLayout>
              <c:xMode val="edge"/>
              <c:yMode val="edge"/>
              <c:x val="0.92339739677413213"/>
              <c:y val="0.25573730964212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4.6637102883172153E-2"/>
          <c:w val="1"/>
          <c:h val="0.16197352048202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98997627848958E-2"/>
          <c:y val="2.5569883051035417E-2"/>
          <c:w val="0.90112966677557416"/>
          <c:h val="0.78100334601696697"/>
        </c:manualLayout>
      </c:layout>
      <c:barChart>
        <c:barDir val="col"/>
        <c:grouping val="clustered"/>
        <c:varyColors val="0"/>
        <c:ser>
          <c:idx val="2"/>
          <c:order val="0"/>
          <c:tx>
            <c:v>7 day CS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plots'!$AI$25:$AI$42</c:f>
              <c:numCache>
                <c:formatCode>0.00</c:formatCode>
                <c:ptCount val="18"/>
                <c:pt idx="0">
                  <c:v>7.4</c:v>
                </c:pt>
                <c:pt idx="1">
                  <c:v>8.7200000000000006</c:v>
                </c:pt>
                <c:pt idx="2">
                  <c:v>11.42</c:v>
                </c:pt>
                <c:pt idx="3">
                  <c:v>6.09</c:v>
                </c:pt>
                <c:pt idx="4">
                  <c:v>10.97</c:v>
                </c:pt>
                <c:pt idx="5">
                  <c:v>10.199999999999999</c:v>
                </c:pt>
                <c:pt idx="6">
                  <c:v>10.23</c:v>
                </c:pt>
                <c:pt idx="7">
                  <c:v>8.34</c:v>
                </c:pt>
                <c:pt idx="8">
                  <c:v>13.56</c:v>
                </c:pt>
                <c:pt idx="9">
                  <c:v>13.24</c:v>
                </c:pt>
                <c:pt idx="10">
                  <c:v>19.87</c:v>
                </c:pt>
                <c:pt idx="11">
                  <c:v>15.31</c:v>
                </c:pt>
                <c:pt idx="12">
                  <c:v>8.9</c:v>
                </c:pt>
                <c:pt idx="13">
                  <c:v>14.67</c:v>
                </c:pt>
                <c:pt idx="14">
                  <c:v>12.37</c:v>
                </c:pt>
                <c:pt idx="15">
                  <c:v>13.68</c:v>
                </c:pt>
                <c:pt idx="16">
                  <c:v>11.56</c:v>
                </c:pt>
                <c:pt idx="17">
                  <c:v>14.11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1-412F-BC7A-6AA3DAD07AA0}"/>
            </c:ext>
          </c:extLst>
        </c:ser>
        <c:ser>
          <c:idx val="1"/>
          <c:order val="1"/>
          <c:tx>
            <c:v>28 day CS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plots'!$AG$25:$AG$42</c:f>
              <c:numCache>
                <c:formatCode>0.00</c:formatCode>
                <c:ptCount val="18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9.8450000000000006</c:v>
                </c:pt>
                <c:pt idx="4">
                  <c:v>19.558000000000003</c:v>
                </c:pt>
                <c:pt idx="5">
                  <c:v>16.005000000000003</c:v>
                </c:pt>
                <c:pt idx="6">
                  <c:v>17.996000000000002</c:v>
                </c:pt>
                <c:pt idx="7">
                  <c:v>13.321</c:v>
                </c:pt>
                <c:pt idx="8">
                  <c:v>21.725000000000001</c:v>
                </c:pt>
                <c:pt idx="9">
                  <c:v>21.417000000000002</c:v>
                </c:pt>
                <c:pt idx="10">
                  <c:v>32.725000000000001</c:v>
                </c:pt>
                <c:pt idx="11">
                  <c:v>26.41</c:v>
                </c:pt>
                <c:pt idx="12">
                  <c:v>15.455000000000002</c:v>
                </c:pt>
                <c:pt idx="13">
                  <c:v>23.881000000000004</c:v>
                </c:pt>
                <c:pt idx="14">
                  <c:v>20.416</c:v>
                </c:pt>
                <c:pt idx="15">
                  <c:v>22.605000000000004</c:v>
                </c:pt>
                <c:pt idx="16">
                  <c:v>18.645</c:v>
                </c:pt>
                <c:pt idx="17">
                  <c:v>24.101000000000003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1-412F-BC7A-6AA3DAD07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80928"/>
        <c:axId val="236981760"/>
      </c:barChart>
      <c:catAx>
        <c:axId val="2369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layout>
            <c:manualLayout>
              <c:xMode val="edge"/>
              <c:yMode val="edge"/>
              <c:x val="0.43986890016766966"/>
              <c:y val="0.84280293347717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270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1760"/>
        <c:crosses val="autoZero"/>
        <c:auto val="0"/>
        <c:lblAlgn val="ctr"/>
        <c:lblOffset val="50"/>
        <c:noMultiLvlLbl val="0"/>
      </c:catAx>
      <c:valAx>
        <c:axId val="236981760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092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53961521483868"/>
          <c:y val="4.5455032406663459E-2"/>
          <c:w val="0.26317911999335175"/>
          <c:h val="0.115676596274745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sideWall>
    <c:back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backWall>
    <c:plotArea>
      <c:layout>
        <c:manualLayout>
          <c:layoutTarget val="inner"/>
          <c:xMode val="edge"/>
          <c:yMode val="edge"/>
          <c:x val="9.4425552777540306E-2"/>
          <c:y val="2.5569883051035417E-2"/>
          <c:w val="0.88340315204893649"/>
          <c:h val="0.78100334601696697"/>
        </c:manualLayout>
      </c:layout>
      <c:bar3DChart>
        <c:barDir val="col"/>
        <c:grouping val="standard"/>
        <c:varyColors val="0"/>
        <c:ser>
          <c:idx val="1"/>
          <c:order val="0"/>
          <c:tx>
            <c:v>SF value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plots'!$AK$25:$AK$42</c:f>
              <c:numCache>
                <c:formatCode>0</c:formatCode>
                <c:ptCount val="18"/>
                <c:pt idx="0">
                  <c:v>403</c:v>
                </c:pt>
                <c:pt idx="1">
                  <c:v>616</c:v>
                </c:pt>
                <c:pt idx="2">
                  <c:v>775</c:v>
                </c:pt>
                <c:pt idx="3">
                  <c:v>524</c:v>
                </c:pt>
                <c:pt idx="4">
                  <c:v>642</c:v>
                </c:pt>
                <c:pt idx="5">
                  <c:v>759</c:v>
                </c:pt>
                <c:pt idx="6">
                  <c:v>624</c:v>
                </c:pt>
                <c:pt idx="7">
                  <c:v>740.30000000000007</c:v>
                </c:pt>
                <c:pt idx="8">
                  <c:v>787</c:v>
                </c:pt>
                <c:pt idx="9">
                  <c:v>567</c:v>
                </c:pt>
                <c:pt idx="10">
                  <c:v>540</c:v>
                </c:pt>
                <c:pt idx="11">
                  <c:v>572</c:v>
                </c:pt>
                <c:pt idx="12">
                  <c:v>710</c:v>
                </c:pt>
                <c:pt idx="13">
                  <c:v>665.5</c:v>
                </c:pt>
                <c:pt idx="14">
                  <c:v>710</c:v>
                </c:pt>
                <c:pt idx="15">
                  <c:v>534</c:v>
                </c:pt>
                <c:pt idx="16">
                  <c:v>503</c:v>
                </c:pt>
                <c:pt idx="17">
                  <c:v>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A-4940-AE32-A5A57AB0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980928"/>
        <c:axId val="236981760"/>
        <c:axId val="241623488"/>
      </c:bar3DChart>
      <c:catAx>
        <c:axId val="2369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layout>
            <c:manualLayout>
              <c:xMode val="edge"/>
              <c:yMode val="edge"/>
              <c:x val="0.43986890016766966"/>
              <c:y val="0.84280293347717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270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1760"/>
        <c:crosses val="autoZero"/>
        <c:auto val="0"/>
        <c:lblAlgn val="ctr"/>
        <c:lblOffset val="50"/>
        <c:noMultiLvlLbl val="0"/>
      </c:catAx>
      <c:valAx>
        <c:axId val="236981760"/>
        <c:scaling>
          <c:orientation val="minMax"/>
          <c:max val="80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SF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0928"/>
        <c:crosses val="autoZero"/>
        <c:crossBetween val="between"/>
        <c:majorUnit val="100"/>
        <c:minorUnit val="50"/>
      </c:valAx>
      <c:serAx>
        <c:axId val="241623488"/>
        <c:scaling>
          <c:orientation val="minMax"/>
        </c:scaling>
        <c:delete val="1"/>
        <c:axPos val="b"/>
        <c:majorTickMark val="out"/>
        <c:minorTickMark val="none"/>
        <c:tickLblPos val="nextTo"/>
        <c:crossAx val="236981760"/>
        <c:crosses val="autoZero"/>
      </c:serAx>
      <c:spPr>
        <a:noFill/>
        <a:ln>
          <a:noFill/>
        </a:ln>
        <a:effectLst>
          <a:glow rad="38100">
            <a:schemeClr val="accent1">
              <a:alpha val="40000"/>
            </a:schemeClr>
          </a:glow>
        </a:effectLst>
      </c:spPr>
    </c:plotArea>
    <c:legend>
      <c:legendPos val="t"/>
      <c:layout>
        <c:manualLayout>
          <c:xMode val="edge"/>
          <c:yMode val="edge"/>
          <c:x val="0.3953961521483868"/>
          <c:y val="4.5455032406663459E-2"/>
          <c:w val="0.2259360191771155"/>
          <c:h val="0.1376416519363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50" b="1">
                <a:latin typeface="Times New Roman" panose="02020603050405020304" pitchFamily="18" charset="0"/>
                <a:cs typeface="Times New Roman" panose="02020603050405020304" pitchFamily="18" charset="0"/>
              </a:rPr>
              <a:t>NA</a:t>
            </a:r>
          </a:p>
        </c:rich>
      </c:tx>
      <c:layout>
        <c:manualLayout>
          <c:xMode val="edge"/>
          <c:yMode val="edge"/>
          <c:x val="0.10299971204295519"/>
          <c:y val="0.483643955415654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sideWall>
    <c:back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backWall>
    <c:plotArea>
      <c:layout>
        <c:manualLayout>
          <c:layoutTarget val="inner"/>
          <c:xMode val="edge"/>
          <c:yMode val="edge"/>
          <c:x val="8.5586749452142147E-2"/>
          <c:y val="2.5569883051035417E-2"/>
          <c:w val="0.89224195003466789"/>
          <c:h val="0.78100334601696697"/>
        </c:manualLayout>
      </c:layout>
      <c:bar3DChart>
        <c:barDir val="col"/>
        <c:grouping val="standard"/>
        <c:varyColors val="0"/>
        <c:ser>
          <c:idx val="1"/>
          <c:order val="0"/>
          <c:tx>
            <c:v>T500 time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plots'!$AM$25:$AM$42</c:f>
              <c:numCache>
                <c:formatCode>General</c:formatCode>
                <c:ptCount val="18"/>
                <c:pt idx="0">
                  <c:v>0</c:v>
                </c:pt>
                <c:pt idx="1">
                  <c:v>14</c:v>
                </c:pt>
                <c:pt idx="2">
                  <c:v>3.3</c:v>
                </c:pt>
                <c:pt idx="3">
                  <c:v>6.12</c:v>
                </c:pt>
                <c:pt idx="4">
                  <c:v>5</c:v>
                </c:pt>
                <c:pt idx="5">
                  <c:v>3.78</c:v>
                </c:pt>
                <c:pt idx="6">
                  <c:v>8.8000000000000007</c:v>
                </c:pt>
                <c:pt idx="7">
                  <c:v>8.3000000000000007</c:v>
                </c:pt>
                <c:pt idx="8">
                  <c:v>11.200000000000001</c:v>
                </c:pt>
                <c:pt idx="9">
                  <c:v>10.14</c:v>
                </c:pt>
                <c:pt idx="10">
                  <c:v>15.5</c:v>
                </c:pt>
                <c:pt idx="11">
                  <c:v>18.5</c:v>
                </c:pt>
                <c:pt idx="12">
                  <c:v>7.08</c:v>
                </c:pt>
                <c:pt idx="13">
                  <c:v>4.3</c:v>
                </c:pt>
                <c:pt idx="14">
                  <c:v>4.9000000000000004</c:v>
                </c:pt>
                <c:pt idx="15">
                  <c:v>8.5</c:v>
                </c:pt>
                <c:pt idx="16">
                  <c:v>13.87</c:v>
                </c:pt>
                <c:pt idx="17">
                  <c:v>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D-43B4-A8E7-969B7148F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980928"/>
        <c:axId val="236981760"/>
        <c:axId val="241623488"/>
      </c:bar3DChart>
      <c:catAx>
        <c:axId val="2369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layout>
            <c:manualLayout>
              <c:xMode val="edge"/>
              <c:yMode val="edge"/>
              <c:x val="0.43986890016766966"/>
              <c:y val="0.84280293347717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270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1760"/>
        <c:crosses val="autoZero"/>
        <c:auto val="0"/>
        <c:lblAlgn val="ctr"/>
        <c:lblOffset val="50"/>
        <c:noMultiLvlLbl val="0"/>
      </c:catAx>
      <c:valAx>
        <c:axId val="236981760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T500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0928"/>
        <c:crosses val="autoZero"/>
        <c:crossBetween val="between"/>
        <c:majorUnit val="5"/>
      </c:valAx>
      <c:serAx>
        <c:axId val="241623488"/>
        <c:scaling>
          <c:orientation val="minMax"/>
        </c:scaling>
        <c:delete val="1"/>
        <c:axPos val="b"/>
        <c:majorTickMark val="out"/>
        <c:minorTickMark val="none"/>
        <c:tickLblPos val="nextTo"/>
        <c:crossAx val="236981760"/>
        <c:crosses val="autoZero"/>
      </c:serAx>
      <c:spPr>
        <a:noFill/>
        <a:ln>
          <a:noFill/>
        </a:ln>
        <a:effectLst>
          <a:glow rad="38100">
            <a:schemeClr val="accent1">
              <a:alpha val="40000"/>
            </a:schemeClr>
          </a:glow>
        </a:effectLst>
      </c:spPr>
    </c:plotArea>
    <c:legend>
      <c:legendPos val="t"/>
      <c:layout>
        <c:manualLayout>
          <c:xMode val="edge"/>
          <c:yMode val="edge"/>
          <c:x val="0.3953961521483868"/>
          <c:y val="4.5455032406663459E-2"/>
          <c:w val="0.2259360191771155"/>
          <c:h val="0.1376416519363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sideWall>
    <c:back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backWall>
    <c:plotArea>
      <c:layout>
        <c:manualLayout>
          <c:layoutTarget val="inner"/>
          <c:xMode val="edge"/>
          <c:yMode val="edge"/>
          <c:x val="9.4425552777540306E-2"/>
          <c:y val="2.5569883051035417E-2"/>
          <c:w val="0.88340315204893649"/>
          <c:h val="0.78100334601696697"/>
        </c:manualLayout>
      </c:layout>
      <c:bar3DChart>
        <c:barDir val="col"/>
        <c:grouping val="standard"/>
        <c:varyColors val="0"/>
        <c:ser>
          <c:idx val="1"/>
          <c:order val="0"/>
          <c:tx>
            <c:v>VF time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plots'!$AP$25:$AP$42</c:f>
              <c:numCache>
                <c:formatCode>General</c:formatCode>
                <c:ptCount val="18"/>
                <c:pt idx="0">
                  <c:v>23</c:v>
                </c:pt>
                <c:pt idx="1">
                  <c:v>14</c:v>
                </c:pt>
                <c:pt idx="2">
                  <c:v>6</c:v>
                </c:pt>
                <c:pt idx="3">
                  <c:v>11.5</c:v>
                </c:pt>
                <c:pt idx="4">
                  <c:v>7</c:v>
                </c:pt>
                <c:pt idx="5">
                  <c:v>9</c:v>
                </c:pt>
                <c:pt idx="6">
                  <c:v>9.5</c:v>
                </c:pt>
                <c:pt idx="7">
                  <c:v>9.3000000000000007</c:v>
                </c:pt>
                <c:pt idx="8">
                  <c:v>13</c:v>
                </c:pt>
                <c:pt idx="9">
                  <c:v>13</c:v>
                </c:pt>
                <c:pt idx="10">
                  <c:v>22</c:v>
                </c:pt>
                <c:pt idx="11">
                  <c:v>29</c:v>
                </c:pt>
                <c:pt idx="12">
                  <c:v>9.5</c:v>
                </c:pt>
                <c:pt idx="13">
                  <c:v>7</c:v>
                </c:pt>
                <c:pt idx="14">
                  <c:v>9</c:v>
                </c:pt>
                <c:pt idx="15">
                  <c:v>9.5</c:v>
                </c:pt>
                <c:pt idx="16">
                  <c:v>17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6-475B-BC14-4DA15B45F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980928"/>
        <c:axId val="236981760"/>
        <c:axId val="241623488"/>
      </c:bar3DChart>
      <c:catAx>
        <c:axId val="2369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layout>
            <c:manualLayout>
              <c:xMode val="edge"/>
              <c:yMode val="edge"/>
              <c:x val="0.43986890016766966"/>
              <c:y val="0.84280293347717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270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1760"/>
        <c:crosses val="autoZero"/>
        <c:auto val="0"/>
        <c:lblAlgn val="ctr"/>
        <c:lblOffset val="50"/>
        <c:noMultiLvlLbl val="0"/>
      </c:catAx>
      <c:valAx>
        <c:axId val="236981760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VF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0928"/>
        <c:crosses val="autoZero"/>
        <c:crossBetween val="between"/>
        <c:majorUnit val="5"/>
      </c:valAx>
      <c:serAx>
        <c:axId val="241623488"/>
        <c:scaling>
          <c:orientation val="minMax"/>
        </c:scaling>
        <c:delete val="1"/>
        <c:axPos val="b"/>
        <c:majorTickMark val="out"/>
        <c:minorTickMark val="none"/>
        <c:tickLblPos val="nextTo"/>
        <c:crossAx val="236981760"/>
        <c:crosses val="autoZero"/>
      </c:serAx>
      <c:spPr>
        <a:noFill/>
        <a:ln>
          <a:noFill/>
        </a:ln>
        <a:effectLst>
          <a:glow rad="38100">
            <a:schemeClr val="accent1">
              <a:alpha val="40000"/>
            </a:schemeClr>
          </a:glow>
        </a:effectLst>
      </c:spPr>
    </c:plotArea>
    <c:legend>
      <c:legendPos val="t"/>
      <c:layout>
        <c:manualLayout>
          <c:xMode val="edge"/>
          <c:yMode val="edge"/>
          <c:x val="0.3953961521483868"/>
          <c:y val="4.5455032406663459E-2"/>
          <c:w val="0.2259360191771155"/>
          <c:h val="0.1376416519363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19658515947461"/>
          <c:y val="0.17785237583556193"/>
          <c:w val="0.534175812893947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plots'!$AJ$58:$AJ$59</c:f>
              <c:numCache>
                <c:formatCode>0.00</c:formatCode>
                <c:ptCount val="2"/>
                <c:pt idx="0">
                  <c:v>0.70077777777777783</c:v>
                </c:pt>
                <c:pt idx="1">
                  <c:v>0.51777777777777778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0-4FF5-9D02-BDAFC373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plots'!$X$58:$X$59</c:f>
              <c:numCache>
                <c:formatCode>_(* #,##0.00_);_(* \(#,##0.00\);_(* "-"??_);_(@_)</c:formatCode>
                <c:ptCount val="2"/>
                <c:pt idx="0">
                  <c:v>0.2</c:v>
                </c:pt>
                <c:pt idx="1">
                  <c:v>0.3</c:v>
                </c:pt>
              </c:numCache>
            </c:numRef>
          </c:cat>
          <c:val>
            <c:numRef>
              <c:f>'results and SN plots'!$AK$58:$AK$59</c:f>
              <c:numCache>
                <c:formatCode>0.00</c:formatCode>
                <c:ptCount val="2"/>
                <c:pt idx="0">
                  <c:v>-5.0750898636451769</c:v>
                </c:pt>
                <c:pt idx="1">
                  <c:v>-7.6953828551734347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0-4FF5-9D02-BDAFC373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plots'!$X$58:$X$59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"/>
                      <c:pt idx="0">
                        <c:v>0.2</c:v>
                      </c:pt>
                      <c:pt idx="1">
                        <c:v>0.3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B0-4FF5-9D02-BDAFC373B4A8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GGBS/Pr ratio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339901399024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75315256000988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_(* #,##0.00_);_(* \(#,##0.00\);_(* &quot;-&quot;??_);_(@_)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plots'!$AJ$52:$AJ$54</c:f>
              <c:numCache>
                <c:formatCode>0.00</c:formatCode>
                <c:ptCount val="3"/>
                <c:pt idx="0">
                  <c:v>0.44500000000000001</c:v>
                </c:pt>
                <c:pt idx="1">
                  <c:v>0.77700000000000002</c:v>
                </c:pt>
                <c:pt idx="2">
                  <c:v>0.60583333333333333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8-45C1-8CDA-01831176E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and SN plots'!$X$52:$X$54</c:f>
              <c:strCache>
                <c:ptCount val="3"/>
                <c:pt idx="0">
                  <c:v>FA</c:v>
                </c:pt>
                <c:pt idx="1">
                  <c:v>BA</c:v>
                </c:pt>
                <c:pt idx="2">
                  <c:v>RHA</c:v>
                </c:pt>
              </c:strCache>
            </c:strRef>
          </c:cat>
          <c:val>
            <c:numRef>
              <c:f>'results and SN plots'!$AK$52:$AK$54</c:f>
              <c:numCache>
                <c:formatCode>0.00</c:formatCode>
                <c:ptCount val="3"/>
                <c:pt idx="0">
                  <c:v>-10.105112428914582</c:v>
                </c:pt>
                <c:pt idx="1">
                  <c:v>-2.2361379116292368</c:v>
                </c:pt>
                <c:pt idx="2">
                  <c:v>-6.8144587376840979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8-45C1-8CDA-01831176E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'results and SN plots'!$X$52:$X$54</c15:sqref>
                        </c15:formulaRef>
                      </c:ext>
                    </c:extLst>
                    <c:strCache>
                      <c:ptCount val="3"/>
                      <c:pt idx="0">
                        <c:v>FA</c:v>
                      </c:pt>
                      <c:pt idx="1">
                        <c:v>BA</c:v>
                      </c:pt>
                      <c:pt idx="2">
                        <c:v>RHA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1A8-45C1-8CDA-01831176E998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type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1927082918911176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plots'!$AJ$55:$AJ$57</c:f>
              <c:numCache>
                <c:formatCode>0.00</c:formatCode>
                <c:ptCount val="3"/>
                <c:pt idx="0">
                  <c:v>0.5541666666666667</c:v>
                </c:pt>
                <c:pt idx="1">
                  <c:v>0.54</c:v>
                </c:pt>
                <c:pt idx="2">
                  <c:v>0.73366666666666658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1-461F-AA61-658D69FED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plots'!$AK$55:$AK$57</c:f>
              <c:numCache>
                <c:formatCode>0.00</c:formatCode>
                <c:ptCount val="3"/>
                <c:pt idx="0">
                  <c:v>-8.3275197923646633</c:v>
                </c:pt>
                <c:pt idx="1">
                  <c:v>-7.4286626503902582</c:v>
                </c:pt>
                <c:pt idx="2">
                  <c:v>-3.3995266354729936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1-461F-AA61-658D69FED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plots'!$X$55:$X$57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400</c:v>
                      </c:pt>
                      <c:pt idx="1">
                        <c:v>450</c:v>
                      </c:pt>
                      <c:pt idx="2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591-461F-AA61-658D69FED2A0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Precursor</a:t>
                </a:r>
                <a:r>
                  <a:rPr lang="en-IN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content (kg/cum)</a:t>
                </a:r>
                <a:endParaRPr lang="en-IN" sz="14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1927082918911176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plots'!$X$55:$X$57</c:f>
              <c:numCache>
                <c:formatCode>General</c:formatCode>
                <c:ptCount val="3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</c:numCache>
            </c:numRef>
          </c:cat>
          <c:val>
            <c:numRef>
              <c:f>'results and SN plots'!$AJ$60:$AJ$62</c:f>
              <c:numCache>
                <c:formatCode>0.00</c:formatCode>
                <c:ptCount val="3"/>
                <c:pt idx="0">
                  <c:v>0.58666666666666667</c:v>
                </c:pt>
                <c:pt idx="1">
                  <c:v>0.5525000000000001</c:v>
                </c:pt>
                <c:pt idx="2">
                  <c:v>0.68866666666666665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B-43B0-B1C6-B7C5DCD6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plots'!$X$60:$X$62</c:f>
              <c:numCache>
                <c:formatCode>General</c:formatCode>
                <c:ptCount val="3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</c:numCache>
            </c:numRef>
          </c:cat>
          <c:val>
            <c:numRef>
              <c:f>'results and SN plots'!$AK$60:$AK$62</c:f>
              <c:numCache>
                <c:formatCode>0.00</c:formatCode>
                <c:ptCount val="3"/>
                <c:pt idx="0">
                  <c:v>-7.7103981690687702</c:v>
                </c:pt>
                <c:pt idx="1">
                  <c:v>-7.495112942940648</c:v>
                </c:pt>
                <c:pt idx="2">
                  <c:v>-3.9501979662184978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B-43B0-B1C6-B7C5DCD6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plots'!$X$60:$X$62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0.45</c:v>
                      </c:pt>
                      <c:pt idx="1">
                        <c:v>0.55000000000000004</c:v>
                      </c:pt>
                      <c:pt idx="2">
                        <c:v>0.65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45B-43B0-B1C6-B7C5DCD6451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Act/Pr ratio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plots'!$AJ$63:$AJ$65</c:f>
              <c:numCache>
                <c:formatCode>0.00</c:formatCode>
                <c:ptCount val="3"/>
                <c:pt idx="0">
                  <c:v>0.57950000000000002</c:v>
                </c:pt>
                <c:pt idx="1">
                  <c:v>0.56833333333333336</c:v>
                </c:pt>
                <c:pt idx="2">
                  <c:v>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D-45BF-B493-280A2E3E4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plots'!$X$63:$X$65</c:f>
              <c:numCache>
                <c:formatCode>General</c:formatCode>
                <c:ptCount val="3"/>
                <c:pt idx="0">
                  <c:v>2</c:v>
                </c:pt>
                <c:pt idx="1">
                  <c:v>2.5</c:v>
                </c:pt>
                <c:pt idx="2">
                  <c:v>3</c:v>
                </c:pt>
              </c:numCache>
            </c:numRef>
          </c:cat>
          <c:val>
            <c:numRef>
              <c:f>'results and SN plots'!$AK$63:$AK$65</c:f>
              <c:numCache>
                <c:formatCode>0.00</c:formatCode>
                <c:ptCount val="3"/>
                <c:pt idx="0">
                  <c:v>-7.822369559341241</c:v>
                </c:pt>
                <c:pt idx="1">
                  <c:v>-6.0312318241499367</c:v>
                </c:pt>
                <c:pt idx="2">
                  <c:v>-5.3021076947367387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D-45BF-B493-280A2E3E4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plots'!$X$63:$X$65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</c:v>
                      </c:pt>
                      <c:pt idx="1">
                        <c:v>2.5</c:v>
                      </c:pt>
                      <c:pt idx="2">
                        <c:v>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0D-45BF-B493-280A2E3E4B22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SS/SH ratio</a:t>
                </a:r>
              </a:p>
            </c:rich>
          </c:tx>
          <c:layout>
            <c:manualLayout>
              <c:xMode val="edge"/>
              <c:yMode val="edge"/>
              <c:x val="0.31927082918911176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plots'!$AJ$66:$AJ$68</c:f>
              <c:numCache>
                <c:formatCode>0.00</c:formatCode>
                <c:ptCount val="3"/>
                <c:pt idx="0">
                  <c:v>0.48533333333333334</c:v>
                </c:pt>
                <c:pt idx="1">
                  <c:v>0.69999999999999984</c:v>
                </c:pt>
                <c:pt idx="2">
                  <c:v>0.64250000000000007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F-4AD9-8D22-2B86D965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plots'!$AK$66:$AK$68</c:f>
              <c:numCache>
                <c:formatCode>0.00</c:formatCode>
                <c:ptCount val="3"/>
                <c:pt idx="0">
                  <c:v>-11.085093832627793</c:v>
                </c:pt>
                <c:pt idx="1">
                  <c:v>-3.1997996703987091</c:v>
                </c:pt>
                <c:pt idx="2">
                  <c:v>-4.8708155752014131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F-4AD9-8D22-2B86D965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plots'!$X$66:$X$68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</c:v>
                      </c:pt>
                      <c:pt idx="1">
                        <c:v>12</c:v>
                      </c:pt>
                      <c:pt idx="2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4F-4AD9-8D22-2B86D965EE91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 Molarity</a:t>
                </a:r>
              </a:p>
            </c:rich>
          </c:tx>
          <c:layout>
            <c:manualLayout>
              <c:xMode val="edge"/>
              <c:yMode val="edge"/>
              <c:x val="0.35874453817974761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plots'!$X$66:$X$68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16</c:v>
                </c:pt>
              </c:numCache>
            </c:numRef>
          </c:cat>
          <c:val>
            <c:numRef>
              <c:f>'results and SN plots'!$AJ$69:$AJ$71</c:f>
              <c:numCache>
                <c:formatCode>0.00</c:formatCode>
                <c:ptCount val="3"/>
                <c:pt idx="0">
                  <c:v>0.45999999999999996</c:v>
                </c:pt>
                <c:pt idx="1">
                  <c:v>0.72116666666666662</c:v>
                </c:pt>
                <c:pt idx="2">
                  <c:v>0.74666666666666659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D-4ADC-BBDA-1CDCC55AB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plots'!$X$69:$X$71</c:f>
              <c:numCache>
                <c:formatCode>General</c:formatCode>
                <c:ptCount val="3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</c:numCache>
            </c:numRef>
          </c:cat>
          <c:val>
            <c:numRef>
              <c:f>'results and SN plots'!$AK$69:$AK$71</c:f>
              <c:numCache>
                <c:formatCode>0.00</c:formatCode>
                <c:ptCount val="3"/>
                <c:pt idx="0">
                  <c:v>-10.089120107070286</c:v>
                </c:pt>
                <c:pt idx="1">
                  <c:v>-2.9659396022099735</c:v>
                </c:pt>
                <c:pt idx="2">
                  <c:v>-3.0253843650010332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D-4ADC-BBDA-1CDCC55AB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plots'!$X$69:$X$71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0.34</c:v>
                      </c:pt>
                      <c:pt idx="1">
                        <c:v>0.36</c:v>
                      </c:pt>
                      <c:pt idx="2">
                        <c:v>0.38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8AD-4ADC-BBDA-1CDCC55ABB54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W/S ratio</a:t>
                </a:r>
              </a:p>
            </c:rich>
          </c:tx>
          <c:layout>
            <c:manualLayout>
              <c:xMode val="edge"/>
              <c:yMode val="edge"/>
              <c:x val="0.35874453817974761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46720856460658"/>
          <c:y val="0.17785237583556193"/>
          <c:w val="0.51605832655235673"/>
          <c:h val="0.57205674666552908"/>
        </c:manualLayout>
      </c:layout>
      <c:barChart>
        <c:barDir val="col"/>
        <c:grouping val="clustered"/>
        <c:varyColors val="0"/>
        <c:ser>
          <c:idx val="3"/>
          <c:order val="1"/>
          <c:tx>
            <c:v>Mean L box ratio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plots'!$AJ$72:$AJ$74</c:f>
              <c:numCache>
                <c:formatCode>0.00</c:formatCode>
                <c:ptCount val="3"/>
                <c:pt idx="0">
                  <c:v>0.67499999999999993</c:v>
                </c:pt>
                <c:pt idx="1">
                  <c:v>0.59199999999999997</c:v>
                </c:pt>
                <c:pt idx="2">
                  <c:v>0.56083333333333341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C-4BEF-9604-572FEC33E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0321728"/>
        <c:axId val="930345024"/>
      </c:barChart>
      <c:lineChart>
        <c:grouping val="standard"/>
        <c:varyColors val="0"/>
        <c:ser>
          <c:idx val="1"/>
          <c:order val="0"/>
          <c:tx>
            <c:v>Mean S/N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'results and SN plots'!$X$72:$X$74</c:f>
              <c:numCache>
                <c:formatCode>General</c:formatCode>
                <c:ptCount val="3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</c:numCache>
            </c:numRef>
          </c:cat>
          <c:val>
            <c:numRef>
              <c:f>'results and SN plots'!$AK$72:$AK$74</c:f>
              <c:numCache>
                <c:formatCode>0.00</c:formatCode>
                <c:ptCount val="3"/>
                <c:pt idx="0">
                  <c:v>-6.2867439608754649</c:v>
                </c:pt>
                <c:pt idx="1">
                  <c:v>-5.5231090866711989</c:v>
                </c:pt>
                <c:pt idx="2">
                  <c:v>-7.3458560306812517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C-4BEF-9604-572FEC33E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6079"/>
        <c:axId val="70676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'results and SN plots'!$X$72:$X$74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0.7</c:v>
                      </c:pt>
                      <c:pt idx="1">
                        <c:v>0.9</c:v>
                      </c:pt>
                      <c:pt idx="2">
                        <c:v>1.1000000000000001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'[1]for PPT'!$A$41:$A$43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45</c:v>
                      </c:pt>
                      <c:pt idx="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2C-4BEF-9604-572FEC33E49F}"/>
                  </c:ext>
                </c:extLst>
              </c15:ser>
            </c15:filteredLineSeries>
          </c:ext>
        </c:extLst>
      </c:lineChart>
      <c:catAx>
        <c:axId val="7067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FAgg/CAgg ratio</a:t>
                </a:r>
              </a:p>
            </c:rich>
          </c:tx>
          <c:layout>
            <c:manualLayout>
              <c:xMode val="edge"/>
              <c:yMode val="edge"/>
              <c:x val="0.35874453817974761"/>
              <c:y val="0.8283464028064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911"/>
        <c:crosses val="autoZero"/>
        <c:auto val="1"/>
        <c:lblAlgn val="ctr"/>
        <c:lblOffset val="0"/>
        <c:noMultiLvlLbl val="0"/>
      </c:catAx>
      <c:valAx>
        <c:axId val="70676911"/>
        <c:scaling>
          <c:orientation val="minMax"/>
          <c:max val="0"/>
          <c:min val="-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S/N ratio</a:t>
                </a:r>
              </a:p>
            </c:rich>
          </c:tx>
          <c:layout>
            <c:manualLayout>
              <c:xMode val="edge"/>
              <c:yMode val="edge"/>
              <c:x val="1.8573480105820949E-2"/>
              <c:y val="0.2536793166367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76079"/>
        <c:crosses val="autoZero"/>
        <c:crossBetween val="between"/>
      </c:valAx>
      <c:valAx>
        <c:axId val="930345024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2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Mean L box ratio</a:t>
                </a:r>
                <a:endParaRPr lang="en-IN" sz="12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052241209756111"/>
              <c:y val="0.255251119637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0321728"/>
        <c:crosses val="max"/>
        <c:crossBetween val="between"/>
      </c:valAx>
      <c:catAx>
        <c:axId val="93032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0345024"/>
        <c:crosses val="autoZero"/>
        <c:auto val="1"/>
        <c:lblAlgn val="ctr"/>
        <c:lblOffset val="100"/>
        <c:noMultiLvlLbl val="0"/>
      </c:catAx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9.8008773405517668E-2"/>
          <c:y val="1.6014881690383693E-2"/>
          <c:w val="0.83907541938048713"/>
          <c:h val="0.12049334261217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sideWall>
    <c:backWall>
      <c:thickness val="0"/>
      <c:spPr>
        <a:noFill/>
        <a:ln>
          <a:noFill/>
        </a:ln>
        <a:effectLst/>
        <a:scene3d>
          <a:camera prst="orthographicFront"/>
          <a:lightRig rig="threePt" dir="t"/>
        </a:scene3d>
        <a:sp3d prstMaterial="softEdge"/>
      </c:spPr>
    </c:backWall>
    <c:plotArea>
      <c:layout>
        <c:manualLayout>
          <c:layoutTarget val="inner"/>
          <c:xMode val="edge"/>
          <c:yMode val="edge"/>
          <c:x val="9.4425552777540306E-2"/>
          <c:y val="2.5569883051035417E-2"/>
          <c:w val="0.88340315204893649"/>
          <c:h val="0.78100334601696697"/>
        </c:manualLayout>
      </c:layout>
      <c:bar3DChart>
        <c:barDir val="col"/>
        <c:grouping val="standard"/>
        <c:varyColors val="0"/>
        <c:ser>
          <c:idx val="1"/>
          <c:order val="0"/>
          <c:tx>
            <c:v>LB ratio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'results and SN plots'!$A$4:$A$21</c:f>
              <c:strCache>
                <c:ptCount val="18"/>
                <c:pt idx="0">
                  <c:v>M1</c:v>
                </c:pt>
                <c:pt idx="1">
                  <c:v>M2</c:v>
                </c:pt>
                <c:pt idx="2">
                  <c:v>M3</c:v>
                </c:pt>
                <c:pt idx="3">
                  <c:v>M4</c:v>
                </c:pt>
                <c:pt idx="4">
                  <c:v>M5</c:v>
                </c:pt>
                <c:pt idx="5">
                  <c:v>M6</c:v>
                </c:pt>
                <c:pt idx="6">
                  <c:v>M7</c:v>
                </c:pt>
                <c:pt idx="7">
                  <c:v>M8</c:v>
                </c:pt>
                <c:pt idx="8">
                  <c:v>M9</c:v>
                </c:pt>
                <c:pt idx="9">
                  <c:v>M10</c:v>
                </c:pt>
                <c:pt idx="10">
                  <c:v>M11</c:v>
                </c:pt>
                <c:pt idx="11">
                  <c:v>M12</c:v>
                </c:pt>
                <c:pt idx="12">
                  <c:v>M13</c:v>
                </c:pt>
                <c:pt idx="13">
                  <c:v>M14</c:v>
                </c:pt>
                <c:pt idx="14">
                  <c:v>M15</c:v>
                </c:pt>
                <c:pt idx="15">
                  <c:v>M16</c:v>
                </c:pt>
                <c:pt idx="16">
                  <c:v>M17</c:v>
                </c:pt>
                <c:pt idx="17">
                  <c:v>M18</c:v>
                </c:pt>
              </c:strCache>
            </c:strRef>
          </c:cat>
          <c:val>
            <c:numRef>
              <c:f>'results and SN plots'!$AQ$25:$AQ$42</c:f>
              <c:numCache>
                <c:formatCode>General</c:formatCode>
                <c:ptCount val="18"/>
                <c:pt idx="0">
                  <c:v>0.04</c:v>
                </c:pt>
                <c:pt idx="1">
                  <c:v>0.53</c:v>
                </c:pt>
                <c:pt idx="2">
                  <c:v>0.88</c:v>
                </c:pt>
                <c:pt idx="3">
                  <c:v>0.73</c:v>
                </c:pt>
                <c:pt idx="4">
                  <c:v>0.82</c:v>
                </c:pt>
                <c:pt idx="5">
                  <c:v>0.84199999999999997</c:v>
                </c:pt>
                <c:pt idx="6">
                  <c:v>0.80500000000000005</c:v>
                </c:pt>
                <c:pt idx="7">
                  <c:v>0.87</c:v>
                </c:pt>
                <c:pt idx="8">
                  <c:v>0.79</c:v>
                </c:pt>
                <c:pt idx="9">
                  <c:v>0.67</c:v>
                </c:pt>
                <c:pt idx="10">
                  <c:v>0.31</c:v>
                </c:pt>
                <c:pt idx="11">
                  <c:v>0.24</c:v>
                </c:pt>
                <c:pt idx="12">
                  <c:v>0.84</c:v>
                </c:pt>
                <c:pt idx="13">
                  <c:v>0.63</c:v>
                </c:pt>
                <c:pt idx="14">
                  <c:v>0.8</c:v>
                </c:pt>
                <c:pt idx="15">
                  <c:v>0.24</c:v>
                </c:pt>
                <c:pt idx="16">
                  <c:v>0.08</c:v>
                </c:pt>
                <c:pt idx="17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7-4B9B-86C6-A597F1DD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980928"/>
        <c:axId val="236981760"/>
        <c:axId val="241623488"/>
      </c:bar3DChart>
      <c:catAx>
        <c:axId val="2369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Mix ID</a:t>
                </a:r>
              </a:p>
            </c:rich>
          </c:tx>
          <c:layout>
            <c:manualLayout>
              <c:xMode val="edge"/>
              <c:yMode val="edge"/>
              <c:x val="0.43986890016766966"/>
              <c:y val="0.84280293347717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270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1760"/>
        <c:crosses val="autoZero"/>
        <c:auto val="0"/>
        <c:lblAlgn val="ctr"/>
        <c:lblOffset val="50"/>
        <c:noMultiLvlLbl val="0"/>
      </c:catAx>
      <c:valAx>
        <c:axId val="2369817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LB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6980928"/>
        <c:crosses val="autoZero"/>
        <c:crossBetween val="between"/>
        <c:majorUnit val="0.2"/>
        <c:minorUnit val="0.1"/>
      </c:valAx>
      <c:serAx>
        <c:axId val="241623488"/>
        <c:scaling>
          <c:orientation val="minMax"/>
        </c:scaling>
        <c:delete val="1"/>
        <c:axPos val="b"/>
        <c:majorTickMark val="out"/>
        <c:minorTickMark val="none"/>
        <c:tickLblPos val="nextTo"/>
        <c:crossAx val="236981760"/>
        <c:crosses val="autoZero"/>
      </c:serAx>
      <c:spPr>
        <a:noFill/>
        <a:ln>
          <a:noFill/>
        </a:ln>
        <a:effectLst>
          <a:glow rad="38100">
            <a:schemeClr val="accent1">
              <a:alpha val="40000"/>
            </a:schemeClr>
          </a:glow>
        </a:effectLst>
      </c:spPr>
    </c:plotArea>
    <c:legend>
      <c:legendPos val="t"/>
      <c:layout>
        <c:manualLayout>
          <c:xMode val="edge"/>
          <c:yMode val="edge"/>
          <c:x val="0.3953961521483868"/>
          <c:y val="4.5455032406663459E-2"/>
          <c:w val="0.2259360191771155"/>
          <c:h val="0.1376416519363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(a) Percentage impact of parameters on 28 day CS</a:t>
            </a:r>
          </a:p>
        </c:rich>
      </c:tx>
      <c:layout>
        <c:manualLayout>
          <c:xMode val="edge"/>
          <c:yMode val="edge"/>
          <c:x val="8.7638565727229306E-2"/>
          <c:y val="0.9100231764002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46296952606947E-2"/>
          <c:y val="6.6670327746955527E-2"/>
          <c:w val="0.81388888888888888"/>
          <c:h val="0.56211140274132398"/>
        </c:manualLayout>
      </c:layout>
      <c:pie3DChart>
        <c:varyColors val="1"/>
        <c:ser>
          <c:idx val="0"/>
          <c:order val="0"/>
          <c:spPr>
            <a:ln w="12700"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12700">
                <a:solidFill>
                  <a:schemeClr val="tx1"/>
                </a:solidFill>
              </a:ln>
              <a:effectLst>
                <a:outerShdw blurRad="50800" dist="50800" dir="5400000" sx="198000" sy="198000" algn="ctr" rotWithShape="0">
                  <a:srgbClr val="000000">
                    <a:alpha val="43137"/>
                  </a:srgbClr>
                </a:outerShdw>
              </a:effectLst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9980-4647-9F74-B3E593A4227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D4A-4F1E-B6CE-0C88C7807A7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0-9980-4647-9F74-B3E593A422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6-9980-4647-9F74-B3E593A4227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D4A-4F1E-B6CE-0C88C7807A76}"/>
              </c:ext>
            </c:extLst>
          </c:dPt>
          <c:dPt>
            <c:idx val="5"/>
            <c:bubble3D val="0"/>
            <c:spPr>
              <a:solidFill>
                <a:srgbClr val="0066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9980-4647-9F74-B3E593A42279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9980-4647-9F74-B3E593A42279}"/>
              </c:ext>
            </c:extLst>
          </c:dPt>
          <c:dPt>
            <c:idx val="7"/>
            <c:bubble3D val="0"/>
            <c:spPr>
              <a:solidFill>
                <a:srgbClr val="66FF66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9980-4647-9F74-B3E593A42279}"/>
              </c:ext>
            </c:extLst>
          </c:dPt>
          <c:dLbls>
            <c:dLbl>
              <c:idx val="3"/>
              <c:layout>
                <c:manualLayout>
                  <c:x val="1.5640275309896045E-2"/>
                  <c:y val="3.7296031819681521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9980-4647-9F74-B3E593A42279}"/>
                </c:ext>
              </c:extLst>
            </c:dLbl>
            <c:dLbl>
              <c:idx val="6"/>
              <c:layout>
                <c:manualLayout>
                  <c:x val="2.0853700413194728E-2"/>
                  <c:y val="-3.7296031819682202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9980-4647-9F74-B3E593A42279}"/>
                </c:ext>
              </c:extLst>
            </c:dLbl>
            <c:dLbl>
              <c:idx val="7"/>
              <c:layout>
                <c:manualLayout>
                  <c:x val="2.8673838068142703E-2"/>
                  <c:y val="-3.729603181968237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9980-4647-9F74-B3E593A422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'Sensitivity analysis'!$A$60:$A$68</c15:sqref>
                  </c15:fullRef>
                </c:ext>
              </c:extLst>
              <c:f>'Sensitivity analysis'!$A$60:$A$67</c:f>
              <c:strCache>
                <c:ptCount val="8"/>
                <c:pt idx="0">
                  <c:v>Precursor type</c:v>
                </c:pt>
                <c:pt idx="1">
                  <c:v>Precursor content</c:v>
                </c:pt>
                <c:pt idx="2">
                  <c:v>GGBS/Pr</c:v>
                </c:pt>
                <c:pt idx="3">
                  <c:v>Act/Pr</c:v>
                </c:pt>
                <c:pt idx="4">
                  <c:v>SS/SH</c:v>
                </c:pt>
                <c:pt idx="5">
                  <c:v>SH Molarity</c:v>
                </c:pt>
                <c:pt idx="6">
                  <c:v>W/S</c:v>
                </c:pt>
                <c:pt idx="7">
                  <c:v>FAgg/CAgg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'Sensitivity analysis'!$B$60:$B$68</c15:sqref>
                  </c15:fullRef>
                </c:ext>
              </c:extLst>
              <c:f>'Sensitivity analysis'!$B$60:$B$67</c:f>
              <c:numCache>
                <c:formatCode>0%</c:formatCode>
                <c:ptCount val="8"/>
                <c:pt idx="0">
                  <c:v>5.2684766374698828E-2</c:v>
                </c:pt>
                <c:pt idx="1">
                  <c:v>0.21245715928719572</c:v>
                </c:pt>
                <c:pt idx="2">
                  <c:v>0.43286841117523067</c:v>
                </c:pt>
                <c:pt idx="3">
                  <c:v>4.1390181851782212E-3</c:v>
                </c:pt>
                <c:pt idx="4">
                  <c:v>3.6542313384891979E-2</c:v>
                </c:pt>
                <c:pt idx="5">
                  <c:v>0.17695402768693202</c:v>
                </c:pt>
                <c:pt idx="6">
                  <c:v>4.4438278124455444E-2</c:v>
                </c:pt>
                <c:pt idx="7">
                  <c:v>3.9916025781417085E-2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'Sensitivity analysis'!$B$68</c15:sqref>
                  <c15:spPr xmlns:c15="http://schemas.microsoft.com/office/drawing/2012/chart">
                    <a:solidFill>
                      <a:srgbClr val="00FFFF"/>
                    </a:solidFill>
                    <a:ln w="12700">
                      <a:solidFill>
                        <a:schemeClr val="tx1"/>
                      </a:solidFill>
                    </a:ln>
                    <a:effectLst/>
                    <a:sp3d contourW="12700">
                      <a:contourClr>
                        <a:schemeClr val="tx1"/>
                      </a:contourClr>
                    </a:sp3d>
                  </c15:spPr>
                  <c15:bubble3D val="0"/>
                  <c15:dLbl>
                    <c:idx val="7"/>
                    <c:layout>
                      <c:manualLayout>
                        <c:x val="3.388726317144148E-2"/>
                        <c:y val="3.7296031819682033E-3"/>
                      </c:manualLayout>
                    </c:layout>
                    <c:dLblPos val="bestFi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1F28-4FF9-98AD-C6B2678F05FA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9980-4647-9F74-B3E593A42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207549398790905E-2"/>
          <c:y val="0.66054561451526317"/>
          <c:w val="0.93558469574864789"/>
          <c:h val="0.24516590567099375"/>
        </c:manualLayout>
      </c:layout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(b) Percentage impact of parameters on SF</a:t>
            </a:r>
          </a:p>
        </c:rich>
      </c:tx>
      <c:layout>
        <c:manualLayout>
          <c:xMode val="edge"/>
          <c:yMode val="edge"/>
          <c:x val="8.7638565727229306E-2"/>
          <c:y val="0.9100231764002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46296952606947E-2"/>
          <c:y val="6.6670327746955527E-2"/>
          <c:w val="0.81388888888888888"/>
          <c:h val="0.56211140274132398"/>
        </c:manualLayout>
      </c:layout>
      <c:pie3DChart>
        <c:varyColors val="1"/>
        <c:ser>
          <c:idx val="0"/>
          <c:order val="0"/>
          <c:spPr>
            <a:ln w="12700"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285-44E2-8DED-31C3403F542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285-44E2-8DED-31C3403F542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285-44E2-8DED-31C3403F542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285-44E2-8DED-31C3403F542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285-44E2-8DED-31C3403F5429}"/>
              </c:ext>
            </c:extLst>
          </c:dPt>
          <c:dPt>
            <c:idx val="5"/>
            <c:bubble3D val="0"/>
            <c:spPr>
              <a:solidFill>
                <a:srgbClr val="0066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285-44E2-8DED-31C3403F5429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285-44E2-8DED-31C3403F5429}"/>
              </c:ext>
            </c:extLst>
          </c:dPt>
          <c:dPt>
            <c:idx val="7"/>
            <c:bubble3D val="0"/>
            <c:spPr>
              <a:solidFill>
                <a:srgbClr val="66FF66"/>
              </a:solidFill>
              <a:ln w="12700">
                <a:solidFill>
                  <a:schemeClr val="tx1"/>
                </a:solidFill>
              </a:ln>
              <a:effectLst/>
              <a:sp3d contourW="127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285-44E2-8DED-31C3403F5429}"/>
              </c:ext>
            </c:extLst>
          </c:dPt>
          <c:dLbls>
            <c:dLbl>
              <c:idx val="2"/>
              <c:layout>
                <c:manualLayout>
                  <c:x val="0"/>
                  <c:y val="-3.356642863771405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85-44E2-8DED-31C3403F5429}"/>
                </c:ext>
              </c:extLst>
            </c:dLbl>
            <c:dLbl>
              <c:idx val="3"/>
              <c:layout>
                <c:manualLayout>
                  <c:x val="7.8277886497064575E-3"/>
                  <c:y val="-8.951047636723731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85-44E2-8DED-31C3403F5429}"/>
                </c:ext>
              </c:extLst>
            </c:dLbl>
            <c:dLbl>
              <c:idx val="4"/>
              <c:layout>
                <c:manualLayout>
                  <c:x val="5.2185257664709717E-3"/>
                  <c:y val="-3.4187634229574054E-1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85-44E2-8DED-31C3403F5429}"/>
                </c:ext>
              </c:extLst>
            </c:dLbl>
            <c:dLbl>
              <c:idx val="5"/>
              <c:layout>
                <c:manualLayout>
                  <c:x val="1.3046314416177407E-2"/>
                  <c:y val="-1.491841272787289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85-44E2-8DED-31C3403F5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'Sensitivity analysis'!$J$60:$J$67</c:f>
              <c:strCache>
                <c:ptCount val="8"/>
                <c:pt idx="0">
                  <c:v>Precursor type</c:v>
                </c:pt>
                <c:pt idx="1">
                  <c:v>Precursor content</c:v>
                </c:pt>
                <c:pt idx="2">
                  <c:v>GGBS/Pr</c:v>
                </c:pt>
                <c:pt idx="3">
                  <c:v>Act/Pr</c:v>
                </c:pt>
                <c:pt idx="4">
                  <c:v>SS/SH</c:v>
                </c:pt>
                <c:pt idx="5">
                  <c:v>SH Molarity</c:v>
                </c:pt>
                <c:pt idx="6">
                  <c:v>W/S</c:v>
                </c:pt>
                <c:pt idx="7">
                  <c:v>FAgg/CAgg</c:v>
                </c:pt>
              </c:strCache>
            </c:strRef>
          </c:cat>
          <c:val>
            <c:numRef>
              <c:f>'Sensitivity analysis'!$K$60:$K$67</c:f>
              <c:numCache>
                <c:formatCode>0%</c:formatCode>
                <c:ptCount val="8"/>
                <c:pt idx="0">
                  <c:v>0.17975372103237661</c:v>
                </c:pt>
                <c:pt idx="1">
                  <c:v>0.44698000083891143</c:v>
                </c:pt>
                <c:pt idx="2">
                  <c:v>3.1666679868133756E-2</c:v>
                </c:pt>
                <c:pt idx="3">
                  <c:v>0.10334526149006783</c:v>
                </c:pt>
                <c:pt idx="4">
                  <c:v>5.8678403239145166E-2</c:v>
                </c:pt>
                <c:pt idx="5">
                  <c:v>2.9174733040840627E-2</c:v>
                </c:pt>
                <c:pt idx="6">
                  <c:v>0.10890871879577294</c:v>
                </c:pt>
                <c:pt idx="7">
                  <c:v>4.149248169475156E-2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85-44E2-8DED-31C3403F54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207549398790905E-2"/>
          <c:y val="0.66054561451526317"/>
          <c:w val="0.93558469574864789"/>
          <c:h val="0.24516590567099375"/>
        </c:manualLayout>
      </c:layout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(c) Percentage impact of parameters on T500</a:t>
            </a:r>
          </a:p>
        </c:rich>
      </c:tx>
      <c:layout>
        <c:manualLayout>
          <c:xMode val="edge"/>
          <c:yMode val="edge"/>
          <c:x val="8.7638565727229306E-2"/>
          <c:y val="0.9100231764002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46296952606947E-2"/>
          <c:y val="5.9211121383019087E-2"/>
          <c:w val="0.81388888888888888"/>
          <c:h val="0.56211140274132398"/>
        </c:manualLayout>
      </c:layout>
      <c:pie3D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386-4E74-BA25-FCF8303B9F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386-4E74-BA25-FCF8303B9FD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386-4E74-BA25-FCF8303B9FD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386-4E74-BA25-FCF8303B9FD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386-4E74-BA25-FCF8303B9FD1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386-4E74-BA25-FCF8303B9FD1}"/>
              </c:ext>
            </c:extLst>
          </c:dPt>
          <c:dPt>
            <c:idx val="6"/>
            <c:bubble3D val="0"/>
            <c:explosion val="3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386-4E74-BA25-FCF8303B9FD1}"/>
              </c:ext>
            </c:extLst>
          </c:dPt>
          <c:dPt>
            <c:idx val="7"/>
            <c:bubble3D val="0"/>
            <c:explosion val="4"/>
            <c:spPr>
              <a:solidFill>
                <a:srgbClr val="66FF66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386-4E74-BA25-FCF8303B9F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'Sensitivity analysis'!$S$60:$S$67</c:f>
              <c:strCache>
                <c:ptCount val="8"/>
                <c:pt idx="0">
                  <c:v>Precursor type</c:v>
                </c:pt>
                <c:pt idx="1">
                  <c:v>Precursor content</c:v>
                </c:pt>
                <c:pt idx="2">
                  <c:v>GGBS/Pr</c:v>
                </c:pt>
                <c:pt idx="3">
                  <c:v>Act/Pr</c:v>
                </c:pt>
                <c:pt idx="4">
                  <c:v>SS/SH</c:v>
                </c:pt>
                <c:pt idx="5">
                  <c:v>SH Molarity</c:v>
                </c:pt>
                <c:pt idx="6">
                  <c:v>W/S</c:v>
                </c:pt>
                <c:pt idx="7">
                  <c:v>FAgg/CAgg</c:v>
                </c:pt>
              </c:strCache>
            </c:strRef>
          </c:cat>
          <c:val>
            <c:numRef>
              <c:f>'Sensitivity analysis'!$T$60:$T$67</c:f>
              <c:numCache>
                <c:formatCode>0%</c:formatCode>
                <c:ptCount val="8"/>
                <c:pt idx="0">
                  <c:v>0.43664350478327663</c:v>
                </c:pt>
                <c:pt idx="1">
                  <c:v>7.3108582627428975E-2</c:v>
                </c:pt>
                <c:pt idx="2">
                  <c:v>9.3304342028432644E-2</c:v>
                </c:pt>
                <c:pt idx="3">
                  <c:v>0.20614640270936932</c:v>
                </c:pt>
                <c:pt idx="4">
                  <c:v>6.6534905237407738E-2</c:v>
                </c:pt>
                <c:pt idx="5">
                  <c:v>2.2759234186053853E-2</c:v>
                </c:pt>
                <c:pt idx="6">
                  <c:v>2.9496532090072573E-2</c:v>
                </c:pt>
                <c:pt idx="7">
                  <c:v>7.2006496337958359E-2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E74-BA25-FCF8303B9F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207549398790905E-2"/>
          <c:y val="0.66054561451526317"/>
          <c:w val="0.93558469574864789"/>
          <c:h val="0.24516590567099375"/>
        </c:manualLayout>
      </c:layout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(d) Percentage impact of parameters on VF time</a:t>
            </a:r>
          </a:p>
        </c:rich>
      </c:tx>
      <c:layout>
        <c:manualLayout>
          <c:xMode val="edge"/>
          <c:yMode val="edge"/>
          <c:x val="8.7638565727229306E-2"/>
          <c:y val="0.9100231764002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46296952606947E-2"/>
          <c:y val="5.9211121383019087E-2"/>
          <c:w val="0.81388888888888888"/>
          <c:h val="0.56211140274132398"/>
        </c:manualLayout>
      </c:layout>
      <c:pie3D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0AE-4382-B594-F589B0393E6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0AE-4382-B594-F589B0393E6D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0AE-4382-B594-F589B0393E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0AE-4382-B594-F589B0393E6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0AE-4382-B594-F589B0393E6D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0AE-4382-B594-F589B0393E6D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0AE-4382-B594-F589B0393E6D}"/>
              </c:ext>
            </c:extLst>
          </c:dPt>
          <c:dPt>
            <c:idx val="7"/>
            <c:bubble3D val="0"/>
            <c:spPr>
              <a:solidFill>
                <a:srgbClr val="66FF66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0AE-4382-B594-F589B0393E6D}"/>
              </c:ext>
            </c:extLst>
          </c:dPt>
          <c:dLbls>
            <c:dLbl>
              <c:idx val="1"/>
              <c:layout>
                <c:manualLayout>
                  <c:x val="1.7412935323383085E-2"/>
                  <c:y val="1.491841272787288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AE-4382-B594-F589B0393E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'Sensitivity analysis'!$AB$60:$AB$67</c:f>
              <c:strCache>
                <c:ptCount val="8"/>
                <c:pt idx="0">
                  <c:v>Precursor type</c:v>
                </c:pt>
                <c:pt idx="1">
                  <c:v>Precursor content</c:v>
                </c:pt>
                <c:pt idx="2">
                  <c:v>GGBS/Pr</c:v>
                </c:pt>
                <c:pt idx="3">
                  <c:v>Act/Pr</c:v>
                </c:pt>
                <c:pt idx="4">
                  <c:v>SS/SH</c:v>
                </c:pt>
                <c:pt idx="5">
                  <c:v>SH Molarity</c:v>
                </c:pt>
                <c:pt idx="6">
                  <c:v>W/S</c:v>
                </c:pt>
                <c:pt idx="7">
                  <c:v>FAgg/CAgg</c:v>
                </c:pt>
              </c:strCache>
            </c:strRef>
          </c:cat>
          <c:val>
            <c:numRef>
              <c:f>'Sensitivity analysis'!$AC$60:$AC$67</c:f>
              <c:numCache>
                <c:formatCode>0%</c:formatCode>
                <c:ptCount val="8"/>
                <c:pt idx="0">
                  <c:v>0.42392204003322964</c:v>
                </c:pt>
                <c:pt idx="1">
                  <c:v>1.6164527367638026E-2</c:v>
                </c:pt>
                <c:pt idx="2">
                  <c:v>4.0165740907421969E-2</c:v>
                </c:pt>
                <c:pt idx="3">
                  <c:v>0.24692414775303914</c:v>
                </c:pt>
                <c:pt idx="4">
                  <c:v>4.4546409108615244E-2</c:v>
                </c:pt>
                <c:pt idx="5">
                  <c:v>0.14982523162735881</c:v>
                </c:pt>
                <c:pt idx="6">
                  <c:v>5.6008548623221806E-2</c:v>
                </c:pt>
                <c:pt idx="7">
                  <c:v>2.2443354579475473E-2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AE-4382-B594-F589B0393E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207549398790905E-2"/>
          <c:y val="0.66054561451526317"/>
          <c:w val="0.93558469574864789"/>
          <c:h val="0.24516590567099375"/>
        </c:manualLayout>
      </c:layout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(d) Percentage impact of parameters on L</a:t>
            </a:r>
            <a:r>
              <a:rPr lang="en-IN" sz="1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box ratio</a:t>
            </a:r>
            <a:endParaRPr lang="en-IN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8.7638565727229306E-2"/>
          <c:y val="0.9100231764002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446296952606947E-2"/>
          <c:y val="5.9211121383019087E-2"/>
          <c:w val="0.81388888888888888"/>
          <c:h val="0.5621114027413239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FF00FF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258-4AC0-A2E3-E3610FEE4B0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258-4AC0-A2E3-E3610FEE4B0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258-4AC0-A2E3-E3610FEE4B0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258-4AC0-A2E3-E3610FEE4B0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258-4AC0-A2E3-E3610FEE4B07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258-4AC0-A2E3-E3610FEE4B07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258-4AC0-A2E3-E3610FEE4B07}"/>
              </c:ext>
            </c:extLst>
          </c:dPt>
          <c:dPt>
            <c:idx val="7"/>
            <c:bubble3D val="0"/>
            <c:spPr>
              <a:solidFill>
                <a:srgbClr val="66FF66"/>
              </a:solidFill>
              <a:ln>
                <a:solidFill>
                  <a:schemeClr val="tx1"/>
                </a:solidFill>
              </a:ln>
              <a:effectLst/>
              <a:sp3d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258-4AC0-A2E3-E3610FEE4B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'Sensitivity analysis'!$AN$59:$AN$66</c:f>
              <c:strCache>
                <c:ptCount val="8"/>
                <c:pt idx="0">
                  <c:v>Precursor type</c:v>
                </c:pt>
                <c:pt idx="1">
                  <c:v>Precursor content</c:v>
                </c:pt>
                <c:pt idx="2">
                  <c:v>GGBS/Pr</c:v>
                </c:pt>
                <c:pt idx="3">
                  <c:v>Act/Pr</c:v>
                </c:pt>
                <c:pt idx="4">
                  <c:v>SS/SH</c:v>
                </c:pt>
                <c:pt idx="5">
                  <c:v>SH Molarity</c:v>
                </c:pt>
                <c:pt idx="6">
                  <c:v>W/S</c:v>
                </c:pt>
                <c:pt idx="7">
                  <c:v>FAgg/CAgg</c:v>
                </c:pt>
              </c:strCache>
            </c:strRef>
          </c:cat>
          <c:val>
            <c:numRef>
              <c:f>'Sensitivity analysis'!$AO$59:$AO$66</c:f>
              <c:numCache>
                <c:formatCode>0%</c:formatCode>
                <c:ptCount val="8"/>
                <c:pt idx="0">
                  <c:v>0.23079026297947153</c:v>
                </c:pt>
                <c:pt idx="1">
                  <c:v>0.10178049328095588</c:v>
                </c:pt>
                <c:pt idx="2">
                  <c:v>3.8046343400402728E-2</c:v>
                </c:pt>
                <c:pt idx="3">
                  <c:v>6.5884754080959423E-2</c:v>
                </c:pt>
                <c:pt idx="4">
                  <c:v>2.4853474915811791E-2</c:v>
                </c:pt>
                <c:pt idx="5">
                  <c:v>0.25511598982919947</c:v>
                </c:pt>
                <c:pt idx="6">
                  <c:v>0.27114749396230581</c:v>
                </c:pt>
                <c:pt idx="7">
                  <c:v>1.2381187550893531E-2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258-4AC0-A2E3-E3610FEE4B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536863966770508E-3"/>
          <c:y val="0.66054561451526317"/>
          <c:w val="0.99373627362000305"/>
          <c:h val="0.24516590567099375"/>
        </c:manualLayout>
      </c:layout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Precursor (kg/cum)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64-4794-A49F-0CAD3CC18515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64-4794-A49F-0CAD3CC18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8912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Precursor (kg/cum)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8912"/>
        <c:crosses val="autoZero"/>
        <c:crossBetween val="midCat"/>
      </c:valAx>
      <c:valAx>
        <c:axId val="98335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GGBS/Pr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4A-47FE-956D-6490FBDCCECA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4A-47FE-956D-6490FBDCC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3088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GGBS/Pr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3088"/>
        <c:crosses val="autoZero"/>
        <c:crossBetween val="midCat"/>
      </c:valAx>
      <c:valAx>
        <c:axId val="983353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Alkali/Precursor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SCGPC'!$C$4:$C$9</c:f>
              <c:numCache>
                <c:formatCode>General</c:formatCode>
                <c:ptCount val="6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  <c:pt idx="3">
                  <c:v>0.65</c:v>
                </c:pt>
                <c:pt idx="4">
                  <c:v>0.45</c:v>
                </c:pt>
                <c:pt idx="5">
                  <c:v>0.55000000000000004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25-4417-9111-32522AE19B4B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SCGPC'!$C$4:$C$9</c:f>
              <c:numCache>
                <c:formatCode>General</c:formatCode>
                <c:ptCount val="6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  <c:pt idx="3">
                  <c:v>0.65</c:v>
                </c:pt>
                <c:pt idx="4">
                  <c:v>0.45</c:v>
                </c:pt>
                <c:pt idx="5">
                  <c:v>0.55000000000000004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25-4417-9111-32522AE1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968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Alkali/Precursor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968"/>
        <c:crosses val="autoZero"/>
        <c:crossBetween val="midCat"/>
      </c:valAx>
      <c:valAx>
        <c:axId val="983375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Silicate/Hydroxide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SCGPC'!$D$4:$D$9</c:f>
              <c:numCache>
                <c:formatCode>General</c:formatCode>
                <c:ptCount val="6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2.5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EE-449D-ABC3-BFF51011FFF8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SCGPC'!$D$4:$D$9</c:f>
              <c:numCache>
                <c:formatCode>General</c:formatCode>
                <c:ptCount val="6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2.5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EE-449D-ABC3-BFF51011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68480"/>
        <c:axId val="983365152"/>
      </c:scatterChart>
      <c:valAx>
        <c:axId val="98336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Silicate/Hydroxide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65152"/>
        <c:crosses val="autoZero"/>
        <c:crossBetween val="midCat"/>
      </c:valAx>
      <c:valAx>
        <c:axId val="983365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6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Molarity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SCGPC'!$E$4:$E$9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12</c:v>
                </c:pt>
                <c:pt idx="4">
                  <c:v>16</c:v>
                </c:pt>
                <c:pt idx="5">
                  <c:v>8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75-4375-BEAB-D553D836D620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SCGPC'!$E$4:$E$9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12</c:v>
                </c:pt>
                <c:pt idx="4">
                  <c:v>16</c:v>
                </c:pt>
                <c:pt idx="5">
                  <c:v>8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75-4375-BEAB-D553D836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6384"/>
        <c:axId val="983370560"/>
      </c:scatterChart>
      <c:valAx>
        <c:axId val="98337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0560"/>
        <c:crosses val="autoZero"/>
        <c:crossBetween val="midCat"/>
      </c:valAx>
      <c:valAx>
        <c:axId val="983370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Water/Solids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SCGPC'!$F$4:$F$9</c:f>
              <c:numCache>
                <c:formatCode>General</c:formatCode>
                <c:ptCount val="6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  <c:pt idx="3">
                  <c:v>0.36</c:v>
                </c:pt>
                <c:pt idx="4">
                  <c:v>0.38</c:v>
                </c:pt>
                <c:pt idx="5">
                  <c:v>0.34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51-49B8-BB7A-F905B26CC743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SCGPC'!$F$4:$F$9</c:f>
              <c:numCache>
                <c:formatCode>General</c:formatCode>
                <c:ptCount val="6"/>
                <c:pt idx="0">
                  <c:v>0.34</c:v>
                </c:pt>
                <c:pt idx="1">
                  <c:v>0.36</c:v>
                </c:pt>
                <c:pt idx="2">
                  <c:v>0.38</c:v>
                </c:pt>
                <c:pt idx="3">
                  <c:v>0.36</c:v>
                </c:pt>
                <c:pt idx="4">
                  <c:v>0.38</c:v>
                </c:pt>
                <c:pt idx="5">
                  <c:v>0.34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51-49B8-BB7A-F905B26CC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8048"/>
        <c:axId val="983376384"/>
      </c:scatterChart>
      <c:valAx>
        <c:axId val="9833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Water/Solids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6384"/>
        <c:crosses val="autoZero"/>
        <c:crossBetween val="midCat"/>
      </c:valAx>
      <c:valAx>
        <c:axId val="983376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Fine Aggregate/Coarse Aggregate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FA-GGBS SCGPC'!$G$4:$G$9</c:f>
              <c:numCache>
                <c:formatCode>General</c:formatCode>
                <c:ptCount val="6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  <c:pt idx="3">
                  <c:v>0.7</c:v>
                </c:pt>
                <c:pt idx="4">
                  <c:v>0.9</c:v>
                </c:pt>
                <c:pt idx="5">
                  <c:v>1.1000000000000001</c:v>
                </c:pt>
              </c:numCache>
            </c:numRef>
          </c:xVal>
          <c:yVal>
            <c:numRef>
              <c:f>'MLR FA-GGBS SCGPC'!$H$4:$H$9</c:f>
              <c:numCache>
                <c:formatCode>0.00</c:formatCode>
                <c:ptCount val="6"/>
                <c:pt idx="0">
                  <c:v>10.098000000000001</c:v>
                </c:pt>
                <c:pt idx="1">
                  <c:v>16.059999999999999</c:v>
                </c:pt>
                <c:pt idx="2">
                  <c:v>18.161000000000005</c:v>
                </c:pt>
                <c:pt idx="3">
                  <c:v>21.417000000000002</c:v>
                </c:pt>
                <c:pt idx="4">
                  <c:v>32.725000000000001</c:v>
                </c:pt>
                <c:pt idx="5">
                  <c:v>26.41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AB-4A13-9934-3809867932BF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FA-GGBS SCGPC'!$G$4:$G$9</c:f>
              <c:numCache>
                <c:formatCode>General</c:formatCode>
                <c:ptCount val="6"/>
                <c:pt idx="0">
                  <c:v>0.7</c:v>
                </c:pt>
                <c:pt idx="1">
                  <c:v>0.9</c:v>
                </c:pt>
                <c:pt idx="2">
                  <c:v>1.1000000000000001</c:v>
                </c:pt>
                <c:pt idx="3">
                  <c:v>0.7</c:v>
                </c:pt>
                <c:pt idx="4">
                  <c:v>0.9</c:v>
                </c:pt>
                <c:pt idx="5">
                  <c:v>1.1000000000000001</c:v>
                </c:pt>
              </c:numCache>
            </c:numRef>
          </c:xVal>
          <c:yVal>
            <c:numRef>
              <c:f>'MLR FA-GGBS SCGPC'!$B$176:$B$181</c:f>
              <c:numCache>
                <c:formatCode>General</c:formatCode>
                <c:ptCount val="6"/>
                <c:pt idx="0">
                  <c:v>10.937666666666654</c:v>
                </c:pt>
                <c:pt idx="1">
                  <c:v>13.882666666666658</c:v>
                </c:pt>
                <c:pt idx="2">
                  <c:v>16.827666666666659</c:v>
                </c:pt>
                <c:pt idx="3">
                  <c:v>19.949999999999989</c:v>
                </c:pt>
                <c:pt idx="4">
                  <c:v>30.323999999999995</c:v>
                </c:pt>
                <c:pt idx="5">
                  <c:v>23.00899999999999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AB-4A13-9934-38098679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552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Fine Aggregate/Coarse Aggregate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552"/>
        <c:crosses val="autoZero"/>
        <c:crossBetween val="midCat"/>
      </c:valAx>
      <c:valAx>
        <c:axId val="983375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Precursor (kg/cum)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E0-4EA8-91E4-F1B623914A02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E0-4EA8-91E4-F1B62391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8912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Precursor (kg/cum)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8912"/>
        <c:crosses val="autoZero"/>
        <c:crossBetween val="midCat"/>
      </c:valAx>
      <c:valAx>
        <c:axId val="98335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GGBS/Pr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3-45FB-A400-127ABABD5DCA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3-45FB-A400-127ABABD5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3088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GGBS/Pr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3088"/>
        <c:crosses val="autoZero"/>
        <c:crossBetween val="midCat"/>
      </c:valAx>
      <c:valAx>
        <c:axId val="983353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Alkali/Precursor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SCGPC'!$C$4:$C$9</c:f>
              <c:numCache>
                <c:formatCode>General</c:formatCode>
                <c:ptCount val="6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  <c:pt idx="3">
                  <c:v>0.55000000000000004</c:v>
                </c:pt>
                <c:pt idx="4">
                  <c:v>0.65</c:v>
                </c:pt>
                <c:pt idx="5">
                  <c:v>0.45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65-446C-8AB4-5C6C680CA3BE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SCGPC'!$C$4:$C$9</c:f>
              <c:numCache>
                <c:formatCode>General</c:formatCode>
                <c:ptCount val="6"/>
                <c:pt idx="0">
                  <c:v>0.45</c:v>
                </c:pt>
                <c:pt idx="1">
                  <c:v>0.55000000000000004</c:v>
                </c:pt>
                <c:pt idx="2">
                  <c:v>0.65</c:v>
                </c:pt>
                <c:pt idx="3">
                  <c:v>0.55000000000000004</c:v>
                </c:pt>
                <c:pt idx="4">
                  <c:v>0.65</c:v>
                </c:pt>
                <c:pt idx="5">
                  <c:v>0.45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65-446C-8AB4-5C6C680CA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968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Alkali/Precursor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968"/>
        <c:crosses val="autoZero"/>
        <c:crossBetween val="midCat"/>
      </c:valAx>
      <c:valAx>
        <c:axId val="983375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Silicate/Hydroxide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SCGPC'!$D$4:$D$9</c:f>
              <c:numCache>
                <c:formatCode>General</c:formatCode>
                <c:ptCount val="6"/>
                <c:pt idx="0">
                  <c:v>2.5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2.5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1-43ED-A554-9B9C0A96FF9C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SCGPC'!$D$4:$D$9</c:f>
              <c:numCache>
                <c:formatCode>General</c:formatCode>
                <c:ptCount val="6"/>
                <c:pt idx="0">
                  <c:v>2.5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2.5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1-43ED-A554-9B9C0A96F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68480"/>
        <c:axId val="983365152"/>
      </c:scatterChart>
      <c:valAx>
        <c:axId val="98336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Silicate/Hydroxide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65152"/>
        <c:crosses val="autoZero"/>
        <c:crossBetween val="midCat"/>
      </c:valAx>
      <c:valAx>
        <c:axId val="983365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6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Molarity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SCGPC'!$E$4:$E$9</c:f>
              <c:numCache>
                <c:formatCode>General</c:formatCode>
                <c:ptCount val="6"/>
                <c:pt idx="0">
                  <c:v>12</c:v>
                </c:pt>
                <c:pt idx="1">
                  <c:v>16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D-4C24-BAF9-B845F2626F7C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SCGPC'!$E$4:$E$9</c:f>
              <c:numCache>
                <c:formatCode>General</c:formatCode>
                <c:ptCount val="6"/>
                <c:pt idx="0">
                  <c:v>12</c:v>
                </c:pt>
                <c:pt idx="1">
                  <c:v>16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7D-4C24-BAF9-B845F262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6384"/>
        <c:axId val="983370560"/>
      </c:scatterChart>
      <c:valAx>
        <c:axId val="98337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0560"/>
        <c:crosses val="autoZero"/>
        <c:crossBetween val="midCat"/>
      </c:valAx>
      <c:valAx>
        <c:axId val="983370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Water/Solids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SCGPC'!$F$4:$F$9</c:f>
              <c:numCache>
                <c:formatCode>General</c:formatCode>
                <c:ptCount val="6"/>
                <c:pt idx="0">
                  <c:v>0.38</c:v>
                </c:pt>
                <c:pt idx="1">
                  <c:v>0.34</c:v>
                </c:pt>
                <c:pt idx="2">
                  <c:v>0.36</c:v>
                </c:pt>
                <c:pt idx="3">
                  <c:v>0.38</c:v>
                </c:pt>
                <c:pt idx="4">
                  <c:v>0.34</c:v>
                </c:pt>
                <c:pt idx="5">
                  <c:v>0.36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9-4431-B60B-57C9F5378B55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SCGPC'!$F$4:$F$9</c:f>
              <c:numCache>
                <c:formatCode>General</c:formatCode>
                <c:ptCount val="6"/>
                <c:pt idx="0">
                  <c:v>0.38</c:v>
                </c:pt>
                <c:pt idx="1">
                  <c:v>0.34</c:v>
                </c:pt>
                <c:pt idx="2">
                  <c:v>0.36</c:v>
                </c:pt>
                <c:pt idx="3">
                  <c:v>0.38</c:v>
                </c:pt>
                <c:pt idx="4">
                  <c:v>0.34</c:v>
                </c:pt>
                <c:pt idx="5">
                  <c:v>0.36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9-4431-B60B-57C9F537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8048"/>
        <c:axId val="983376384"/>
      </c:scatterChart>
      <c:valAx>
        <c:axId val="9833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Water/Solids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6384"/>
        <c:crosses val="autoZero"/>
        <c:crossBetween val="midCat"/>
      </c:valAx>
      <c:valAx>
        <c:axId val="983376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Fine Aggregate/Coarse Aggregate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BA-GGBS SCGPC'!$G$4:$G$9</c:f>
              <c:numCache>
                <c:formatCode>General</c:formatCode>
                <c:ptCount val="6"/>
                <c:pt idx="0">
                  <c:v>1.1000000000000001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1.1000000000000001</c:v>
                </c:pt>
                <c:pt idx="5">
                  <c:v>0.7</c:v>
                </c:pt>
              </c:numCache>
            </c:numRef>
          </c:xVal>
          <c:yVal>
            <c:numRef>
              <c:f>'MLR BA-GGBS SCGPC'!$H$4:$H$9</c:f>
              <c:numCache>
                <c:formatCode>0.00</c:formatCode>
                <c:ptCount val="6"/>
                <c:pt idx="0">
                  <c:v>9.8450000000000006</c:v>
                </c:pt>
                <c:pt idx="1">
                  <c:v>19.558000000000003</c:v>
                </c:pt>
                <c:pt idx="2">
                  <c:v>16.005000000000003</c:v>
                </c:pt>
                <c:pt idx="3">
                  <c:v>15.455000000000002</c:v>
                </c:pt>
                <c:pt idx="4">
                  <c:v>23.881000000000004</c:v>
                </c:pt>
                <c:pt idx="5">
                  <c:v>20.416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9D-49EF-8E30-37D769C64810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BA-GGBS SCGPC'!$G$4:$G$9</c:f>
              <c:numCache>
                <c:formatCode>General</c:formatCode>
                <c:ptCount val="6"/>
                <c:pt idx="0">
                  <c:v>1.1000000000000001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1.1000000000000001</c:v>
                </c:pt>
                <c:pt idx="5">
                  <c:v>0.7</c:v>
                </c:pt>
              </c:numCache>
            </c:numRef>
          </c:xVal>
          <c:yVal>
            <c:numRef>
              <c:f>'MLR BA-GGBS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9D-49EF-8E30-37D769C64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552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Fine Aggregate/Coarse Aggregate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552"/>
        <c:crosses val="autoZero"/>
        <c:crossBetween val="midCat"/>
      </c:valAx>
      <c:valAx>
        <c:axId val="983375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Precursor (kg/cum)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D-4C7C-BBB5-6B1AEEBDD142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SCGPC'!$A$4:$A$9</c:f>
              <c:numCache>
                <c:formatCode>General</c:formatCode>
                <c:ptCount val="6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400</c:v>
                </c:pt>
                <c:pt idx="4">
                  <c:v>450</c:v>
                </c:pt>
                <c:pt idx="5">
                  <c:v>500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D-4C7C-BBB5-6B1AEEBDD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8912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Precursor (kg/cum)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8912"/>
        <c:crosses val="autoZero"/>
        <c:crossBetween val="midCat"/>
      </c:valAx>
      <c:valAx>
        <c:axId val="98335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GGBS/Pr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D-4366-A685-38D4981814A2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SCGPC'!$B$4:$B$9</c:f>
              <c:numCache>
                <c:formatCode>General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D-4366-A685-38D49818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46848"/>
        <c:axId val="983353088"/>
      </c:scatterChart>
      <c:valAx>
        <c:axId val="9833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GGBS/Pr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53088"/>
        <c:crosses val="autoZero"/>
        <c:crossBetween val="midCat"/>
      </c:valAx>
      <c:valAx>
        <c:axId val="983353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4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Alkali/Precursor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SCGPC'!$C$4:$C$9</c:f>
              <c:numCache>
                <c:formatCode>General</c:formatCode>
                <c:ptCount val="6"/>
                <c:pt idx="0">
                  <c:v>0.55000000000000004</c:v>
                </c:pt>
                <c:pt idx="1">
                  <c:v>0.65</c:v>
                </c:pt>
                <c:pt idx="2">
                  <c:v>0.45</c:v>
                </c:pt>
                <c:pt idx="3">
                  <c:v>0.65</c:v>
                </c:pt>
                <c:pt idx="4">
                  <c:v>0.45</c:v>
                </c:pt>
                <c:pt idx="5">
                  <c:v>0.55000000000000004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F-4A59-B529-5523E21E6387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SCGPC'!$C$4:$C$9</c:f>
              <c:numCache>
                <c:formatCode>General</c:formatCode>
                <c:ptCount val="6"/>
                <c:pt idx="0">
                  <c:v>0.55000000000000004</c:v>
                </c:pt>
                <c:pt idx="1">
                  <c:v>0.65</c:v>
                </c:pt>
                <c:pt idx="2">
                  <c:v>0.45</c:v>
                </c:pt>
                <c:pt idx="3">
                  <c:v>0.65</c:v>
                </c:pt>
                <c:pt idx="4">
                  <c:v>0.45</c:v>
                </c:pt>
                <c:pt idx="5">
                  <c:v>0.55000000000000004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F-4A59-B529-5523E21E6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968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Alkali/Precursor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968"/>
        <c:crosses val="autoZero"/>
        <c:crossBetween val="midCat"/>
      </c:valAx>
      <c:valAx>
        <c:axId val="983375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Silicate/Hydroxide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SCGPC'!$D$4:$D$9</c:f>
              <c:numCache>
                <c:formatCode>General</c:formatCode>
                <c:ptCount val="6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2.5</c:v>
                </c:pt>
                <c:pt idx="4">
                  <c:v>3</c:v>
                </c:pt>
                <c:pt idx="5">
                  <c:v>2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2-4DF0-A838-A1715A680BDB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SCGPC'!$D$4:$D$9</c:f>
              <c:numCache>
                <c:formatCode>General</c:formatCode>
                <c:ptCount val="6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2.5</c:v>
                </c:pt>
                <c:pt idx="4">
                  <c:v>3</c:v>
                </c:pt>
                <c:pt idx="5">
                  <c:v>2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2-4DF0-A838-A1715A680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68480"/>
        <c:axId val="983365152"/>
      </c:scatterChart>
      <c:valAx>
        <c:axId val="98336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Silicate/Hydroxide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65152"/>
        <c:crosses val="autoZero"/>
        <c:crossBetween val="midCat"/>
      </c:valAx>
      <c:valAx>
        <c:axId val="983365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6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Molarity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SCGPC'!$E$4:$E$9</c:f>
              <c:numCache>
                <c:formatCode>General</c:formatCode>
                <c:ptCount val="6"/>
                <c:pt idx="0">
                  <c:v>16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8</c:v>
                </c:pt>
                <c:pt idx="5">
                  <c:v>12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A1-4522-BE7A-BBE7B4339261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SCGPC'!$E$4:$E$9</c:f>
              <c:numCache>
                <c:formatCode>General</c:formatCode>
                <c:ptCount val="6"/>
                <c:pt idx="0">
                  <c:v>16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8</c:v>
                </c:pt>
                <c:pt idx="5">
                  <c:v>12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A1-4522-BE7A-BBE7B4339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6384"/>
        <c:axId val="983370560"/>
      </c:scatterChart>
      <c:valAx>
        <c:axId val="98337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0560"/>
        <c:crosses val="autoZero"/>
        <c:crossBetween val="midCat"/>
      </c:valAx>
      <c:valAx>
        <c:axId val="983370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Water/Solids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SCGPC'!$F$4:$F$9</c:f>
              <c:numCache>
                <c:formatCode>General</c:formatCode>
                <c:ptCount val="6"/>
                <c:pt idx="0">
                  <c:v>0.36</c:v>
                </c:pt>
                <c:pt idx="1">
                  <c:v>0.38</c:v>
                </c:pt>
                <c:pt idx="2">
                  <c:v>0.34</c:v>
                </c:pt>
                <c:pt idx="3">
                  <c:v>0.34</c:v>
                </c:pt>
                <c:pt idx="4">
                  <c:v>0.36</c:v>
                </c:pt>
                <c:pt idx="5">
                  <c:v>0.38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F8-4C6F-B655-1AFBA105FE8C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SCGPC'!$F$4:$F$9</c:f>
              <c:numCache>
                <c:formatCode>General</c:formatCode>
                <c:ptCount val="6"/>
                <c:pt idx="0">
                  <c:v>0.36</c:v>
                </c:pt>
                <c:pt idx="1">
                  <c:v>0.38</c:v>
                </c:pt>
                <c:pt idx="2">
                  <c:v>0.34</c:v>
                </c:pt>
                <c:pt idx="3">
                  <c:v>0.34</c:v>
                </c:pt>
                <c:pt idx="4">
                  <c:v>0.36</c:v>
                </c:pt>
                <c:pt idx="5">
                  <c:v>0.38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F8-4C6F-B655-1AFBA105F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8048"/>
        <c:axId val="983376384"/>
      </c:scatterChart>
      <c:valAx>
        <c:axId val="9833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Water/Solids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6384"/>
        <c:crosses val="autoZero"/>
        <c:crossBetween val="midCat"/>
      </c:valAx>
      <c:valAx>
        <c:axId val="983376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Fine Aggregate/Coarse Aggregate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CS28</c:v>
          </c:tx>
          <c:spPr>
            <a:ln w="19050">
              <a:noFill/>
            </a:ln>
          </c:spPr>
          <c:xVal>
            <c:numRef>
              <c:f>'MLR RHA-GGBS SCGPC'!$G$4:$G$9</c:f>
              <c:numCache>
                <c:formatCode>General</c:formatCode>
                <c:ptCount val="6"/>
                <c:pt idx="0">
                  <c:v>1.1000000000000001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1.1000000000000001</c:v>
                </c:pt>
                <c:pt idx="5">
                  <c:v>0.7</c:v>
                </c:pt>
              </c:numCache>
            </c:numRef>
          </c:xVal>
          <c:yVal>
            <c:numRef>
              <c:f>'MLR RHA-GGBS SCGPC'!$H$4:$H$9</c:f>
              <c:numCache>
                <c:formatCode>0.00</c:formatCode>
                <c:ptCount val="6"/>
                <c:pt idx="0">
                  <c:v>17.996000000000002</c:v>
                </c:pt>
                <c:pt idx="1">
                  <c:v>13.321</c:v>
                </c:pt>
                <c:pt idx="2">
                  <c:v>21.725000000000001</c:v>
                </c:pt>
                <c:pt idx="3">
                  <c:v>22.605000000000004</c:v>
                </c:pt>
                <c:pt idx="4">
                  <c:v>18.645</c:v>
                </c:pt>
                <c:pt idx="5">
                  <c:v>24.101000000000003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8-4A22-9052-30AEE042E8A8}"/>
            </c:ext>
          </c:extLst>
        </c:ser>
        <c:ser>
          <c:idx val="1"/>
          <c:order val="1"/>
          <c:tx>
            <c:v>Predicted CS28</c:v>
          </c:tx>
          <c:spPr>
            <a:ln w="19050">
              <a:noFill/>
            </a:ln>
          </c:spPr>
          <c:xVal>
            <c:numRef>
              <c:f>'MLR RHA-GGBS SCGPC'!$G$4:$G$9</c:f>
              <c:numCache>
                <c:formatCode>General</c:formatCode>
                <c:ptCount val="6"/>
                <c:pt idx="0">
                  <c:v>1.1000000000000001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1.1000000000000001</c:v>
                </c:pt>
                <c:pt idx="5">
                  <c:v>0.7</c:v>
                </c:pt>
              </c:numCache>
            </c:numRef>
          </c:xVal>
          <c:yVal>
            <c:numRef>
              <c:f>'MLR RHA-GGBS SCGPC'!$B$176:$B$181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88-4A22-9052-30AEE042E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75136"/>
        <c:axId val="983375552"/>
      </c:scatterChart>
      <c:valAx>
        <c:axId val="9833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Fine Aggregate/Coarse Aggregate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75552"/>
        <c:crosses val="autoZero"/>
        <c:crossBetween val="midCat"/>
      </c:valAx>
      <c:valAx>
        <c:axId val="983375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CS28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8337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image" Target="../media/image2.png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403860</xdr:colOff>
      <xdr:row>8</xdr:row>
      <xdr:rowOff>38100</xdr:rowOff>
    </xdr:from>
    <xdr:to>
      <xdr:col>18</xdr:col>
      <xdr:colOff>396240</xdr:colOff>
      <xdr:row>17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B8158-3454-9B12-427C-F79F1BAF3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54236</xdr:colOff>
      <xdr:row>22</xdr:row>
      <xdr:rowOff>66145</xdr:rowOff>
    </xdr:from>
    <xdr:to>
      <xdr:col>12</xdr:col>
      <xdr:colOff>1453884</xdr:colOff>
      <xdr:row>44</xdr:row>
      <xdr:rowOff>2150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CD4ABF-AF54-4B12-9A42-DF8E3C179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65" t="16566" r="31878" b="14187"/>
        <a:stretch/>
      </xdr:blipFill>
      <xdr:spPr>
        <a:xfrm>
          <a:off x="10369811" y="4476220"/>
          <a:ext cx="4504798" cy="4127005"/>
        </a:xfrm>
        <a:prstGeom prst="rect">
          <a:avLst/>
        </a:prstGeom>
      </xdr:spPr>
    </xdr:pic>
    <xdr:clientData/>
  </xdr:twoCellAnchor>
  <xdr:twoCellAnchor>
    <xdr:from>
      <xdr:col>57</xdr:col>
      <xdr:colOff>181429</xdr:colOff>
      <xdr:row>74</xdr:row>
      <xdr:rowOff>175571</xdr:rowOff>
    </xdr:from>
    <xdr:to>
      <xdr:col>62</xdr:col>
      <xdr:colOff>286507</xdr:colOff>
      <xdr:row>85</xdr:row>
      <xdr:rowOff>98961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194B9E6-5FA2-4F5F-912B-B14B99AB5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286668</xdr:colOff>
      <xdr:row>74</xdr:row>
      <xdr:rowOff>174798</xdr:rowOff>
    </xdr:from>
    <xdr:to>
      <xdr:col>67</xdr:col>
      <xdr:colOff>300404</xdr:colOff>
      <xdr:row>85</xdr:row>
      <xdr:rowOff>102577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9D32C18-D4DA-4036-BD48-7BCBCE1B9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241300</xdr:colOff>
      <xdr:row>74</xdr:row>
      <xdr:rowOff>183173</xdr:rowOff>
    </xdr:from>
    <xdr:to>
      <xdr:col>57</xdr:col>
      <xdr:colOff>183092</xdr:colOff>
      <xdr:row>85</xdr:row>
      <xdr:rowOff>100380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696602F-D966-4E78-8D8A-82CB12DAA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244431</xdr:colOff>
      <xdr:row>85</xdr:row>
      <xdr:rowOff>102576</xdr:rowOff>
    </xdr:from>
    <xdr:to>
      <xdr:col>57</xdr:col>
      <xdr:colOff>183172</xdr:colOff>
      <xdr:row>96</xdr:row>
      <xdr:rowOff>51288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0FDF7B7-9FA1-4E99-840D-A3146C06B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185423</xdr:colOff>
      <xdr:row>85</xdr:row>
      <xdr:rowOff>105732</xdr:rowOff>
    </xdr:from>
    <xdr:to>
      <xdr:col>62</xdr:col>
      <xdr:colOff>293077</xdr:colOff>
      <xdr:row>96</xdr:row>
      <xdr:rowOff>51287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0842832-72F9-4439-851D-C88E084B7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62</xdr:col>
      <xdr:colOff>284418</xdr:colOff>
      <xdr:row>85</xdr:row>
      <xdr:rowOff>104407</xdr:rowOff>
    </xdr:from>
    <xdr:to>
      <xdr:col>67</xdr:col>
      <xdr:colOff>307730</xdr:colOff>
      <xdr:row>96</xdr:row>
      <xdr:rowOff>51288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B4DBE7A0-8FAD-4F6D-9984-F1089DA26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17319</xdr:colOff>
      <xdr:row>96</xdr:row>
      <xdr:rowOff>49874</xdr:rowOff>
    </xdr:from>
    <xdr:to>
      <xdr:col>59</xdr:col>
      <xdr:colOff>598810</xdr:colOff>
      <xdr:row>107</xdr:row>
      <xdr:rowOff>43962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AD4F44B3-EA89-40D9-A707-2D5DDEAFF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598810</xdr:colOff>
      <xdr:row>96</xdr:row>
      <xdr:rowOff>53954</xdr:rowOff>
    </xdr:from>
    <xdr:to>
      <xdr:col>65</xdr:col>
      <xdr:colOff>65943</xdr:colOff>
      <xdr:row>107</xdr:row>
      <xdr:rowOff>43961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905DFC5C-1597-4BA5-872A-09C4C552A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75</xdr:row>
      <xdr:rowOff>0</xdr:rowOff>
    </xdr:from>
    <xdr:to>
      <xdr:col>23</xdr:col>
      <xdr:colOff>714373</xdr:colOff>
      <xdr:row>86</xdr:row>
      <xdr:rowOff>154782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AD0364C-0D7C-4D49-9713-8C8F4C49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797719</xdr:colOff>
      <xdr:row>73</xdr:row>
      <xdr:rowOff>154780</xdr:rowOff>
    </xdr:from>
    <xdr:to>
      <xdr:col>20</xdr:col>
      <xdr:colOff>273845</xdr:colOff>
      <xdr:row>86</xdr:row>
      <xdr:rowOff>166685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C7E7FBC-DF26-4407-B4F8-65C8F1DBE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714376</xdr:colOff>
      <xdr:row>75</xdr:row>
      <xdr:rowOff>0</xdr:rowOff>
    </xdr:from>
    <xdr:to>
      <xdr:col>25</xdr:col>
      <xdr:colOff>1452561</xdr:colOff>
      <xdr:row>86</xdr:row>
      <xdr:rowOff>154782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91F3C9C-D5C7-4046-B654-D99862DD7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381000</xdr:colOff>
      <xdr:row>86</xdr:row>
      <xdr:rowOff>154782</xdr:rowOff>
    </xdr:from>
    <xdr:to>
      <xdr:col>21</xdr:col>
      <xdr:colOff>11904</xdr:colOff>
      <xdr:row>98</xdr:row>
      <xdr:rowOff>119064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95FE63E-FF6F-4820-A49D-7557156AD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11906</xdr:colOff>
      <xdr:row>86</xdr:row>
      <xdr:rowOff>154781</xdr:rowOff>
    </xdr:from>
    <xdr:to>
      <xdr:col>23</xdr:col>
      <xdr:colOff>726279</xdr:colOff>
      <xdr:row>98</xdr:row>
      <xdr:rowOff>119063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E36386BA-519F-41EB-B815-1A34092F9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714375</xdr:colOff>
      <xdr:row>86</xdr:row>
      <xdr:rowOff>154781</xdr:rowOff>
    </xdr:from>
    <xdr:to>
      <xdr:col>25</xdr:col>
      <xdr:colOff>1452560</xdr:colOff>
      <xdr:row>98</xdr:row>
      <xdr:rowOff>119063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366AE70-1FFE-4C9A-8472-3FCD80BE4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726280</xdr:colOff>
      <xdr:row>98</xdr:row>
      <xdr:rowOff>119062</xdr:rowOff>
    </xdr:from>
    <xdr:to>
      <xdr:col>22</xdr:col>
      <xdr:colOff>214309</xdr:colOff>
      <xdr:row>110</xdr:row>
      <xdr:rowOff>83344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6CB7102-F8C0-44D3-A254-04512BB5C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</xdr:col>
      <xdr:colOff>190500</xdr:colOff>
      <xdr:row>98</xdr:row>
      <xdr:rowOff>119063</xdr:rowOff>
    </xdr:from>
    <xdr:to>
      <xdr:col>24</xdr:col>
      <xdr:colOff>1345404</xdr:colOff>
      <xdr:row>110</xdr:row>
      <xdr:rowOff>83345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2126B98-EE2E-440C-B27B-70835116E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154781</xdr:colOff>
      <xdr:row>75</xdr:row>
      <xdr:rowOff>71437</xdr:rowOff>
    </xdr:from>
    <xdr:to>
      <xdr:col>33</xdr:col>
      <xdr:colOff>166685</xdr:colOff>
      <xdr:row>110</xdr:row>
      <xdr:rowOff>154782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84C5C06-1D15-4827-B512-6072A60FDE3C}"/>
            </a:ext>
          </a:extLst>
        </xdr:cNvPr>
        <xdr:cNvGrpSpPr/>
      </xdr:nvGrpSpPr>
      <xdr:grpSpPr>
        <a:xfrm>
          <a:off x="31536481" y="13635037"/>
          <a:ext cx="10451304" cy="6306345"/>
          <a:chOff x="30761781" y="14581187"/>
          <a:chExt cx="10193071" cy="6750845"/>
        </a:xfrm>
      </xdr:grpSpPr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AC5F5B41-483B-436F-9E48-C4A2735F229A}"/>
              </a:ext>
            </a:extLst>
          </xdr:cNvPr>
          <xdr:cNvGraphicFramePr>
            <a:graphicFrameLocks/>
          </xdr:cNvGraphicFramePr>
        </xdr:nvGraphicFramePr>
        <xdr:xfrm>
          <a:off x="30761781" y="14581187"/>
          <a:ext cx="3391955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0033564B-95FE-403C-81A3-54027E1618E2}"/>
              </a:ext>
            </a:extLst>
          </xdr:cNvPr>
          <xdr:cNvGraphicFramePr>
            <a:graphicFrameLocks/>
          </xdr:cNvGraphicFramePr>
        </xdr:nvGraphicFramePr>
        <xdr:xfrm>
          <a:off x="34153739" y="14581187"/>
          <a:ext cx="3399895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CFD6080-54C8-48DE-B1F5-8265A0DE076C}"/>
              </a:ext>
            </a:extLst>
          </xdr:cNvPr>
          <xdr:cNvGraphicFramePr>
            <a:graphicFrameLocks/>
          </xdr:cNvGraphicFramePr>
        </xdr:nvGraphicFramePr>
        <xdr:xfrm>
          <a:off x="37553635" y="14581187"/>
          <a:ext cx="3401216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63C4BA5E-017C-4DC8-ADEE-87C622342AEC}"/>
              </a:ext>
            </a:extLst>
          </xdr:cNvPr>
          <xdr:cNvGraphicFramePr>
            <a:graphicFrameLocks/>
          </xdr:cNvGraphicFramePr>
        </xdr:nvGraphicFramePr>
        <xdr:xfrm>
          <a:off x="30761781" y="16831468"/>
          <a:ext cx="3391955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B6C39F95-D7BC-4C12-86E9-0E793B57FD8A}"/>
              </a:ext>
            </a:extLst>
          </xdr:cNvPr>
          <xdr:cNvGraphicFramePr>
            <a:graphicFrameLocks/>
          </xdr:cNvGraphicFramePr>
        </xdr:nvGraphicFramePr>
        <xdr:xfrm>
          <a:off x="34153739" y="16831468"/>
          <a:ext cx="3399895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FC4CFE6F-616C-4B73-AE72-F9C36080168E}"/>
              </a:ext>
            </a:extLst>
          </xdr:cNvPr>
          <xdr:cNvGraphicFramePr>
            <a:graphicFrameLocks/>
          </xdr:cNvGraphicFramePr>
        </xdr:nvGraphicFramePr>
        <xdr:xfrm>
          <a:off x="37553636" y="16831469"/>
          <a:ext cx="3401216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777C71F3-EB72-44B4-ACBD-35C51E433933}"/>
              </a:ext>
            </a:extLst>
          </xdr:cNvPr>
          <xdr:cNvGraphicFramePr>
            <a:graphicFrameLocks/>
          </xdr:cNvGraphicFramePr>
        </xdr:nvGraphicFramePr>
        <xdr:xfrm>
          <a:off x="32481573" y="19081750"/>
          <a:ext cx="3405186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681F5F9A-F38C-41B5-A94B-DBD52711F9BD}"/>
              </a:ext>
            </a:extLst>
          </xdr:cNvPr>
          <xdr:cNvGraphicFramePr>
            <a:graphicFrameLocks/>
          </xdr:cNvGraphicFramePr>
        </xdr:nvGraphicFramePr>
        <xdr:xfrm>
          <a:off x="35886760" y="19081749"/>
          <a:ext cx="3398570" cy="22502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</xdr:grpSp>
    <xdr:clientData/>
  </xdr:twoCellAnchor>
  <xdr:twoCellAnchor>
    <xdr:from>
      <xdr:col>34</xdr:col>
      <xdr:colOff>518583</xdr:colOff>
      <xdr:row>75</xdr:row>
      <xdr:rowOff>23813</xdr:rowOff>
    </xdr:from>
    <xdr:to>
      <xdr:col>38</xdr:col>
      <xdr:colOff>253999</xdr:colOff>
      <xdr:row>86</xdr:row>
      <xdr:rowOff>178595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3B91F21-4580-4E49-86A4-63A4780A7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38</xdr:col>
      <xdr:colOff>232833</xdr:colOff>
      <xdr:row>75</xdr:row>
      <xdr:rowOff>23813</xdr:rowOff>
    </xdr:from>
    <xdr:to>
      <xdr:col>44</xdr:col>
      <xdr:colOff>52917</xdr:colOff>
      <xdr:row>86</xdr:row>
      <xdr:rowOff>178595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7B8F5F9-AE9D-4527-80AA-F614B6A00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44</xdr:col>
      <xdr:colOff>47625</xdr:colOff>
      <xdr:row>75</xdr:row>
      <xdr:rowOff>23813</xdr:rowOff>
    </xdr:from>
    <xdr:to>
      <xdr:col>48</xdr:col>
      <xdr:colOff>119060</xdr:colOff>
      <xdr:row>86</xdr:row>
      <xdr:rowOff>178595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B76FD1B-DA43-490D-8908-E0FFC08D9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34</xdr:col>
      <xdr:colOff>518583</xdr:colOff>
      <xdr:row>86</xdr:row>
      <xdr:rowOff>178594</xdr:rowOff>
    </xdr:from>
    <xdr:to>
      <xdr:col>38</xdr:col>
      <xdr:colOff>232832</xdr:colOff>
      <xdr:row>98</xdr:row>
      <xdr:rowOff>142876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4AE30AF1-96E2-43EE-AFCB-05D96DDCC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232834</xdr:colOff>
      <xdr:row>86</xdr:row>
      <xdr:rowOff>178594</xdr:rowOff>
    </xdr:from>
    <xdr:to>
      <xdr:col>44</xdr:col>
      <xdr:colOff>52918</xdr:colOff>
      <xdr:row>98</xdr:row>
      <xdr:rowOff>142876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DAF3AF9-53BD-41C7-8984-DA2E352AD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47625</xdr:colOff>
      <xdr:row>86</xdr:row>
      <xdr:rowOff>178594</xdr:rowOff>
    </xdr:from>
    <xdr:to>
      <xdr:col>48</xdr:col>
      <xdr:colOff>119060</xdr:colOff>
      <xdr:row>98</xdr:row>
      <xdr:rowOff>142876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50C07FA-B90D-497E-B163-4E02F9962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169334</xdr:colOff>
      <xdr:row>98</xdr:row>
      <xdr:rowOff>142875</xdr:rowOff>
    </xdr:from>
    <xdr:to>
      <xdr:col>40</xdr:col>
      <xdr:colOff>546656</xdr:colOff>
      <xdr:row>110</xdr:row>
      <xdr:rowOff>107157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EB690876-6D68-4C0B-B737-DE8FA7A37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40</xdr:col>
      <xdr:colOff>530489</xdr:colOff>
      <xdr:row>98</xdr:row>
      <xdr:rowOff>142875</xdr:rowOff>
    </xdr:from>
    <xdr:to>
      <xdr:col>45</xdr:col>
      <xdr:colOff>910167</xdr:colOff>
      <xdr:row>110</xdr:row>
      <xdr:rowOff>107157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D5810CE9-D014-4757-A276-049CC93C8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0</xdr:colOff>
      <xdr:row>74</xdr:row>
      <xdr:rowOff>35718</xdr:rowOff>
    </xdr:from>
    <xdr:to>
      <xdr:col>9</xdr:col>
      <xdr:colOff>654845</xdr:colOff>
      <xdr:row>86</xdr:row>
      <xdr:rowOff>59530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E13DDD2-5271-4668-BA03-39B9526FD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654844</xdr:colOff>
      <xdr:row>74</xdr:row>
      <xdr:rowOff>35719</xdr:rowOff>
    </xdr:from>
    <xdr:to>
      <xdr:col>11</xdr:col>
      <xdr:colOff>1452564</xdr:colOff>
      <xdr:row>86</xdr:row>
      <xdr:rowOff>59531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94F6E4BF-FAB6-49DC-99EB-232A64D79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1452563</xdr:colOff>
      <xdr:row>74</xdr:row>
      <xdr:rowOff>35718</xdr:rowOff>
    </xdr:from>
    <xdr:to>
      <xdr:col>15</xdr:col>
      <xdr:colOff>71439</xdr:colOff>
      <xdr:row>86</xdr:row>
      <xdr:rowOff>59530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8F61157E-6861-4598-B87E-142681CBF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86</xdr:row>
      <xdr:rowOff>59531</xdr:rowOff>
    </xdr:from>
    <xdr:to>
      <xdr:col>9</xdr:col>
      <xdr:colOff>654845</xdr:colOff>
      <xdr:row>98</xdr:row>
      <xdr:rowOff>83343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E74D3938-387E-49EE-B89B-0E2F02736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654844</xdr:colOff>
      <xdr:row>86</xdr:row>
      <xdr:rowOff>59531</xdr:rowOff>
    </xdr:from>
    <xdr:to>
      <xdr:col>11</xdr:col>
      <xdr:colOff>1452564</xdr:colOff>
      <xdr:row>98</xdr:row>
      <xdr:rowOff>83343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55CB89FA-FADD-4741-B749-61FEC3BD5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1452563</xdr:colOff>
      <xdr:row>86</xdr:row>
      <xdr:rowOff>59531</xdr:rowOff>
    </xdr:from>
    <xdr:to>
      <xdr:col>15</xdr:col>
      <xdr:colOff>71439</xdr:colOff>
      <xdr:row>98</xdr:row>
      <xdr:rowOff>83343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5EAAF63F-D6CD-47BB-A870-7F2BDC21C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1750219</xdr:colOff>
      <xdr:row>98</xdr:row>
      <xdr:rowOff>83344</xdr:rowOff>
    </xdr:from>
    <xdr:to>
      <xdr:col>10</xdr:col>
      <xdr:colOff>952501</xdr:colOff>
      <xdr:row>110</xdr:row>
      <xdr:rowOff>107156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B632404-504A-4C3E-9516-FB6B0AF37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952499</xdr:colOff>
      <xdr:row>98</xdr:row>
      <xdr:rowOff>83344</xdr:rowOff>
    </xdr:from>
    <xdr:to>
      <xdr:col>12</xdr:col>
      <xdr:colOff>1416844</xdr:colOff>
      <xdr:row>110</xdr:row>
      <xdr:rowOff>107156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FF4F0D9-C016-4F5A-AB15-242C46F24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35719</xdr:colOff>
      <xdr:row>44</xdr:row>
      <xdr:rowOff>142875</xdr:rowOff>
    </xdr:from>
    <xdr:to>
      <xdr:col>14</xdr:col>
      <xdr:colOff>183198</xdr:colOff>
      <xdr:row>54</xdr:row>
      <xdr:rowOff>154781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8B1621C-40D2-4B60-80E4-9B6B5DE86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0</xdr:colOff>
      <xdr:row>55</xdr:row>
      <xdr:rowOff>0</xdr:rowOff>
    </xdr:from>
    <xdr:to>
      <xdr:col>14</xdr:col>
      <xdr:colOff>147479</xdr:colOff>
      <xdr:row>65</xdr:row>
      <xdr:rowOff>11906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5B6052D4-B422-4504-9787-A27236CA3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20</xdr:col>
      <xdr:colOff>254635</xdr:colOff>
      <xdr:row>65</xdr:row>
      <xdr:rowOff>11906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6EB6481-9501-40DB-BEFD-1D06662E5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0</xdr:colOff>
      <xdr:row>65</xdr:row>
      <xdr:rowOff>0</xdr:rowOff>
    </xdr:from>
    <xdr:to>
      <xdr:col>17</xdr:col>
      <xdr:colOff>1183323</xdr:colOff>
      <xdr:row>75</xdr:row>
      <xdr:rowOff>11906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4B76CCC8-EC9B-49AC-B3ED-53F18ACF7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34</xdr:col>
      <xdr:colOff>42333</xdr:colOff>
      <xdr:row>114</xdr:row>
      <xdr:rowOff>0</xdr:rowOff>
    </xdr:from>
    <xdr:to>
      <xdr:col>37</xdr:col>
      <xdr:colOff>444499</xdr:colOff>
      <xdr:row>125</xdr:row>
      <xdr:rowOff>154782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C1DC584D-CAFD-409E-A17B-FC2E33D96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37</xdr:col>
      <xdr:colOff>423333</xdr:colOff>
      <xdr:row>114</xdr:row>
      <xdr:rowOff>0</xdr:rowOff>
    </xdr:from>
    <xdr:to>
      <xdr:col>42</xdr:col>
      <xdr:colOff>381001</xdr:colOff>
      <xdr:row>125</xdr:row>
      <xdr:rowOff>154782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E5773924-DAEB-458A-8A3B-6373D8A83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42</xdr:col>
      <xdr:colOff>381000</xdr:colOff>
      <xdr:row>114</xdr:row>
      <xdr:rowOff>0</xdr:rowOff>
    </xdr:from>
    <xdr:to>
      <xdr:col>47</xdr:col>
      <xdr:colOff>21167</xdr:colOff>
      <xdr:row>125</xdr:row>
      <xdr:rowOff>154782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D6A568D6-5A0E-4E27-AA69-901441865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34</xdr:col>
      <xdr:colOff>42333</xdr:colOff>
      <xdr:row>125</xdr:row>
      <xdr:rowOff>158750</xdr:rowOff>
    </xdr:from>
    <xdr:to>
      <xdr:col>37</xdr:col>
      <xdr:colOff>423332</xdr:colOff>
      <xdr:row>137</xdr:row>
      <xdr:rowOff>123032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7E1567A-F6F5-4488-AD72-0269D50B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37</xdr:col>
      <xdr:colOff>423333</xdr:colOff>
      <xdr:row>125</xdr:row>
      <xdr:rowOff>158750</xdr:rowOff>
    </xdr:from>
    <xdr:to>
      <xdr:col>42</xdr:col>
      <xdr:colOff>381001</xdr:colOff>
      <xdr:row>137</xdr:row>
      <xdr:rowOff>123032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DD6C6F98-3CCB-409C-A305-8E195B328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42</xdr:col>
      <xdr:colOff>381000</xdr:colOff>
      <xdr:row>125</xdr:row>
      <xdr:rowOff>158750</xdr:rowOff>
    </xdr:from>
    <xdr:to>
      <xdr:col>47</xdr:col>
      <xdr:colOff>21167</xdr:colOff>
      <xdr:row>137</xdr:row>
      <xdr:rowOff>123032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57F704B9-D364-403C-B9D5-19E22F6AE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762000</xdr:colOff>
      <xdr:row>137</xdr:row>
      <xdr:rowOff>127000</xdr:rowOff>
    </xdr:from>
    <xdr:to>
      <xdr:col>40</xdr:col>
      <xdr:colOff>1</xdr:colOff>
      <xdr:row>149</xdr:row>
      <xdr:rowOff>91282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FBB84F6D-881F-467F-A9DB-CEE9A3BEC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40</xdr:col>
      <xdr:colOff>0</xdr:colOff>
      <xdr:row>137</xdr:row>
      <xdr:rowOff>127000</xdr:rowOff>
    </xdr:from>
    <xdr:to>
      <xdr:col>45</xdr:col>
      <xdr:colOff>349250</xdr:colOff>
      <xdr:row>149</xdr:row>
      <xdr:rowOff>91282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FE064BE-DCC1-440F-B9BA-3916076FB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190500</xdr:colOff>
      <xdr:row>64</xdr:row>
      <xdr:rowOff>95250</xdr:rowOff>
    </xdr:from>
    <xdr:to>
      <xdr:col>11</xdr:col>
      <xdr:colOff>262573</xdr:colOff>
      <xdr:row>74</xdr:row>
      <xdr:rowOff>107156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BAAEDA7-04E3-42B1-AC89-8B89681EA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447675</xdr:colOff>
      <xdr:row>1</xdr:row>
      <xdr:rowOff>19050</xdr:rowOff>
    </xdr:from>
    <xdr:to>
      <xdr:col>17</xdr:col>
      <xdr:colOff>173938</xdr:colOff>
      <xdr:row>27</xdr:row>
      <xdr:rowOff>89830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383B5-586D-4055-A30F-DF1A41F04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703" t="23706" r="29262" b="13878"/>
        <a:stretch/>
      </xdr:blipFill>
      <xdr:spPr>
        <a:xfrm>
          <a:off x="13658850" y="209550"/>
          <a:ext cx="4584013" cy="5023780"/>
        </a:xfrm>
        <a:prstGeom prst="rect">
          <a:avLst/>
        </a:prstGeom>
      </xdr:spPr>
    </xdr:pic>
    <xdr:clientData/>
  </xdr:twoCellAnchor>
  <xdr:twoCellAnchor>
    <xdr:from>
      <xdr:col>2</xdr:col>
      <xdr:colOff>219074</xdr:colOff>
      <xdr:row>59</xdr:row>
      <xdr:rowOff>100012</xdr:rowOff>
    </xdr:from>
    <xdr:to>
      <xdr:col>6</xdr:col>
      <xdr:colOff>428625</xdr:colOff>
      <xdr:row>77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22570-2C73-4D03-8580-104F5CC86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257175</xdr:colOff>
      <xdr:row>58</xdr:row>
      <xdr:rowOff>76200</xdr:rowOff>
    </xdr:from>
    <xdr:to>
      <xdr:col>17</xdr:col>
      <xdr:colOff>266700</xdr:colOff>
      <xdr:row>76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76237-1875-40A0-9485-A81DBE449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219076</xdr:colOff>
      <xdr:row>56</xdr:row>
      <xdr:rowOff>171450</xdr:rowOff>
    </xdr:from>
    <xdr:to>
      <xdr:col>26</xdr:col>
      <xdr:colOff>590551</xdr:colOff>
      <xdr:row>74</xdr:row>
      <xdr:rowOff>147638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C05665-B591-4881-A46D-9E364AD25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561975</xdr:colOff>
      <xdr:row>60</xdr:row>
      <xdr:rowOff>38100</xdr:rowOff>
    </xdr:from>
    <xdr:to>
      <xdr:col>39</xdr:col>
      <xdr:colOff>180975</xdr:colOff>
      <xdr:row>78</xdr:row>
      <xdr:rowOff>14288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0CB28A-E08A-4175-953F-55BC902D7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200025</xdr:colOff>
      <xdr:row>59</xdr:row>
      <xdr:rowOff>171450</xdr:rowOff>
    </xdr:from>
    <xdr:to>
      <xdr:col>52</xdr:col>
      <xdr:colOff>219075</xdr:colOff>
      <xdr:row>77</xdr:row>
      <xdr:rowOff>147638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FD3B0-8479-45F1-94A4-142A7A557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112568</xdr:colOff>
      <xdr:row>3</xdr:row>
      <xdr:rowOff>42333</xdr:rowOff>
    </xdr:from>
    <xdr:to>
      <xdr:col>12</xdr:col>
      <xdr:colOff>439207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F9E86-DC8A-4520-8020-4007FB74A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4" t="20466" r="34888" b="25546"/>
        <a:stretch/>
      </xdr:blipFill>
      <xdr:spPr>
        <a:xfrm>
          <a:off x="3749386" y="613833"/>
          <a:ext cx="4604230" cy="25911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145</xdr:row>
      <xdr:rowOff>180975</xdr:rowOff>
    </xdr:from>
    <xdr:to>
      <xdr:col>15</xdr:col>
      <xdr:colOff>238125</xdr:colOff>
      <xdr:row>155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9055A-88C2-40AB-90A7-037C1F42D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147</xdr:row>
      <xdr:rowOff>180975</xdr:rowOff>
    </xdr:from>
    <xdr:to>
      <xdr:col>16</xdr:col>
      <xdr:colOff>238125</xdr:colOff>
      <xdr:row>157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75C96-3D6B-43C8-BE8B-70BC39F04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149</xdr:row>
      <xdr:rowOff>180975</xdr:rowOff>
    </xdr:from>
    <xdr:to>
      <xdr:col>17</xdr:col>
      <xdr:colOff>238125</xdr:colOff>
      <xdr:row>159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840C8B-7D2D-4503-85E0-7BE70EC92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2047875</xdr:colOff>
      <xdr:row>174</xdr:row>
      <xdr:rowOff>28575</xdr:rowOff>
    </xdr:from>
    <xdr:to>
      <xdr:col>14</xdr:col>
      <xdr:colOff>533400</xdr:colOff>
      <xdr:row>184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92A207-A3A7-4DFC-9C0E-1AE6DB0F5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153</xdr:row>
      <xdr:rowOff>180975</xdr:rowOff>
    </xdr:from>
    <xdr:to>
      <xdr:col>19</xdr:col>
      <xdr:colOff>238125</xdr:colOff>
      <xdr:row>163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839CE2-EE40-4ED8-8AA8-4D7CD487D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552449</xdr:colOff>
      <xdr:row>160</xdr:row>
      <xdr:rowOff>66675</xdr:rowOff>
    </xdr:from>
    <xdr:to>
      <xdr:col>23</xdr:col>
      <xdr:colOff>542924</xdr:colOff>
      <xdr:row>170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F5B2DA-4F38-4501-8842-0101B7115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466725</xdr:colOff>
      <xdr:row>167</xdr:row>
      <xdr:rowOff>38100</xdr:rowOff>
    </xdr:from>
    <xdr:to>
      <xdr:col>19</xdr:col>
      <xdr:colOff>466725</xdr:colOff>
      <xdr:row>177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42EA81-4E76-4EC3-A4B6-E68C5AF6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145</xdr:row>
      <xdr:rowOff>180975</xdr:rowOff>
    </xdr:from>
    <xdr:to>
      <xdr:col>15</xdr:col>
      <xdr:colOff>238125</xdr:colOff>
      <xdr:row>155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ED56B-52C8-482E-B270-072DB71E7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147</xdr:row>
      <xdr:rowOff>180975</xdr:rowOff>
    </xdr:from>
    <xdr:to>
      <xdr:col>16</xdr:col>
      <xdr:colOff>238125</xdr:colOff>
      <xdr:row>157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FA988-3314-48A0-BE8F-23F9F88A2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149</xdr:row>
      <xdr:rowOff>180975</xdr:rowOff>
    </xdr:from>
    <xdr:to>
      <xdr:col>17</xdr:col>
      <xdr:colOff>238125</xdr:colOff>
      <xdr:row>159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02E556-2A39-426A-9E91-08150C13E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2047875</xdr:colOff>
      <xdr:row>174</xdr:row>
      <xdr:rowOff>28575</xdr:rowOff>
    </xdr:from>
    <xdr:to>
      <xdr:col>14</xdr:col>
      <xdr:colOff>533400</xdr:colOff>
      <xdr:row>184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9FA583-7840-4F22-B40B-150369CD9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153</xdr:row>
      <xdr:rowOff>180975</xdr:rowOff>
    </xdr:from>
    <xdr:to>
      <xdr:col>19</xdr:col>
      <xdr:colOff>238125</xdr:colOff>
      <xdr:row>163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4E3DC5-41CC-4D4B-9747-B9C5C6994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552449</xdr:colOff>
      <xdr:row>160</xdr:row>
      <xdr:rowOff>66675</xdr:rowOff>
    </xdr:from>
    <xdr:to>
      <xdr:col>23</xdr:col>
      <xdr:colOff>542924</xdr:colOff>
      <xdr:row>170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A2094C-941C-4597-8D79-C00146B51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466725</xdr:colOff>
      <xdr:row>167</xdr:row>
      <xdr:rowOff>38100</xdr:rowOff>
    </xdr:from>
    <xdr:to>
      <xdr:col>19</xdr:col>
      <xdr:colOff>466725</xdr:colOff>
      <xdr:row>177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9D9111-FF8D-434A-82FA-667B24658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145</xdr:row>
      <xdr:rowOff>180975</xdr:rowOff>
    </xdr:from>
    <xdr:to>
      <xdr:col>15</xdr:col>
      <xdr:colOff>238125</xdr:colOff>
      <xdr:row>155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602DF-4A46-4434-A4CB-5517815B0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147</xdr:row>
      <xdr:rowOff>180975</xdr:rowOff>
    </xdr:from>
    <xdr:to>
      <xdr:col>16</xdr:col>
      <xdr:colOff>238125</xdr:colOff>
      <xdr:row>157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A2CA9-2549-4AC0-AEF5-79B1F340A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149</xdr:row>
      <xdr:rowOff>180975</xdr:rowOff>
    </xdr:from>
    <xdr:to>
      <xdr:col>17</xdr:col>
      <xdr:colOff>238125</xdr:colOff>
      <xdr:row>159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EE5052-6070-46AA-85DA-AEE99D9E7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2047875</xdr:colOff>
      <xdr:row>174</xdr:row>
      <xdr:rowOff>28575</xdr:rowOff>
    </xdr:from>
    <xdr:to>
      <xdr:col>14</xdr:col>
      <xdr:colOff>533400</xdr:colOff>
      <xdr:row>184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814A8-7C6A-428E-9A25-D10D3AA99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153</xdr:row>
      <xdr:rowOff>180975</xdr:rowOff>
    </xdr:from>
    <xdr:to>
      <xdr:col>19</xdr:col>
      <xdr:colOff>238125</xdr:colOff>
      <xdr:row>163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28179F-3DDD-4234-A763-B0C2CADFF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552449</xdr:colOff>
      <xdr:row>160</xdr:row>
      <xdr:rowOff>66675</xdr:rowOff>
    </xdr:from>
    <xdr:to>
      <xdr:col>23</xdr:col>
      <xdr:colOff>542924</xdr:colOff>
      <xdr:row>170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ED4385-7B14-4B32-A0E6-76BC4362E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466725</xdr:colOff>
      <xdr:row>167</xdr:row>
      <xdr:rowOff>38100</xdr:rowOff>
    </xdr:from>
    <xdr:to>
      <xdr:col>19</xdr:col>
      <xdr:colOff>466725</xdr:colOff>
      <xdr:row>177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AA2E86-DC62-460D-83E8-06D9F10C7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ud%20drive%20D\Phd%20NITJ\Btech%20projects\Silica%20fume%20in%20GPC\ERGWSE%202024\L9%20rev%20Silica%20fume%20in%20GP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 PPT"/>
      <sheetName val="Mix designs"/>
      <sheetName val="Strength properties"/>
      <sheetName val="water absorption"/>
      <sheetName val="porosity"/>
      <sheetName val=" Wt loss Acid attack"/>
    </sheetNames>
    <sheetDataSet>
      <sheetData sheetId="0">
        <row r="41">
          <cell r="A41">
            <v>0</v>
          </cell>
        </row>
        <row r="42">
          <cell r="A42">
            <v>45</v>
          </cell>
        </row>
        <row r="43">
          <cell r="A43">
            <v>90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dx.doi.org/10.1016/j.jmrt.2013.10.00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3846/tede.2020.1189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4AC36-39B8-413B-8A96-11510D3EC520}">
  <dimension ref="A1:K20"/>
  <sheetViews>
    <sheetView tabSelected="1" workbookViewId="0">
      <selection activeCell="M21" sqref="M21"/>
    </sheetView>
  </sheetViews>
  <sheetFormatPr defaultRowHeight="14.4" x14ac:dyDescent="0.3"/>
  <sheetData>
    <row r="1" spans="1:11" x14ac:dyDescent="0.3">
      <c r="B1" s="35" t="s">
        <v>84</v>
      </c>
      <c r="C1" s="81" t="s">
        <v>210</v>
      </c>
      <c r="D1" s="81">
        <v>2</v>
      </c>
      <c r="E1" s="81">
        <v>3</v>
      </c>
      <c r="F1" s="81" t="s">
        <v>188</v>
      </c>
      <c r="G1" t="s">
        <v>85</v>
      </c>
      <c r="H1" s="80" t="s">
        <v>211</v>
      </c>
      <c r="I1">
        <v>5</v>
      </c>
      <c r="J1">
        <v>6</v>
      </c>
      <c r="K1" t="s">
        <v>188</v>
      </c>
    </row>
    <row r="2" spans="1:11" x14ac:dyDescent="0.3">
      <c r="A2" s="17" t="s">
        <v>27</v>
      </c>
      <c r="B2" s="33">
        <v>7.4</v>
      </c>
      <c r="C2" s="33">
        <v>7.1</v>
      </c>
      <c r="D2" s="33">
        <v>7.87</v>
      </c>
      <c r="E2" s="33">
        <f>B2*3-C2-D2</f>
        <v>7.2300000000000031</v>
      </c>
      <c r="F2" s="33">
        <f>STDEV(C2:E2)</f>
        <v>0.4121892769104985</v>
      </c>
      <c r="G2">
        <v>10.098000000000001</v>
      </c>
      <c r="H2" s="33">
        <v>9.56</v>
      </c>
      <c r="I2" s="33">
        <v>9.84</v>
      </c>
      <c r="J2" s="33">
        <f>G2*3-H2-I2</f>
        <v>10.894000000000002</v>
      </c>
      <c r="K2" s="33">
        <f>STDEV(H2:J2)</f>
        <v>0.70342874550305468</v>
      </c>
    </row>
    <row r="3" spans="1:11" x14ac:dyDescent="0.3">
      <c r="A3" s="27" t="s">
        <v>28</v>
      </c>
      <c r="B3" s="34">
        <v>8.7200000000000006</v>
      </c>
      <c r="C3" s="34">
        <v>8.15</v>
      </c>
      <c r="D3" s="34">
        <v>8.65</v>
      </c>
      <c r="E3" s="34">
        <f t="shared" ref="E3:E19" si="0">B3*3-C3-D3</f>
        <v>9.3600000000000048</v>
      </c>
      <c r="F3" s="34">
        <f t="shared" ref="F3:F19" si="1">STDEV(C3:E3)</f>
        <v>0.60802960454241273</v>
      </c>
      <c r="G3" s="26">
        <v>16.059999999999999</v>
      </c>
      <c r="H3" s="34">
        <v>15.45</v>
      </c>
      <c r="I3" s="34">
        <v>16.239999999999998</v>
      </c>
      <c r="J3" s="34">
        <f t="shared" ref="J3:J19" si="2">G3*3-H3-I3</f>
        <v>16.489999999999991</v>
      </c>
      <c r="K3" s="34">
        <f t="shared" ref="K3:K19" si="3">STDEV(H3:J3)</f>
        <v>0.54286278192559523</v>
      </c>
    </row>
    <row r="4" spans="1:11" x14ac:dyDescent="0.3">
      <c r="A4" s="17" t="s">
        <v>29</v>
      </c>
      <c r="B4" s="33">
        <v>11.42</v>
      </c>
      <c r="C4" s="33">
        <v>11.08</v>
      </c>
      <c r="D4" s="33">
        <v>11.58</v>
      </c>
      <c r="E4" s="33">
        <f t="shared" si="0"/>
        <v>11.6</v>
      </c>
      <c r="F4" s="33">
        <f t="shared" si="1"/>
        <v>0.29461839725312455</v>
      </c>
      <c r="G4">
        <v>18.161000000000005</v>
      </c>
      <c r="H4" s="33">
        <v>18.899999999999999</v>
      </c>
      <c r="I4" s="33">
        <v>17.850000000000001</v>
      </c>
      <c r="J4" s="33">
        <f t="shared" si="2"/>
        <v>17.733000000000018</v>
      </c>
      <c r="K4" s="33">
        <f t="shared" si="3"/>
        <v>0.6426608748010032</v>
      </c>
    </row>
    <row r="5" spans="1:11" x14ac:dyDescent="0.3">
      <c r="A5" s="27" t="s">
        <v>30</v>
      </c>
      <c r="B5" s="34">
        <v>6.09</v>
      </c>
      <c r="C5" s="34">
        <v>5.75</v>
      </c>
      <c r="D5" s="34">
        <v>6.33</v>
      </c>
      <c r="E5" s="34">
        <f t="shared" si="0"/>
        <v>6.1899999999999995</v>
      </c>
      <c r="F5" s="34">
        <f t="shared" si="1"/>
        <v>0.30265491900843106</v>
      </c>
      <c r="G5" s="26">
        <v>9.8450000000000006</v>
      </c>
      <c r="H5" s="34">
        <v>8.98</v>
      </c>
      <c r="I5" s="34">
        <v>9.8800000000000008</v>
      </c>
      <c r="J5" s="34">
        <f t="shared" si="2"/>
        <v>10.675000000000002</v>
      </c>
      <c r="K5" s="34">
        <f t="shared" si="3"/>
        <v>0.84804186217426891</v>
      </c>
    </row>
    <row r="6" spans="1:11" x14ac:dyDescent="0.3">
      <c r="A6" s="17" t="s">
        <v>31</v>
      </c>
      <c r="B6" s="33">
        <v>10.97</v>
      </c>
      <c r="C6" s="33">
        <v>11.24</v>
      </c>
      <c r="D6" s="33">
        <v>10.76</v>
      </c>
      <c r="E6" s="33">
        <f t="shared" si="0"/>
        <v>10.910000000000002</v>
      </c>
      <c r="F6" s="33">
        <f t="shared" si="1"/>
        <v>0.24556058315617349</v>
      </c>
      <c r="G6">
        <v>19.558000000000003</v>
      </c>
      <c r="H6" s="33">
        <v>19.059999999999999</v>
      </c>
      <c r="I6" s="33">
        <v>19.350000000000001</v>
      </c>
      <c r="J6" s="33">
        <f t="shared" si="2"/>
        <v>20.264000000000003</v>
      </c>
      <c r="K6" s="33">
        <f t="shared" si="3"/>
        <v>0.62837250098966169</v>
      </c>
    </row>
    <row r="7" spans="1:11" x14ac:dyDescent="0.3">
      <c r="A7" s="27" t="s">
        <v>32</v>
      </c>
      <c r="B7" s="34">
        <v>10.199999999999999</v>
      </c>
      <c r="C7" s="34">
        <v>9.68</v>
      </c>
      <c r="D7" s="34">
        <v>10.68</v>
      </c>
      <c r="E7" s="34">
        <f t="shared" si="0"/>
        <v>10.239999999999998</v>
      </c>
      <c r="F7" s="34">
        <f t="shared" si="1"/>
        <v>0.5011985634456666</v>
      </c>
      <c r="G7" s="26">
        <v>16.005000000000003</v>
      </c>
      <c r="H7" s="34">
        <v>16.559999999999999</v>
      </c>
      <c r="I7" s="34">
        <v>15.85</v>
      </c>
      <c r="J7" s="34">
        <f t="shared" si="2"/>
        <v>15.605000000000009</v>
      </c>
      <c r="K7" s="34">
        <f t="shared" si="3"/>
        <v>0.49600907249766674</v>
      </c>
    </row>
    <row r="8" spans="1:11" x14ac:dyDescent="0.3">
      <c r="A8" s="17" t="s">
        <v>33</v>
      </c>
      <c r="B8" s="33">
        <v>10.23</v>
      </c>
      <c r="C8" s="33">
        <v>10.68</v>
      </c>
      <c r="D8" s="33">
        <v>9.59</v>
      </c>
      <c r="E8" s="33">
        <f t="shared" si="0"/>
        <v>10.420000000000002</v>
      </c>
      <c r="F8" s="33">
        <f t="shared" si="1"/>
        <v>0.56929781309961158</v>
      </c>
      <c r="G8">
        <v>17.996000000000002</v>
      </c>
      <c r="H8" s="33">
        <v>17.559999999999999</v>
      </c>
      <c r="I8" s="33">
        <v>18.12</v>
      </c>
      <c r="J8" s="33">
        <f t="shared" si="2"/>
        <v>18.30800000000001</v>
      </c>
      <c r="K8" s="33">
        <f t="shared" si="3"/>
        <v>0.38911180912432347</v>
      </c>
    </row>
    <row r="9" spans="1:11" x14ac:dyDescent="0.3">
      <c r="A9" s="27" t="s">
        <v>34</v>
      </c>
      <c r="B9" s="34">
        <v>8.34</v>
      </c>
      <c r="C9" s="34">
        <v>8.1199999999999992</v>
      </c>
      <c r="D9" s="34">
        <v>8.8800000000000008</v>
      </c>
      <c r="E9" s="34">
        <f t="shared" si="0"/>
        <v>8.0199999999999978</v>
      </c>
      <c r="F9" s="34">
        <f t="shared" si="1"/>
        <v>0.47031904065219526</v>
      </c>
      <c r="G9" s="26">
        <v>13.321</v>
      </c>
      <c r="H9" s="34">
        <v>13.84</v>
      </c>
      <c r="I9" s="34">
        <v>13.45</v>
      </c>
      <c r="J9" s="34">
        <f t="shared" si="2"/>
        <v>12.673000000000002</v>
      </c>
      <c r="K9" s="34">
        <f t="shared" si="3"/>
        <v>0.59409847668547222</v>
      </c>
    </row>
    <row r="10" spans="1:11" x14ac:dyDescent="0.3">
      <c r="A10" s="17" t="s">
        <v>35</v>
      </c>
      <c r="B10" s="33">
        <v>13.56</v>
      </c>
      <c r="C10" s="33">
        <v>13.14</v>
      </c>
      <c r="D10" s="33">
        <v>14.1</v>
      </c>
      <c r="E10" s="33">
        <f t="shared" si="0"/>
        <v>13.44</v>
      </c>
      <c r="F10" s="33">
        <f t="shared" si="1"/>
        <v>0.49112116631234665</v>
      </c>
      <c r="G10">
        <v>21.725000000000001</v>
      </c>
      <c r="H10" s="33">
        <v>22.01</v>
      </c>
      <c r="I10" s="33">
        <v>21.82</v>
      </c>
      <c r="J10" s="33">
        <f t="shared" si="2"/>
        <v>21.345000000000006</v>
      </c>
      <c r="K10" s="33">
        <f t="shared" si="3"/>
        <v>0.34252737116907639</v>
      </c>
    </row>
    <row r="11" spans="1:11" x14ac:dyDescent="0.3">
      <c r="A11" s="27" t="s">
        <v>36</v>
      </c>
      <c r="B11" s="34">
        <v>13.24</v>
      </c>
      <c r="C11" s="34">
        <v>13.12</v>
      </c>
      <c r="D11" s="34">
        <v>13.44</v>
      </c>
      <c r="E11" s="34">
        <f t="shared" si="0"/>
        <v>13.160000000000002</v>
      </c>
      <c r="F11" s="34">
        <f t="shared" si="1"/>
        <v>0.17435595774162649</v>
      </c>
      <c r="G11" s="26">
        <v>21.417000000000002</v>
      </c>
      <c r="H11" s="34">
        <v>21.87</v>
      </c>
      <c r="I11" s="34">
        <v>21.85</v>
      </c>
      <c r="J11" s="34">
        <f t="shared" si="2"/>
        <v>20.530999999999999</v>
      </c>
      <c r="K11" s="34">
        <f t="shared" si="3"/>
        <v>0.76736366867346684</v>
      </c>
    </row>
    <row r="12" spans="1:11" x14ac:dyDescent="0.3">
      <c r="A12" s="17" t="s">
        <v>37</v>
      </c>
      <c r="B12" s="33">
        <v>19.87</v>
      </c>
      <c r="C12" s="33">
        <v>19.440000000000001</v>
      </c>
      <c r="D12" s="33">
        <v>20.05</v>
      </c>
      <c r="E12" s="33">
        <f t="shared" si="0"/>
        <v>20.12</v>
      </c>
      <c r="F12" s="33">
        <f t="shared" si="1"/>
        <v>0.37403208418530065</v>
      </c>
      <c r="G12">
        <v>32.725000000000001</v>
      </c>
      <c r="H12" s="33">
        <v>33.03</v>
      </c>
      <c r="I12" s="33">
        <v>32.880000000000003</v>
      </c>
      <c r="J12" s="33">
        <f t="shared" si="2"/>
        <v>32.265000000000008</v>
      </c>
      <c r="K12" s="33">
        <f t="shared" si="3"/>
        <v>0.40537020117418254</v>
      </c>
    </row>
    <row r="13" spans="1:11" x14ac:dyDescent="0.3">
      <c r="A13" s="27" t="s">
        <v>38</v>
      </c>
      <c r="B13" s="34">
        <v>15.31</v>
      </c>
      <c r="C13" s="34">
        <v>15.12</v>
      </c>
      <c r="D13" s="34">
        <v>15.65</v>
      </c>
      <c r="E13" s="34">
        <f t="shared" si="0"/>
        <v>15.160000000000002</v>
      </c>
      <c r="F13" s="34">
        <f t="shared" si="1"/>
        <v>0.29512709126747411</v>
      </c>
      <c r="G13" s="26">
        <v>26.41</v>
      </c>
      <c r="H13" s="34">
        <v>26.88</v>
      </c>
      <c r="I13" s="34">
        <v>26.48</v>
      </c>
      <c r="J13" s="34">
        <f t="shared" si="2"/>
        <v>25.870000000000008</v>
      </c>
      <c r="K13" s="34">
        <f t="shared" si="3"/>
        <v>0.5086255990411761</v>
      </c>
    </row>
    <row r="14" spans="1:11" x14ac:dyDescent="0.3">
      <c r="A14" s="17" t="s">
        <v>39</v>
      </c>
      <c r="B14" s="33">
        <v>8.9</v>
      </c>
      <c r="C14" s="33">
        <v>8.65</v>
      </c>
      <c r="D14" s="33">
        <v>9.1</v>
      </c>
      <c r="E14" s="33">
        <f t="shared" si="0"/>
        <v>8.9500000000000046</v>
      </c>
      <c r="F14" s="33">
        <f t="shared" si="1"/>
        <v>0.22912878474779216</v>
      </c>
      <c r="G14">
        <v>15.455000000000002</v>
      </c>
      <c r="H14" s="33">
        <v>15.13</v>
      </c>
      <c r="I14" s="33">
        <v>15.63</v>
      </c>
      <c r="J14" s="33">
        <f t="shared" si="2"/>
        <v>15.605000000000006</v>
      </c>
      <c r="K14" s="33">
        <f t="shared" si="3"/>
        <v>0.28173569173961743</v>
      </c>
    </row>
    <row r="15" spans="1:11" x14ac:dyDescent="0.3">
      <c r="A15" s="27" t="s">
        <v>40</v>
      </c>
      <c r="B15" s="34">
        <v>14.67</v>
      </c>
      <c r="C15" s="34">
        <v>14.21</v>
      </c>
      <c r="D15" s="34">
        <v>15.12</v>
      </c>
      <c r="E15" s="34">
        <f t="shared" si="0"/>
        <v>14.679999999999998</v>
      </c>
      <c r="F15" s="34">
        <f t="shared" si="1"/>
        <v>0.45508241011930928</v>
      </c>
      <c r="G15" s="26">
        <v>23.881000000000004</v>
      </c>
      <c r="H15" s="34">
        <v>23.55</v>
      </c>
      <c r="I15" s="34">
        <v>23.88</v>
      </c>
      <c r="J15" s="34">
        <f t="shared" si="2"/>
        <v>24.213000000000019</v>
      </c>
      <c r="K15" s="34">
        <f t="shared" si="3"/>
        <v>0.33150113121979841</v>
      </c>
    </row>
    <row r="16" spans="1:11" x14ac:dyDescent="0.3">
      <c r="A16" s="17" t="s">
        <v>41</v>
      </c>
      <c r="B16" s="33">
        <v>12.37</v>
      </c>
      <c r="C16" s="33">
        <v>12.05</v>
      </c>
      <c r="D16" s="33">
        <v>12.52</v>
      </c>
      <c r="E16" s="33">
        <f t="shared" si="0"/>
        <v>12.54</v>
      </c>
      <c r="F16" s="33">
        <f t="shared" si="1"/>
        <v>0.27730849247724015</v>
      </c>
      <c r="G16">
        <v>20.416</v>
      </c>
      <c r="H16" s="33">
        <v>20.13</v>
      </c>
      <c r="I16" s="33">
        <v>20.52</v>
      </c>
      <c r="J16" s="33">
        <f t="shared" si="2"/>
        <v>20.59800000000001</v>
      </c>
      <c r="K16" s="33">
        <f t="shared" si="3"/>
        <v>0.25073491978582085</v>
      </c>
    </row>
    <row r="17" spans="1:11" x14ac:dyDescent="0.3">
      <c r="A17" s="27" t="s">
        <v>42</v>
      </c>
      <c r="B17" s="34">
        <v>13.68</v>
      </c>
      <c r="C17" s="34">
        <v>13.21</v>
      </c>
      <c r="D17" s="34">
        <v>13.88</v>
      </c>
      <c r="E17" s="34">
        <f t="shared" si="0"/>
        <v>13.949999999999998</v>
      </c>
      <c r="F17" s="34">
        <f t="shared" si="1"/>
        <v>0.40853396431630878</v>
      </c>
      <c r="G17" s="26">
        <v>22.605000000000004</v>
      </c>
      <c r="H17" s="34">
        <v>22.06</v>
      </c>
      <c r="I17" s="34">
        <v>22.63</v>
      </c>
      <c r="J17" s="34">
        <f t="shared" si="2"/>
        <v>23.125000000000011</v>
      </c>
      <c r="K17" s="34">
        <f t="shared" si="3"/>
        <v>0.53293995909483671</v>
      </c>
    </row>
    <row r="18" spans="1:11" x14ac:dyDescent="0.3">
      <c r="A18" s="17" t="s">
        <v>43</v>
      </c>
      <c r="B18" s="33">
        <v>11.56</v>
      </c>
      <c r="C18" s="33">
        <v>11.16</v>
      </c>
      <c r="D18" s="33">
        <v>11.88</v>
      </c>
      <c r="E18" s="33">
        <f t="shared" si="0"/>
        <v>11.639999999999999</v>
      </c>
      <c r="F18" s="33">
        <f t="shared" si="1"/>
        <v>0.36660605559646736</v>
      </c>
      <c r="G18">
        <v>18.645</v>
      </c>
      <c r="H18" s="33">
        <v>18.14</v>
      </c>
      <c r="I18" s="33">
        <v>18.68</v>
      </c>
      <c r="J18" s="33">
        <f t="shared" si="2"/>
        <v>19.115000000000002</v>
      </c>
      <c r="K18" s="33">
        <f t="shared" si="3"/>
        <v>0.48844139873683995</v>
      </c>
    </row>
    <row r="19" spans="1:11" x14ac:dyDescent="0.3">
      <c r="A19" s="27" t="s">
        <v>44</v>
      </c>
      <c r="B19" s="34">
        <v>14.11</v>
      </c>
      <c r="C19" s="34">
        <v>14.01</v>
      </c>
      <c r="D19" s="34">
        <v>14.67</v>
      </c>
      <c r="E19" s="34">
        <f t="shared" si="0"/>
        <v>13.65</v>
      </c>
      <c r="F19" s="34">
        <f t="shared" si="1"/>
        <v>0.51730068625510239</v>
      </c>
      <c r="G19" s="26">
        <v>24.101000000000003</v>
      </c>
      <c r="H19" s="34">
        <v>23.75</v>
      </c>
      <c r="I19" s="34">
        <v>24.35</v>
      </c>
      <c r="J19" s="34">
        <f t="shared" si="2"/>
        <v>24.20300000000001</v>
      </c>
      <c r="K19" s="34">
        <f t="shared" si="3"/>
        <v>0.31273471185655327</v>
      </c>
    </row>
    <row r="20" spans="1:11" x14ac:dyDescent="0.3">
      <c r="B20" s="33"/>
      <c r="C20" s="33"/>
      <c r="D20" s="33"/>
      <c r="E20" s="33"/>
      <c r="F20" s="33"/>
      <c r="H20" s="3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D9FD-BB53-4710-9674-DEEB73857027}">
  <dimension ref="A1:BQ95"/>
  <sheetViews>
    <sheetView topLeftCell="A16" zoomScale="60" zoomScaleNormal="60" workbookViewId="0">
      <pane xSplit="1" topLeftCell="M1" activePane="topRight" state="frozen"/>
      <selection pane="topRight" activeCell="R25" sqref="R25:R42"/>
    </sheetView>
  </sheetViews>
  <sheetFormatPr defaultRowHeight="14.4" x14ac:dyDescent="0.3"/>
  <cols>
    <col min="3" max="3" width="15.6640625" bestFit="1" customWidth="1"/>
    <col min="4" max="4" width="16.6640625" customWidth="1"/>
    <col min="5" max="5" width="17.6640625" bestFit="1" customWidth="1"/>
    <col min="6" max="6" width="11.88671875" bestFit="1" customWidth="1"/>
    <col min="7" max="7" width="18.109375" bestFit="1" customWidth="1"/>
    <col min="8" max="8" width="31.33203125" bestFit="1" customWidth="1"/>
    <col min="9" max="9" width="12.44140625" bestFit="1" customWidth="1"/>
    <col min="10" max="10" width="21.6640625" bestFit="1" customWidth="1"/>
    <col min="11" max="11" width="19.88671875" bestFit="1" customWidth="1"/>
    <col min="12" max="12" width="26.6640625" bestFit="1" customWidth="1"/>
    <col min="13" max="13" width="26.6640625" customWidth="1"/>
    <col min="14" max="17" width="10.44140625" customWidth="1"/>
    <col min="18" max="18" width="21.6640625" customWidth="1"/>
    <col min="19" max="20" width="19.88671875" customWidth="1"/>
    <col min="21" max="21" width="16.88671875" bestFit="1" customWidth="1"/>
    <col min="22" max="22" width="22" bestFit="1" customWidth="1"/>
    <col min="23" max="23" width="18.109375" bestFit="1" customWidth="1"/>
    <col min="24" max="24" width="15.44140625" bestFit="1" customWidth="1"/>
    <col min="25" max="25" width="24.44140625" bestFit="1" customWidth="1"/>
    <col min="26" max="26" width="21.6640625" bestFit="1" customWidth="1"/>
    <col min="27" max="27" width="22.33203125" bestFit="1" customWidth="1"/>
    <col min="28" max="28" width="23.5546875" bestFit="1" customWidth="1"/>
    <col min="29" max="29" width="29.109375" bestFit="1" customWidth="1"/>
    <col min="30" max="30" width="24.33203125" bestFit="1" customWidth="1"/>
    <col min="31" max="31" width="22.109375" bestFit="1" customWidth="1"/>
    <col min="32" max="32" width="22.109375" customWidth="1"/>
    <col min="33" max="33" width="8.88671875" bestFit="1" customWidth="1"/>
    <col min="34" max="34" width="13.88671875" bestFit="1" customWidth="1"/>
    <col min="35" max="35" width="13" bestFit="1" customWidth="1"/>
    <col min="36" max="36" width="16.33203125" bestFit="1" customWidth="1"/>
    <col min="37" max="37" width="13.44140625" bestFit="1" customWidth="1"/>
    <col min="38" max="38" width="10.5546875" bestFit="1" customWidth="1"/>
    <col min="39" max="39" width="6.5546875" bestFit="1" customWidth="1"/>
    <col min="40" max="40" width="12.6640625" bestFit="1" customWidth="1"/>
    <col min="41" max="41" width="12.6640625" customWidth="1"/>
    <col min="42" max="44" width="6.33203125" customWidth="1"/>
    <col min="45" max="45" width="11.33203125" bestFit="1" customWidth="1"/>
    <col min="46" max="46" width="20.44140625" customWidth="1"/>
    <col min="52" max="52" width="18.44140625" bestFit="1" customWidth="1"/>
    <col min="53" max="53" width="21.109375" customWidth="1"/>
    <col min="56" max="56" width="18.44140625" bestFit="1" customWidth="1"/>
    <col min="57" max="57" width="20.6640625" bestFit="1" customWidth="1"/>
    <col min="59" max="59" width="17.109375" bestFit="1" customWidth="1"/>
    <col min="61" max="61" width="19.6640625" bestFit="1" customWidth="1"/>
  </cols>
  <sheetData>
    <row r="1" spans="1:53" x14ac:dyDescent="0.3">
      <c r="C1" s="10">
        <v>4</v>
      </c>
      <c r="D1" s="10">
        <v>7</v>
      </c>
      <c r="E1" s="10">
        <v>5</v>
      </c>
      <c r="F1" s="10">
        <v>6</v>
      </c>
      <c r="G1" s="10">
        <v>3</v>
      </c>
      <c r="H1" s="10">
        <v>8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>
        <v>2</v>
      </c>
      <c r="T1" s="10"/>
      <c r="U1" s="10">
        <v>3</v>
      </c>
    </row>
    <row r="2" spans="1:53" ht="32.25" customHeight="1" x14ac:dyDescent="0.3">
      <c r="B2" t="s">
        <v>0</v>
      </c>
      <c r="U2" t="s">
        <v>20</v>
      </c>
      <c r="AC2" s="7" t="s">
        <v>21</v>
      </c>
    </row>
    <row r="3" spans="1:53" x14ac:dyDescent="0.3">
      <c r="B3" s="1" t="s">
        <v>59</v>
      </c>
      <c r="C3" s="1" t="s">
        <v>16</v>
      </c>
      <c r="D3" s="1" t="s">
        <v>1</v>
      </c>
      <c r="E3" s="1" t="s">
        <v>2</v>
      </c>
      <c r="F3" s="1" t="s">
        <v>3</v>
      </c>
      <c r="G3" s="1" t="s">
        <v>24</v>
      </c>
      <c r="H3" s="1" t="s">
        <v>15</v>
      </c>
      <c r="I3" s="1" t="s">
        <v>17</v>
      </c>
      <c r="J3" s="1" t="s">
        <v>18</v>
      </c>
      <c r="K3" s="5" t="s">
        <v>19</v>
      </c>
      <c r="L3" s="3" t="s">
        <v>23</v>
      </c>
      <c r="M3" s="3" t="s">
        <v>201</v>
      </c>
      <c r="N3" s="3" t="s">
        <v>93</v>
      </c>
      <c r="O3" s="3" t="s">
        <v>99</v>
      </c>
      <c r="P3" s="3" t="s">
        <v>74</v>
      </c>
      <c r="Q3" s="3" t="s">
        <v>103</v>
      </c>
      <c r="R3" s="10" t="s">
        <v>26</v>
      </c>
      <c r="S3" s="9" t="s">
        <v>4</v>
      </c>
      <c r="T3" s="9" t="s">
        <v>70</v>
      </c>
      <c r="U3" s="5" t="s">
        <v>46</v>
      </c>
      <c r="V3" s="5" t="s">
        <v>5</v>
      </c>
      <c r="W3" s="5" t="s">
        <v>6</v>
      </c>
      <c r="X3" s="5" t="s">
        <v>7</v>
      </c>
      <c r="Y3" s="6" t="s">
        <v>8</v>
      </c>
      <c r="Z3" s="6" t="s">
        <v>9</v>
      </c>
      <c r="AA3" s="6" t="s">
        <v>12</v>
      </c>
      <c r="AB3" s="6" t="s">
        <v>13</v>
      </c>
      <c r="AC3" s="5" t="s">
        <v>14</v>
      </c>
      <c r="AD3" s="5" t="s">
        <v>11</v>
      </c>
      <c r="AE3" s="5" t="s">
        <v>10</v>
      </c>
      <c r="AF3" s="5" t="s">
        <v>22</v>
      </c>
      <c r="AG3" s="5"/>
      <c r="AH3" s="5"/>
    </row>
    <row r="4" spans="1:53" x14ac:dyDescent="0.3">
      <c r="A4" s="17" t="s">
        <v>27</v>
      </c>
      <c r="B4" s="2">
        <f>$E$27</f>
        <v>0.2</v>
      </c>
      <c r="C4" s="2">
        <f>E28</f>
        <v>0.45</v>
      </c>
      <c r="D4" s="2">
        <f>E31</f>
        <v>0.34</v>
      </c>
      <c r="E4" s="2">
        <f>E29</f>
        <v>2</v>
      </c>
      <c r="F4" s="2">
        <f>E30</f>
        <v>8</v>
      </c>
      <c r="G4" s="2">
        <f>E26</f>
        <v>400</v>
      </c>
      <c r="H4" s="2">
        <f>E32</f>
        <v>0.7</v>
      </c>
      <c r="I4" s="2">
        <v>2000</v>
      </c>
      <c r="J4" s="2">
        <v>1470</v>
      </c>
      <c r="K4" s="6">
        <f t="shared" ref="K4:K21" si="0">IF(F4=8,1260,IF(F4=10,1310,(IF(F4=12,1370,IF(F4=14,1400,IF(F4=16,1440,0))))))</f>
        <v>1260</v>
      </c>
      <c r="L4" s="8">
        <v>0.08</v>
      </c>
      <c r="M4">
        <v>0.04</v>
      </c>
      <c r="N4">
        <v>403</v>
      </c>
      <c r="O4" s="33">
        <v>10.098000000000001</v>
      </c>
      <c r="P4" t="s">
        <v>69</v>
      </c>
      <c r="Q4">
        <v>23</v>
      </c>
      <c r="R4" s="12" t="s">
        <v>27</v>
      </c>
      <c r="S4" t="str">
        <f>E25</f>
        <v>FA</v>
      </c>
      <c r="T4">
        <f>B4*G4</f>
        <v>80</v>
      </c>
      <c r="U4">
        <f t="shared" ref="U4:U21" si="1">G4*(1-B4)</f>
        <v>320</v>
      </c>
      <c r="V4">
        <f t="shared" ref="V4:V21" si="2">C4*G4</f>
        <v>180</v>
      </c>
      <c r="W4" s="4">
        <f t="shared" ref="W4:W21" si="3">1*V4/(E4+1)</f>
        <v>60</v>
      </c>
      <c r="X4" s="4">
        <f t="shared" ref="X4:X21" si="4">E4*V4/(E4+1)</f>
        <v>120</v>
      </c>
      <c r="Y4">
        <f t="shared" ref="Y4:Y21" si="5">IF(F4=8,0.262*W4,IF(F4=10,0.314*W4,IF(F4=12,0.361*W4,IF(F4=14,0.404*W4,IF(F4=16,0.444*W4,0)))))</f>
        <v>15.72</v>
      </c>
      <c r="Z4">
        <f>0.52*X4</f>
        <v>62.400000000000006</v>
      </c>
      <c r="AA4">
        <f>W4-Y4</f>
        <v>44.28</v>
      </c>
      <c r="AB4">
        <f>X4-Z4</f>
        <v>57.599999999999994</v>
      </c>
      <c r="AC4" s="4">
        <f>D4*(U4+T4+Y4+Z4)-AA4-AB4</f>
        <v>60.680800000000005</v>
      </c>
      <c r="AD4" s="4">
        <f>((H4)/(H4+1))*2650*(1-(U4/I4+W4/K4+X4/J4+AC4/1000+AF4/1290))</f>
        <v>682.2704160953682</v>
      </c>
      <c r="AE4" s="4">
        <f>2650*(1-(U4/I4+W4/K4+X4/J4+AC4/1000+AF4/1290))-AD4</f>
        <v>974.67202299338339</v>
      </c>
      <c r="AF4" s="4">
        <f t="shared" ref="AF4:AF21" si="6">L4*G4</f>
        <v>32</v>
      </c>
      <c r="AG4" s="4"/>
      <c r="AH4" s="4"/>
      <c r="AI4" s="4"/>
      <c r="AJ4" s="4"/>
    </row>
    <row r="5" spans="1:53" x14ac:dyDescent="0.3">
      <c r="A5" s="27" t="s">
        <v>28</v>
      </c>
      <c r="B5" s="2">
        <f t="shared" ref="B5:B12" si="7">$E$27</f>
        <v>0.2</v>
      </c>
      <c r="C5" s="2">
        <f>F28</f>
        <v>0.55000000000000004</v>
      </c>
      <c r="D5" s="2">
        <f>F31</f>
        <v>0.36</v>
      </c>
      <c r="E5" s="2">
        <f>F29</f>
        <v>2.5</v>
      </c>
      <c r="F5" s="2">
        <f>F30</f>
        <v>12</v>
      </c>
      <c r="G5" s="2">
        <f>F26</f>
        <v>450</v>
      </c>
      <c r="H5" s="2">
        <f>F32</f>
        <v>0.9</v>
      </c>
      <c r="I5" s="2">
        <f>I4</f>
        <v>2000</v>
      </c>
      <c r="J5" s="2">
        <v>1470</v>
      </c>
      <c r="K5" s="6">
        <f t="shared" si="0"/>
        <v>1370</v>
      </c>
      <c r="L5" s="8">
        <v>0.08</v>
      </c>
      <c r="M5">
        <v>0.53</v>
      </c>
      <c r="N5">
        <v>616</v>
      </c>
      <c r="O5" s="34">
        <v>16.059999999999999</v>
      </c>
      <c r="P5" s="26">
        <v>14</v>
      </c>
      <c r="Q5" s="26">
        <v>14</v>
      </c>
      <c r="R5" s="12" t="s">
        <v>28</v>
      </c>
      <c r="S5" t="str">
        <f>E25</f>
        <v>FA</v>
      </c>
      <c r="T5">
        <f t="shared" ref="T5:T21" si="8">B5*G5</f>
        <v>90</v>
      </c>
      <c r="U5">
        <f t="shared" si="1"/>
        <v>360</v>
      </c>
      <c r="V5">
        <f t="shared" si="2"/>
        <v>247.50000000000003</v>
      </c>
      <c r="W5" s="4">
        <f t="shared" si="3"/>
        <v>70.714285714285722</v>
      </c>
      <c r="X5" s="4">
        <f t="shared" si="4"/>
        <v>176.78571428571431</v>
      </c>
      <c r="Y5">
        <f t="shared" si="5"/>
        <v>25.527857142857144</v>
      </c>
      <c r="Z5">
        <f t="shared" ref="Z5:Z21" si="9">0.52*X5</f>
        <v>91.928571428571445</v>
      </c>
      <c r="AA5">
        <f t="shared" ref="AA5:AB20" si="10">W5-Y5</f>
        <v>45.186428571428578</v>
      </c>
      <c r="AB5">
        <f t="shared" si="10"/>
        <v>84.857142857142861</v>
      </c>
      <c r="AC5" s="4">
        <f t="shared" ref="AC5:AC21" si="11">D5*(U5+T5+Y5+Z5)-AA5-AB5</f>
        <v>74.240742857142862</v>
      </c>
      <c r="AD5" s="4">
        <f t="shared" ref="AD5:AD21" si="12">((H5)/(H5+1))*2650*(1-(U5/I5+W5/K5+X5/J5+AC5/1000+AF5/1290))</f>
        <v>685.34057386229927</v>
      </c>
      <c r="AE5" s="4">
        <f t="shared" ref="AE5:AE21" si="13">2650*(1-(U5/I5+W5/K5+X5/J5+AC5/1000+AF5/1290))-AD5</f>
        <v>761.48952651366574</v>
      </c>
      <c r="AF5" s="4">
        <f t="shared" si="6"/>
        <v>36</v>
      </c>
      <c r="AG5" s="4"/>
      <c r="AH5" s="4"/>
    </row>
    <row r="6" spans="1:53" x14ac:dyDescent="0.3">
      <c r="A6" s="17" t="s">
        <v>29</v>
      </c>
      <c r="B6" s="2">
        <f t="shared" si="7"/>
        <v>0.2</v>
      </c>
      <c r="C6" s="2">
        <f>G28</f>
        <v>0.65</v>
      </c>
      <c r="D6" s="2">
        <f>G31</f>
        <v>0.38</v>
      </c>
      <c r="E6" s="2">
        <f>G29</f>
        <v>3</v>
      </c>
      <c r="F6" s="2">
        <f>G30</f>
        <v>16</v>
      </c>
      <c r="G6" s="2">
        <f>G26</f>
        <v>500</v>
      </c>
      <c r="H6" s="2">
        <f>G32</f>
        <v>1.1000000000000001</v>
      </c>
      <c r="I6" s="2">
        <f>I4</f>
        <v>2000</v>
      </c>
      <c r="J6" s="2">
        <v>1470</v>
      </c>
      <c r="K6" s="6">
        <f t="shared" si="0"/>
        <v>1440</v>
      </c>
      <c r="L6" s="8">
        <v>0.08</v>
      </c>
      <c r="M6">
        <v>0.88</v>
      </c>
      <c r="N6">
        <v>775</v>
      </c>
      <c r="O6" s="33">
        <v>18.161000000000005</v>
      </c>
      <c r="P6">
        <v>3.3</v>
      </c>
      <c r="Q6">
        <v>6</v>
      </c>
      <c r="R6" s="12" t="s">
        <v>29</v>
      </c>
      <c r="S6" t="str">
        <f>E25</f>
        <v>FA</v>
      </c>
      <c r="T6">
        <f t="shared" si="8"/>
        <v>100</v>
      </c>
      <c r="U6">
        <f t="shared" si="1"/>
        <v>400</v>
      </c>
      <c r="V6">
        <f t="shared" si="2"/>
        <v>325</v>
      </c>
      <c r="W6" s="4">
        <f t="shared" si="3"/>
        <v>81.25</v>
      </c>
      <c r="X6" s="4">
        <f t="shared" si="4"/>
        <v>243.75</v>
      </c>
      <c r="Y6">
        <f t="shared" si="5"/>
        <v>36.075000000000003</v>
      </c>
      <c r="Z6">
        <f t="shared" si="9"/>
        <v>126.75</v>
      </c>
      <c r="AA6">
        <f t="shared" si="10"/>
        <v>45.174999999999997</v>
      </c>
      <c r="AB6">
        <f t="shared" si="10"/>
        <v>117</v>
      </c>
      <c r="AC6" s="4">
        <f t="shared" si="11"/>
        <v>89.698500000000024</v>
      </c>
      <c r="AD6" s="4">
        <f t="shared" si="12"/>
        <v>634.43421779769119</v>
      </c>
      <c r="AE6" s="4">
        <f t="shared" si="13"/>
        <v>576.75837981608288</v>
      </c>
      <c r="AF6" s="4">
        <f t="shared" si="6"/>
        <v>40</v>
      </c>
      <c r="AG6" s="4"/>
      <c r="AH6" s="4"/>
    </row>
    <row r="7" spans="1:53" x14ac:dyDescent="0.3">
      <c r="A7" s="27" t="s">
        <v>30</v>
      </c>
      <c r="B7" s="2">
        <f t="shared" si="7"/>
        <v>0.2</v>
      </c>
      <c r="C7" s="2">
        <f>E28</f>
        <v>0.45</v>
      </c>
      <c r="D7" s="2">
        <f>G31</f>
        <v>0.38</v>
      </c>
      <c r="E7" s="2">
        <f>F29</f>
        <v>2.5</v>
      </c>
      <c r="F7" s="2">
        <f>F30</f>
        <v>12</v>
      </c>
      <c r="G7" s="2">
        <f>E26</f>
        <v>400</v>
      </c>
      <c r="H7" s="2">
        <f>G32</f>
        <v>1.1000000000000001</v>
      </c>
      <c r="I7" s="2">
        <v>2130</v>
      </c>
      <c r="J7" s="2">
        <v>1470</v>
      </c>
      <c r="K7" s="6">
        <f t="shared" si="0"/>
        <v>1370</v>
      </c>
      <c r="L7" s="8">
        <v>0.08</v>
      </c>
      <c r="M7">
        <v>0.73</v>
      </c>
      <c r="N7">
        <v>524</v>
      </c>
      <c r="O7" s="34">
        <v>9.8450000000000006</v>
      </c>
      <c r="P7" s="26">
        <v>6.12</v>
      </c>
      <c r="Q7" s="26">
        <v>11.5</v>
      </c>
      <c r="R7" s="12" t="s">
        <v>30</v>
      </c>
      <c r="S7" t="str">
        <f>F25</f>
        <v>BA</v>
      </c>
      <c r="T7">
        <f t="shared" si="8"/>
        <v>80</v>
      </c>
      <c r="U7">
        <f t="shared" si="1"/>
        <v>320</v>
      </c>
      <c r="V7">
        <f t="shared" si="2"/>
        <v>180</v>
      </c>
      <c r="W7" s="4">
        <f t="shared" si="3"/>
        <v>51.428571428571431</v>
      </c>
      <c r="X7" s="4">
        <f t="shared" si="4"/>
        <v>128.57142857142858</v>
      </c>
      <c r="Y7">
        <f t="shared" si="5"/>
        <v>18.565714285714286</v>
      </c>
      <c r="Z7">
        <f t="shared" si="9"/>
        <v>66.857142857142861</v>
      </c>
      <c r="AA7">
        <f t="shared" si="10"/>
        <v>32.862857142857145</v>
      </c>
      <c r="AB7">
        <f t="shared" si="10"/>
        <v>61.714285714285722</v>
      </c>
      <c r="AC7" s="4">
        <f t="shared" si="11"/>
        <v>89.883542857142885</v>
      </c>
      <c r="AD7" s="4">
        <f t="shared" si="12"/>
        <v>846.83922314627068</v>
      </c>
      <c r="AE7" s="4">
        <f t="shared" si="13"/>
        <v>769.85383922388235</v>
      </c>
      <c r="AF7" s="4">
        <f t="shared" si="6"/>
        <v>32</v>
      </c>
      <c r="AG7" s="4"/>
      <c r="AH7" s="4"/>
    </row>
    <row r="8" spans="1:53" x14ac:dyDescent="0.3">
      <c r="A8" s="17" t="s">
        <v>31</v>
      </c>
      <c r="B8" s="2">
        <f t="shared" si="7"/>
        <v>0.2</v>
      </c>
      <c r="C8" s="2">
        <f>F28</f>
        <v>0.55000000000000004</v>
      </c>
      <c r="D8" s="2">
        <f>E31</f>
        <v>0.34</v>
      </c>
      <c r="E8" s="2">
        <f>G29</f>
        <v>3</v>
      </c>
      <c r="F8" s="2">
        <f>G30</f>
        <v>16</v>
      </c>
      <c r="G8" s="2">
        <f>F26</f>
        <v>450</v>
      </c>
      <c r="H8" s="2">
        <f>E32</f>
        <v>0.7</v>
      </c>
      <c r="I8" s="2">
        <f>I7</f>
        <v>2130</v>
      </c>
      <c r="J8" s="2">
        <v>1470</v>
      </c>
      <c r="K8" s="6">
        <f t="shared" si="0"/>
        <v>1440</v>
      </c>
      <c r="L8" s="8">
        <v>0.08</v>
      </c>
      <c r="M8">
        <v>0.82</v>
      </c>
      <c r="N8">
        <v>642</v>
      </c>
      <c r="O8" s="33">
        <v>19.558000000000003</v>
      </c>
      <c r="P8">
        <v>5</v>
      </c>
      <c r="Q8">
        <v>7</v>
      </c>
      <c r="R8" s="12" t="s">
        <v>31</v>
      </c>
      <c r="S8" t="str">
        <f>F25</f>
        <v>BA</v>
      </c>
      <c r="T8">
        <f t="shared" si="8"/>
        <v>90</v>
      </c>
      <c r="U8">
        <f t="shared" si="1"/>
        <v>360</v>
      </c>
      <c r="V8">
        <f t="shared" si="2"/>
        <v>247.50000000000003</v>
      </c>
      <c r="W8" s="4">
        <f t="shared" si="3"/>
        <v>61.875000000000007</v>
      </c>
      <c r="X8" s="4">
        <f t="shared" si="4"/>
        <v>185.62500000000003</v>
      </c>
      <c r="Y8">
        <f t="shared" si="5"/>
        <v>27.472500000000004</v>
      </c>
      <c r="Z8">
        <f t="shared" si="9"/>
        <v>96.52500000000002</v>
      </c>
      <c r="AA8">
        <f t="shared" si="10"/>
        <v>34.402500000000003</v>
      </c>
      <c r="AB8">
        <f t="shared" si="10"/>
        <v>89.100000000000009</v>
      </c>
      <c r="AC8" s="4">
        <f t="shared" si="11"/>
        <v>71.656650000000027</v>
      </c>
      <c r="AD8" s="4">
        <f t="shared" si="12"/>
        <v>613.43543702964701</v>
      </c>
      <c r="AE8" s="4">
        <f t="shared" si="13"/>
        <v>876.33633861378155</v>
      </c>
      <c r="AF8" s="4">
        <f t="shared" si="6"/>
        <v>36</v>
      </c>
      <c r="AG8" s="4"/>
      <c r="AH8" s="4"/>
    </row>
    <row r="9" spans="1:53" x14ac:dyDescent="0.3">
      <c r="A9" s="27" t="s">
        <v>32</v>
      </c>
      <c r="B9" s="2">
        <f t="shared" si="7"/>
        <v>0.2</v>
      </c>
      <c r="C9" s="2">
        <f>G28</f>
        <v>0.65</v>
      </c>
      <c r="D9" s="2">
        <f>F31</f>
        <v>0.36</v>
      </c>
      <c r="E9" s="2">
        <f>E29</f>
        <v>2</v>
      </c>
      <c r="F9" s="2">
        <f>E30</f>
        <v>8</v>
      </c>
      <c r="G9" s="2">
        <f>G26</f>
        <v>500</v>
      </c>
      <c r="H9" s="2">
        <f>F32</f>
        <v>0.9</v>
      </c>
      <c r="I9" s="2">
        <f>I7</f>
        <v>2130</v>
      </c>
      <c r="J9" s="2">
        <v>1470</v>
      </c>
      <c r="K9" s="6">
        <f t="shared" si="0"/>
        <v>1260</v>
      </c>
      <c r="L9" s="8">
        <v>0.08</v>
      </c>
      <c r="M9">
        <v>0.84199999999999997</v>
      </c>
      <c r="N9">
        <v>759</v>
      </c>
      <c r="O9" s="34">
        <v>16.005000000000003</v>
      </c>
      <c r="P9" s="26">
        <v>3.78</v>
      </c>
      <c r="Q9" s="26">
        <v>9</v>
      </c>
      <c r="R9" s="12" t="s">
        <v>32</v>
      </c>
      <c r="S9" t="str">
        <f>F25</f>
        <v>BA</v>
      </c>
      <c r="T9">
        <f t="shared" si="8"/>
        <v>100</v>
      </c>
      <c r="U9">
        <f t="shared" si="1"/>
        <v>400</v>
      </c>
      <c r="V9">
        <f t="shared" si="2"/>
        <v>325</v>
      </c>
      <c r="W9" s="4">
        <f t="shared" si="3"/>
        <v>108.33333333333333</v>
      </c>
      <c r="X9" s="4">
        <f t="shared" si="4"/>
        <v>216.66666666666666</v>
      </c>
      <c r="Y9">
        <f t="shared" si="5"/>
        <v>28.383333333333333</v>
      </c>
      <c r="Z9">
        <f t="shared" si="9"/>
        <v>112.66666666666667</v>
      </c>
      <c r="AA9">
        <f t="shared" si="10"/>
        <v>79.949999999999989</v>
      </c>
      <c r="AB9">
        <f t="shared" si="10"/>
        <v>103.99999999999999</v>
      </c>
      <c r="AC9" s="4">
        <f t="shared" si="11"/>
        <v>46.827999999999989</v>
      </c>
      <c r="AD9" s="4">
        <f t="shared" si="12"/>
        <v>628.88645875253849</v>
      </c>
      <c r="AE9" s="4">
        <f t="shared" si="13"/>
        <v>698.76273194726502</v>
      </c>
      <c r="AF9" s="4">
        <f t="shared" si="6"/>
        <v>40</v>
      </c>
      <c r="AG9" s="4"/>
      <c r="AH9" s="4"/>
    </row>
    <row r="10" spans="1:53" s="11" customFormat="1" x14ac:dyDescent="0.3">
      <c r="A10" s="17" t="s">
        <v>33</v>
      </c>
      <c r="B10" s="11">
        <f t="shared" si="7"/>
        <v>0.2</v>
      </c>
      <c r="C10" s="11">
        <f>F28</f>
        <v>0.55000000000000004</v>
      </c>
      <c r="D10" s="11">
        <f>F31</f>
        <v>0.36</v>
      </c>
      <c r="E10" s="11">
        <f>E29</f>
        <v>2</v>
      </c>
      <c r="F10" s="11">
        <f>G30</f>
        <v>16</v>
      </c>
      <c r="G10" s="11">
        <f>E26</f>
        <v>400</v>
      </c>
      <c r="H10" s="11">
        <f>G32</f>
        <v>1.1000000000000001</v>
      </c>
      <c r="I10" s="11">
        <v>1700</v>
      </c>
      <c r="J10" s="11">
        <v>1470</v>
      </c>
      <c r="K10" s="11">
        <f t="shared" si="0"/>
        <v>1440</v>
      </c>
      <c r="L10" s="8">
        <v>0.08</v>
      </c>
      <c r="M10">
        <v>0.80500000000000005</v>
      </c>
      <c r="N10">
        <v>624</v>
      </c>
      <c r="O10" s="33">
        <v>17.996000000000002</v>
      </c>
      <c r="P10">
        <v>8.8000000000000007</v>
      </c>
      <c r="Q10">
        <v>9.5</v>
      </c>
      <c r="R10" s="12" t="s">
        <v>33</v>
      </c>
      <c r="S10" t="str">
        <f>G25</f>
        <v>RHA</v>
      </c>
      <c r="T10">
        <f t="shared" si="8"/>
        <v>80</v>
      </c>
      <c r="U10">
        <f t="shared" si="1"/>
        <v>320</v>
      </c>
      <c r="V10">
        <f t="shared" si="2"/>
        <v>220.00000000000003</v>
      </c>
      <c r="W10" s="4">
        <f t="shared" si="3"/>
        <v>73.333333333333343</v>
      </c>
      <c r="X10" s="4">
        <f t="shared" si="4"/>
        <v>146.66666666666669</v>
      </c>
      <c r="Y10">
        <f t="shared" si="5"/>
        <v>32.56</v>
      </c>
      <c r="Z10">
        <f t="shared" si="9"/>
        <v>76.26666666666668</v>
      </c>
      <c r="AA10">
        <f t="shared" si="10"/>
        <v>40.773333333333341</v>
      </c>
      <c r="AB10">
        <f t="shared" si="10"/>
        <v>70.400000000000006</v>
      </c>
      <c r="AC10" s="4">
        <f t="shared" si="11"/>
        <v>72.004266666666666</v>
      </c>
      <c r="AD10" s="4">
        <f t="shared" si="12"/>
        <v>783.23977450128473</v>
      </c>
      <c r="AE10" s="4">
        <f t="shared" si="13"/>
        <v>712.03615863753157</v>
      </c>
      <c r="AF10" s="4">
        <f t="shared" si="6"/>
        <v>32</v>
      </c>
      <c r="AG10" s="4"/>
      <c r="AH10" s="4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</row>
    <row r="11" spans="1:53" s="11" customFormat="1" x14ac:dyDescent="0.3">
      <c r="A11" s="27" t="s">
        <v>34</v>
      </c>
      <c r="B11" s="11">
        <f t="shared" si="7"/>
        <v>0.2</v>
      </c>
      <c r="C11" s="11">
        <f>G28</f>
        <v>0.65</v>
      </c>
      <c r="D11" s="11">
        <f>G31</f>
        <v>0.38</v>
      </c>
      <c r="E11" s="11">
        <f>F29</f>
        <v>2.5</v>
      </c>
      <c r="F11" s="11">
        <f>E30</f>
        <v>8</v>
      </c>
      <c r="G11" s="11">
        <f>F26</f>
        <v>450</v>
      </c>
      <c r="H11" s="11">
        <f>E32</f>
        <v>0.7</v>
      </c>
      <c r="I11" s="11">
        <f>I10</f>
        <v>1700</v>
      </c>
      <c r="J11" s="11">
        <v>1470</v>
      </c>
      <c r="K11" s="11">
        <f t="shared" si="0"/>
        <v>1260</v>
      </c>
      <c r="L11" s="8">
        <v>0.08</v>
      </c>
      <c r="M11">
        <v>0.87</v>
      </c>
      <c r="N11">
        <v>740.30000000000007</v>
      </c>
      <c r="O11" s="34">
        <v>13.321</v>
      </c>
      <c r="P11" s="26">
        <v>8.3000000000000007</v>
      </c>
      <c r="Q11" s="26">
        <v>9.3000000000000007</v>
      </c>
      <c r="R11" s="12" t="s">
        <v>34</v>
      </c>
      <c r="S11" t="str">
        <f>G25</f>
        <v>RHA</v>
      </c>
      <c r="T11">
        <f t="shared" si="8"/>
        <v>90</v>
      </c>
      <c r="U11">
        <f t="shared" si="1"/>
        <v>360</v>
      </c>
      <c r="V11">
        <f t="shared" si="2"/>
        <v>292.5</v>
      </c>
      <c r="W11" s="4">
        <f t="shared" si="3"/>
        <v>83.571428571428569</v>
      </c>
      <c r="X11" s="4">
        <f t="shared" si="4"/>
        <v>208.92857142857142</v>
      </c>
      <c r="Y11">
        <f t="shared" si="5"/>
        <v>21.895714285714288</v>
      </c>
      <c r="Z11">
        <f t="shared" si="9"/>
        <v>108.64285714285714</v>
      </c>
      <c r="AA11">
        <f t="shared" si="10"/>
        <v>61.675714285714278</v>
      </c>
      <c r="AB11">
        <f t="shared" si="10"/>
        <v>100.28571428571428</v>
      </c>
      <c r="AC11" s="4">
        <f t="shared" si="11"/>
        <v>58.643228571428608</v>
      </c>
      <c r="AD11" s="4">
        <f t="shared" si="12"/>
        <v>538.20127426963666</v>
      </c>
      <c r="AE11" s="4">
        <f t="shared" si="13"/>
        <v>768.85896324233829</v>
      </c>
      <c r="AF11" s="4">
        <f t="shared" si="6"/>
        <v>36</v>
      </c>
      <c r="AG11" s="4"/>
      <c r="AH11" s="4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</row>
    <row r="12" spans="1:53" s="11" customFormat="1" x14ac:dyDescent="0.3">
      <c r="A12" s="17" t="s">
        <v>35</v>
      </c>
      <c r="B12" s="11">
        <f t="shared" si="7"/>
        <v>0.2</v>
      </c>
      <c r="C12" s="11">
        <f>E28</f>
        <v>0.45</v>
      </c>
      <c r="D12" s="11">
        <f>E31</f>
        <v>0.34</v>
      </c>
      <c r="E12" s="11">
        <f>G29</f>
        <v>3</v>
      </c>
      <c r="F12" s="11">
        <f>F30</f>
        <v>12</v>
      </c>
      <c r="G12" s="11">
        <f>G26</f>
        <v>500</v>
      </c>
      <c r="H12" s="11">
        <f>F32</f>
        <v>0.9</v>
      </c>
      <c r="I12" s="11">
        <f>I10</f>
        <v>1700</v>
      </c>
      <c r="J12" s="11">
        <v>1470</v>
      </c>
      <c r="K12" s="11">
        <f t="shared" si="0"/>
        <v>1370</v>
      </c>
      <c r="L12" s="8">
        <v>0.08</v>
      </c>
      <c r="M12">
        <v>0.79</v>
      </c>
      <c r="N12">
        <v>787</v>
      </c>
      <c r="O12" s="33">
        <v>21.725000000000001</v>
      </c>
      <c r="P12">
        <v>11.200000000000001</v>
      </c>
      <c r="Q12">
        <v>13</v>
      </c>
      <c r="R12" s="12" t="s">
        <v>35</v>
      </c>
      <c r="S12" t="str">
        <f>G25</f>
        <v>RHA</v>
      </c>
      <c r="T12">
        <f t="shared" si="8"/>
        <v>100</v>
      </c>
      <c r="U12">
        <f t="shared" si="1"/>
        <v>400</v>
      </c>
      <c r="V12">
        <f t="shared" si="2"/>
        <v>225</v>
      </c>
      <c r="W12" s="4">
        <f t="shared" si="3"/>
        <v>56.25</v>
      </c>
      <c r="X12" s="4">
        <f t="shared" si="4"/>
        <v>168.75</v>
      </c>
      <c r="Y12">
        <f t="shared" si="5"/>
        <v>20.306249999999999</v>
      </c>
      <c r="Z12">
        <f t="shared" si="9"/>
        <v>87.75</v>
      </c>
      <c r="AA12">
        <f t="shared" si="10"/>
        <v>35.943750000000001</v>
      </c>
      <c r="AB12">
        <f t="shared" si="10"/>
        <v>81</v>
      </c>
      <c r="AC12" s="4">
        <f t="shared" si="11"/>
        <v>89.795375000000007</v>
      </c>
      <c r="AD12" s="4">
        <f t="shared" si="12"/>
        <v>612.62922962397704</v>
      </c>
      <c r="AE12" s="4">
        <f t="shared" si="13"/>
        <v>680.69914402664119</v>
      </c>
      <c r="AF12" s="4">
        <f t="shared" si="6"/>
        <v>40</v>
      </c>
      <c r="AG12" s="4"/>
      <c r="AH12" s="4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</row>
    <row r="13" spans="1:53" s="11" customFormat="1" x14ac:dyDescent="0.3">
      <c r="A13" s="27" t="s">
        <v>36</v>
      </c>
      <c r="B13" s="11">
        <f>$F$27</f>
        <v>0.3</v>
      </c>
      <c r="C13" s="11">
        <f>G28</f>
        <v>0.65</v>
      </c>
      <c r="D13" s="11">
        <f>F31</f>
        <v>0.36</v>
      </c>
      <c r="E13" s="11">
        <f>G29</f>
        <v>3</v>
      </c>
      <c r="F13" s="11">
        <f>F30</f>
        <v>12</v>
      </c>
      <c r="G13" s="11">
        <f>E26</f>
        <v>400</v>
      </c>
      <c r="H13" s="11">
        <f>E32</f>
        <v>0.7</v>
      </c>
      <c r="I13" s="11">
        <f>I4</f>
        <v>2000</v>
      </c>
      <c r="J13" s="11">
        <v>1470</v>
      </c>
      <c r="K13" s="11">
        <f t="shared" si="0"/>
        <v>1370</v>
      </c>
      <c r="L13" s="8">
        <v>0.08</v>
      </c>
      <c r="M13">
        <v>0.67</v>
      </c>
      <c r="N13">
        <v>567</v>
      </c>
      <c r="O13" s="34">
        <v>21.417000000000002</v>
      </c>
      <c r="P13" s="26">
        <v>10.14</v>
      </c>
      <c r="Q13" s="26">
        <v>13</v>
      </c>
      <c r="R13" s="12" t="s">
        <v>36</v>
      </c>
      <c r="S13" t="str">
        <f>E25</f>
        <v>FA</v>
      </c>
      <c r="T13">
        <f t="shared" si="8"/>
        <v>120</v>
      </c>
      <c r="U13">
        <f t="shared" si="1"/>
        <v>280</v>
      </c>
      <c r="V13">
        <f t="shared" si="2"/>
        <v>260</v>
      </c>
      <c r="W13" s="4">
        <f t="shared" si="3"/>
        <v>65</v>
      </c>
      <c r="X13" s="4">
        <f t="shared" si="4"/>
        <v>195</v>
      </c>
      <c r="Y13">
        <f t="shared" si="5"/>
        <v>23.465</v>
      </c>
      <c r="Z13">
        <f t="shared" si="9"/>
        <v>101.4</v>
      </c>
      <c r="AA13">
        <f t="shared" si="10"/>
        <v>41.534999999999997</v>
      </c>
      <c r="AB13">
        <f t="shared" si="10"/>
        <v>93.6</v>
      </c>
      <c r="AC13" s="4">
        <f t="shared" si="11"/>
        <v>53.816400000000016</v>
      </c>
      <c r="AD13" s="4">
        <f t="shared" si="12"/>
        <v>656.10158626323096</v>
      </c>
      <c r="AE13" s="4">
        <f t="shared" si="13"/>
        <v>937.28798037604452</v>
      </c>
      <c r="AF13" s="4">
        <f t="shared" si="6"/>
        <v>32</v>
      </c>
      <c r="AG13" s="4"/>
      <c r="AH13" s="4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</row>
    <row r="14" spans="1:53" s="11" customFormat="1" x14ac:dyDescent="0.3">
      <c r="A14" s="17" t="s">
        <v>37</v>
      </c>
      <c r="B14" s="11">
        <f t="shared" ref="B14:B21" si="14">$F$27</f>
        <v>0.3</v>
      </c>
      <c r="C14" s="11">
        <f>E28</f>
        <v>0.45</v>
      </c>
      <c r="D14" s="11">
        <f>G31</f>
        <v>0.38</v>
      </c>
      <c r="E14" s="11">
        <f>E29</f>
        <v>2</v>
      </c>
      <c r="F14" s="11">
        <f>G30</f>
        <v>16</v>
      </c>
      <c r="G14" s="11">
        <f>F26</f>
        <v>450</v>
      </c>
      <c r="H14" s="11">
        <f>F32</f>
        <v>0.9</v>
      </c>
      <c r="I14" s="11">
        <f>I4</f>
        <v>2000</v>
      </c>
      <c r="J14" s="11">
        <v>1470</v>
      </c>
      <c r="K14" s="11">
        <f t="shared" si="0"/>
        <v>1440</v>
      </c>
      <c r="L14" s="8">
        <v>0.08</v>
      </c>
      <c r="M14">
        <v>0.31</v>
      </c>
      <c r="N14">
        <v>540</v>
      </c>
      <c r="O14" s="33">
        <v>32.725000000000001</v>
      </c>
      <c r="P14">
        <v>15.5</v>
      </c>
      <c r="Q14">
        <v>22</v>
      </c>
      <c r="R14" s="12" t="s">
        <v>37</v>
      </c>
      <c r="S14" t="str">
        <f>E25</f>
        <v>FA</v>
      </c>
      <c r="T14">
        <f t="shared" si="8"/>
        <v>135</v>
      </c>
      <c r="U14">
        <f t="shared" si="1"/>
        <v>315</v>
      </c>
      <c r="V14">
        <f t="shared" si="2"/>
        <v>202.5</v>
      </c>
      <c r="W14" s="4">
        <f t="shared" si="3"/>
        <v>67.5</v>
      </c>
      <c r="X14" s="4">
        <f t="shared" si="4"/>
        <v>135</v>
      </c>
      <c r="Y14">
        <f t="shared" si="5"/>
        <v>29.97</v>
      </c>
      <c r="Z14">
        <f t="shared" si="9"/>
        <v>70.2</v>
      </c>
      <c r="AA14">
        <f t="shared" si="10"/>
        <v>37.53</v>
      </c>
      <c r="AB14">
        <f t="shared" si="10"/>
        <v>64.8</v>
      </c>
      <c r="AC14" s="4">
        <f t="shared" si="11"/>
        <v>106.73460000000004</v>
      </c>
      <c r="AD14" s="4">
        <f t="shared" si="12"/>
        <v>714.42886958958843</v>
      </c>
      <c r="AE14" s="4">
        <f t="shared" si="13"/>
        <v>793.8098550995428</v>
      </c>
      <c r="AF14" s="4">
        <f t="shared" si="6"/>
        <v>36</v>
      </c>
      <c r="AG14" s="4"/>
      <c r="AH14" s="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</row>
    <row r="15" spans="1:53" s="11" customFormat="1" x14ac:dyDescent="0.3">
      <c r="A15" s="27" t="s">
        <v>38</v>
      </c>
      <c r="B15" s="11">
        <f t="shared" si="14"/>
        <v>0.3</v>
      </c>
      <c r="C15" s="11">
        <f>F28</f>
        <v>0.55000000000000004</v>
      </c>
      <c r="D15" s="11">
        <f>E31</f>
        <v>0.34</v>
      </c>
      <c r="E15" s="11">
        <f>F29</f>
        <v>2.5</v>
      </c>
      <c r="F15" s="11">
        <f>E30</f>
        <v>8</v>
      </c>
      <c r="G15" s="11">
        <f>G26</f>
        <v>500</v>
      </c>
      <c r="H15" s="11">
        <f>G32</f>
        <v>1.1000000000000001</v>
      </c>
      <c r="I15" s="11">
        <f>I4</f>
        <v>2000</v>
      </c>
      <c r="J15" s="11">
        <v>1470</v>
      </c>
      <c r="K15" s="11">
        <f t="shared" si="0"/>
        <v>1260</v>
      </c>
      <c r="L15" s="8">
        <v>0.08</v>
      </c>
      <c r="M15">
        <v>0.24</v>
      </c>
      <c r="N15">
        <v>572</v>
      </c>
      <c r="O15" s="34">
        <v>26.41</v>
      </c>
      <c r="P15" s="26">
        <v>18.5</v>
      </c>
      <c r="Q15" s="26">
        <v>29</v>
      </c>
      <c r="R15" s="12" t="s">
        <v>38</v>
      </c>
      <c r="S15" t="str">
        <f>E25</f>
        <v>FA</v>
      </c>
      <c r="T15">
        <f t="shared" si="8"/>
        <v>150</v>
      </c>
      <c r="U15">
        <f t="shared" si="1"/>
        <v>350</v>
      </c>
      <c r="V15">
        <f t="shared" si="2"/>
        <v>275</v>
      </c>
      <c r="W15" s="4">
        <f t="shared" si="3"/>
        <v>78.571428571428569</v>
      </c>
      <c r="X15" s="4">
        <f t="shared" si="4"/>
        <v>196.42857142857142</v>
      </c>
      <c r="Y15">
        <f t="shared" si="5"/>
        <v>20.585714285714285</v>
      </c>
      <c r="Z15">
        <f t="shared" si="9"/>
        <v>102.14285714285714</v>
      </c>
      <c r="AA15">
        <f t="shared" si="10"/>
        <v>57.98571428571428</v>
      </c>
      <c r="AB15">
        <f t="shared" si="10"/>
        <v>94.285714285714278</v>
      </c>
      <c r="AC15" s="4">
        <f t="shared" si="11"/>
        <v>59.456285714285741</v>
      </c>
      <c r="AD15" s="4">
        <f t="shared" si="12"/>
        <v>747.56258711063185</v>
      </c>
      <c r="AE15" s="4">
        <f t="shared" si="13"/>
        <v>679.6023519187562</v>
      </c>
      <c r="AF15" s="4">
        <f t="shared" si="6"/>
        <v>40</v>
      </c>
      <c r="AG15" s="4"/>
      <c r="AH15" s="4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53" x14ac:dyDescent="0.3">
      <c r="A16" s="17" t="s">
        <v>39</v>
      </c>
      <c r="B16" s="2">
        <f t="shared" si="14"/>
        <v>0.3</v>
      </c>
      <c r="C16" s="2">
        <f>F28</f>
        <v>0.55000000000000004</v>
      </c>
      <c r="D16" s="2">
        <f>G31</f>
        <v>0.38</v>
      </c>
      <c r="E16" s="2">
        <f>G29</f>
        <v>3</v>
      </c>
      <c r="F16" s="2">
        <f>E30</f>
        <v>8</v>
      </c>
      <c r="G16" s="2">
        <f>E26</f>
        <v>400</v>
      </c>
      <c r="H16" s="2">
        <f>F32</f>
        <v>0.9</v>
      </c>
      <c r="I16" s="2">
        <f>I7</f>
        <v>2130</v>
      </c>
      <c r="J16" s="2">
        <v>1470</v>
      </c>
      <c r="K16" s="6">
        <f t="shared" si="0"/>
        <v>1260</v>
      </c>
      <c r="L16" s="8">
        <v>0.08</v>
      </c>
      <c r="M16">
        <v>0.84</v>
      </c>
      <c r="N16">
        <v>710</v>
      </c>
      <c r="O16" s="33">
        <v>15.455000000000002</v>
      </c>
      <c r="P16">
        <v>7.08</v>
      </c>
      <c r="Q16">
        <v>9.5</v>
      </c>
      <c r="R16" s="12" t="s">
        <v>39</v>
      </c>
      <c r="S16" t="str">
        <f>F25</f>
        <v>BA</v>
      </c>
      <c r="T16">
        <f t="shared" si="8"/>
        <v>120</v>
      </c>
      <c r="U16">
        <f t="shared" si="1"/>
        <v>280</v>
      </c>
      <c r="V16">
        <f t="shared" si="2"/>
        <v>220.00000000000003</v>
      </c>
      <c r="W16" s="4">
        <f t="shared" si="3"/>
        <v>55.000000000000007</v>
      </c>
      <c r="X16" s="4">
        <f t="shared" si="4"/>
        <v>165.00000000000003</v>
      </c>
      <c r="Y16">
        <f t="shared" si="5"/>
        <v>14.410000000000002</v>
      </c>
      <c r="Z16">
        <f t="shared" si="9"/>
        <v>85.800000000000011</v>
      </c>
      <c r="AA16">
        <f t="shared" si="10"/>
        <v>40.590000000000003</v>
      </c>
      <c r="AB16">
        <f t="shared" si="10"/>
        <v>79.200000000000017</v>
      </c>
      <c r="AC16" s="4">
        <f t="shared" si="11"/>
        <v>70.289799999999985</v>
      </c>
      <c r="AD16" s="4">
        <f t="shared" si="12"/>
        <v>775.19141318524532</v>
      </c>
      <c r="AE16" s="4">
        <f t="shared" si="13"/>
        <v>861.32379242805052</v>
      </c>
      <c r="AF16" s="4">
        <f t="shared" si="6"/>
        <v>32</v>
      </c>
      <c r="AG16" s="4"/>
      <c r="AH16" s="4"/>
    </row>
    <row r="17" spans="1:63" x14ac:dyDescent="0.3">
      <c r="A17" s="27" t="s">
        <v>40</v>
      </c>
      <c r="B17" s="2">
        <f t="shared" si="14"/>
        <v>0.3</v>
      </c>
      <c r="C17" s="2">
        <f>G28</f>
        <v>0.65</v>
      </c>
      <c r="D17" s="2">
        <f>E31</f>
        <v>0.34</v>
      </c>
      <c r="E17" s="2">
        <f>E29</f>
        <v>2</v>
      </c>
      <c r="F17" s="2">
        <f>F30</f>
        <v>12</v>
      </c>
      <c r="G17" s="2">
        <f>F26</f>
        <v>450</v>
      </c>
      <c r="H17" s="2">
        <f>G32</f>
        <v>1.1000000000000001</v>
      </c>
      <c r="I17" s="2">
        <f>I7</f>
        <v>2130</v>
      </c>
      <c r="J17" s="2">
        <v>1470</v>
      </c>
      <c r="K17" s="6">
        <f t="shared" si="0"/>
        <v>1370</v>
      </c>
      <c r="L17" s="8">
        <v>0.08</v>
      </c>
      <c r="M17">
        <v>0.63</v>
      </c>
      <c r="N17">
        <v>665.5</v>
      </c>
      <c r="O17" s="34">
        <v>23.881000000000004</v>
      </c>
      <c r="P17" s="26">
        <v>4.3</v>
      </c>
      <c r="Q17" s="26">
        <v>7</v>
      </c>
      <c r="R17" s="12" t="s">
        <v>40</v>
      </c>
      <c r="S17" t="str">
        <f>F25</f>
        <v>BA</v>
      </c>
      <c r="T17">
        <f t="shared" si="8"/>
        <v>135</v>
      </c>
      <c r="U17">
        <f t="shared" si="1"/>
        <v>315</v>
      </c>
      <c r="V17">
        <f t="shared" si="2"/>
        <v>292.5</v>
      </c>
      <c r="W17" s="4">
        <f t="shared" si="3"/>
        <v>97.5</v>
      </c>
      <c r="X17" s="4">
        <f t="shared" si="4"/>
        <v>195</v>
      </c>
      <c r="Y17">
        <f t="shared" si="5"/>
        <v>35.197499999999998</v>
      </c>
      <c r="Z17">
        <f t="shared" si="9"/>
        <v>101.4</v>
      </c>
      <c r="AA17">
        <f t="shared" si="10"/>
        <v>62.302500000000002</v>
      </c>
      <c r="AB17">
        <f t="shared" si="10"/>
        <v>93.6</v>
      </c>
      <c r="AC17" s="4">
        <f t="shared" si="11"/>
        <v>43.540649999999999</v>
      </c>
      <c r="AD17" s="4">
        <f t="shared" si="12"/>
        <v>800.71455510166265</v>
      </c>
      <c r="AE17" s="4">
        <f t="shared" si="13"/>
        <v>727.92232281969336</v>
      </c>
      <c r="AF17" s="4">
        <f t="shared" si="6"/>
        <v>36</v>
      </c>
      <c r="AG17" s="4"/>
      <c r="AH17" s="4"/>
    </row>
    <row r="18" spans="1:63" x14ac:dyDescent="0.3">
      <c r="A18" s="17" t="s">
        <v>41</v>
      </c>
      <c r="B18" s="2">
        <f t="shared" si="14"/>
        <v>0.3</v>
      </c>
      <c r="C18" s="2">
        <f>E28</f>
        <v>0.45</v>
      </c>
      <c r="D18" s="2">
        <f>F31</f>
        <v>0.36</v>
      </c>
      <c r="E18" s="2">
        <f>F29</f>
        <v>2.5</v>
      </c>
      <c r="F18" s="2">
        <f>G30</f>
        <v>16</v>
      </c>
      <c r="G18" s="2">
        <f>G26</f>
        <v>500</v>
      </c>
      <c r="H18" s="2">
        <f>E32</f>
        <v>0.7</v>
      </c>
      <c r="I18" s="2">
        <f>I8</f>
        <v>2130</v>
      </c>
      <c r="J18" s="2">
        <v>1470</v>
      </c>
      <c r="K18" s="6">
        <f t="shared" si="0"/>
        <v>1440</v>
      </c>
      <c r="L18" s="8">
        <v>0.08</v>
      </c>
      <c r="M18">
        <v>0.8</v>
      </c>
      <c r="N18">
        <v>710</v>
      </c>
      <c r="O18" s="33">
        <v>20.416</v>
      </c>
      <c r="P18">
        <v>4.9000000000000004</v>
      </c>
      <c r="Q18">
        <v>9</v>
      </c>
      <c r="R18" s="12" t="s">
        <v>41</v>
      </c>
      <c r="S18" t="str">
        <f>F25</f>
        <v>BA</v>
      </c>
      <c r="T18">
        <f t="shared" si="8"/>
        <v>150</v>
      </c>
      <c r="U18">
        <f t="shared" si="1"/>
        <v>350</v>
      </c>
      <c r="V18">
        <f t="shared" si="2"/>
        <v>225</v>
      </c>
      <c r="W18" s="4">
        <f t="shared" si="3"/>
        <v>64.285714285714292</v>
      </c>
      <c r="X18" s="4">
        <f t="shared" si="4"/>
        <v>160.71428571428572</v>
      </c>
      <c r="Y18">
        <f t="shared" si="5"/>
        <v>28.542857142857144</v>
      </c>
      <c r="Z18">
        <f t="shared" si="9"/>
        <v>83.571428571428584</v>
      </c>
      <c r="AA18">
        <f t="shared" si="10"/>
        <v>35.742857142857147</v>
      </c>
      <c r="AB18">
        <f t="shared" si="10"/>
        <v>77.142857142857139</v>
      </c>
      <c r="AC18" s="4">
        <f t="shared" si="11"/>
        <v>107.47542857142858</v>
      </c>
      <c r="AD18" s="4">
        <f t="shared" si="12"/>
        <v>592.7546300784054</v>
      </c>
      <c r="AE18" s="4">
        <f t="shared" si="13"/>
        <v>846.79232868343638</v>
      </c>
      <c r="AF18" s="4">
        <f t="shared" si="6"/>
        <v>40</v>
      </c>
      <c r="AG18" s="4"/>
      <c r="AH18" s="4"/>
    </row>
    <row r="19" spans="1:63" x14ac:dyDescent="0.3">
      <c r="A19" s="27" t="s">
        <v>42</v>
      </c>
      <c r="B19" s="2">
        <f t="shared" si="14"/>
        <v>0.3</v>
      </c>
      <c r="C19" s="2">
        <f>G28</f>
        <v>0.65</v>
      </c>
      <c r="D19" s="2">
        <f>E31</f>
        <v>0.34</v>
      </c>
      <c r="E19" s="2">
        <f>F29</f>
        <v>2.5</v>
      </c>
      <c r="F19" s="2">
        <f>G30</f>
        <v>16</v>
      </c>
      <c r="G19" s="2">
        <f>E26</f>
        <v>400</v>
      </c>
      <c r="H19" s="2">
        <f>F32</f>
        <v>0.9</v>
      </c>
      <c r="I19" s="2">
        <f>I10</f>
        <v>1700</v>
      </c>
      <c r="J19" s="2">
        <v>1470</v>
      </c>
      <c r="K19" s="6">
        <f t="shared" si="0"/>
        <v>1440</v>
      </c>
      <c r="L19" s="8">
        <v>0.08</v>
      </c>
      <c r="M19">
        <v>0.24</v>
      </c>
      <c r="N19">
        <v>534</v>
      </c>
      <c r="O19" s="34">
        <v>22.605000000000004</v>
      </c>
      <c r="P19" s="26">
        <v>8.5</v>
      </c>
      <c r="Q19" s="26">
        <v>9.5</v>
      </c>
      <c r="R19" s="12" t="s">
        <v>42</v>
      </c>
      <c r="S19" t="str">
        <f>G25</f>
        <v>RHA</v>
      </c>
      <c r="T19">
        <f t="shared" si="8"/>
        <v>120</v>
      </c>
      <c r="U19">
        <f t="shared" si="1"/>
        <v>280</v>
      </c>
      <c r="V19">
        <f t="shared" si="2"/>
        <v>260</v>
      </c>
      <c r="W19" s="4">
        <f t="shared" si="3"/>
        <v>74.285714285714292</v>
      </c>
      <c r="X19" s="4">
        <f t="shared" si="4"/>
        <v>185.71428571428572</v>
      </c>
      <c r="Y19">
        <f t="shared" si="5"/>
        <v>32.982857142857149</v>
      </c>
      <c r="Z19">
        <f t="shared" si="9"/>
        <v>96.571428571428584</v>
      </c>
      <c r="AA19">
        <f t="shared" si="10"/>
        <v>41.302857142857142</v>
      </c>
      <c r="AB19">
        <f t="shared" si="10"/>
        <v>89.142857142857139</v>
      </c>
      <c r="AC19" s="4">
        <f t="shared" si="11"/>
        <v>49.602742857142886</v>
      </c>
      <c r="AD19" s="4">
        <f t="shared" si="12"/>
        <v>731.77024765146894</v>
      </c>
      <c r="AE19" s="4">
        <f t="shared" si="13"/>
        <v>813.07805294607647</v>
      </c>
      <c r="AF19" s="4">
        <f t="shared" si="6"/>
        <v>32</v>
      </c>
      <c r="AG19" s="4"/>
      <c r="AH19" s="4"/>
    </row>
    <row r="20" spans="1:63" x14ac:dyDescent="0.3">
      <c r="A20" s="17" t="s">
        <v>43</v>
      </c>
      <c r="B20" s="2">
        <f t="shared" si="14"/>
        <v>0.3</v>
      </c>
      <c r="C20" s="2">
        <f>E28</f>
        <v>0.45</v>
      </c>
      <c r="D20" s="2">
        <f>F31</f>
        <v>0.36</v>
      </c>
      <c r="E20" s="2">
        <f>G29</f>
        <v>3</v>
      </c>
      <c r="F20" s="2">
        <f>E30</f>
        <v>8</v>
      </c>
      <c r="G20" s="2">
        <f>F26</f>
        <v>450</v>
      </c>
      <c r="H20" s="2">
        <f>G32</f>
        <v>1.1000000000000001</v>
      </c>
      <c r="I20" s="2">
        <f>I10</f>
        <v>1700</v>
      </c>
      <c r="J20" s="2">
        <v>1470</v>
      </c>
      <c r="K20" s="6">
        <f t="shared" si="0"/>
        <v>1260</v>
      </c>
      <c r="L20" s="8">
        <v>0.08</v>
      </c>
      <c r="M20">
        <v>0.08</v>
      </c>
      <c r="N20">
        <v>503</v>
      </c>
      <c r="O20" s="33">
        <v>18.645</v>
      </c>
      <c r="P20">
        <v>13.87</v>
      </c>
      <c r="Q20">
        <v>17</v>
      </c>
      <c r="R20" s="12" t="s">
        <v>43</v>
      </c>
      <c r="S20" t="str">
        <f>G25</f>
        <v>RHA</v>
      </c>
      <c r="T20">
        <f t="shared" si="8"/>
        <v>135</v>
      </c>
      <c r="U20">
        <f t="shared" si="1"/>
        <v>315</v>
      </c>
      <c r="V20">
        <f t="shared" si="2"/>
        <v>202.5</v>
      </c>
      <c r="W20" s="4">
        <f t="shared" si="3"/>
        <v>50.625</v>
      </c>
      <c r="X20" s="4">
        <f t="shared" si="4"/>
        <v>151.875</v>
      </c>
      <c r="Y20">
        <f t="shared" si="5"/>
        <v>13.26375</v>
      </c>
      <c r="Z20">
        <f t="shared" si="9"/>
        <v>78.975000000000009</v>
      </c>
      <c r="AA20">
        <f t="shared" si="10"/>
        <v>37.361249999999998</v>
      </c>
      <c r="AB20">
        <f t="shared" si="10"/>
        <v>72.899999999999991</v>
      </c>
      <c r="AC20" s="4">
        <f t="shared" si="11"/>
        <v>84.944699999999997</v>
      </c>
      <c r="AD20" s="4">
        <f t="shared" si="12"/>
        <v>775.05589609452409</v>
      </c>
      <c r="AE20" s="4">
        <f t="shared" si="13"/>
        <v>704.59626917684022</v>
      </c>
      <c r="AF20" s="4">
        <f t="shared" si="6"/>
        <v>36</v>
      </c>
      <c r="AG20" s="4"/>
      <c r="AH20" s="4"/>
    </row>
    <row r="21" spans="1:63" x14ac:dyDescent="0.3">
      <c r="A21" s="27" t="s">
        <v>44</v>
      </c>
      <c r="B21" s="2">
        <f t="shared" si="14"/>
        <v>0.3</v>
      </c>
      <c r="C21" s="2">
        <f>F28</f>
        <v>0.55000000000000004</v>
      </c>
      <c r="D21" s="2">
        <f>G31</f>
        <v>0.38</v>
      </c>
      <c r="E21" s="2">
        <f>E29</f>
        <v>2</v>
      </c>
      <c r="F21" s="2">
        <f>F30</f>
        <v>12</v>
      </c>
      <c r="G21" s="2">
        <f>G26</f>
        <v>500</v>
      </c>
      <c r="H21" s="2">
        <f>E32</f>
        <v>0.7</v>
      </c>
      <c r="I21" s="2">
        <f>I10</f>
        <v>1700</v>
      </c>
      <c r="J21" s="2">
        <v>1470</v>
      </c>
      <c r="K21" s="6">
        <f t="shared" si="0"/>
        <v>1370</v>
      </c>
      <c r="L21" s="8">
        <v>0.08</v>
      </c>
      <c r="M21">
        <v>0.85</v>
      </c>
      <c r="N21">
        <v>688</v>
      </c>
      <c r="O21" s="34">
        <v>24.101000000000003</v>
      </c>
      <c r="P21" s="26">
        <v>6.98</v>
      </c>
      <c r="Q21" s="26">
        <v>8</v>
      </c>
      <c r="R21" s="12" t="s">
        <v>44</v>
      </c>
      <c r="S21" t="str">
        <f>G25</f>
        <v>RHA</v>
      </c>
      <c r="T21">
        <f t="shared" si="8"/>
        <v>150</v>
      </c>
      <c r="U21">
        <f t="shared" si="1"/>
        <v>350</v>
      </c>
      <c r="V21">
        <f t="shared" si="2"/>
        <v>275</v>
      </c>
      <c r="W21" s="4">
        <f t="shared" si="3"/>
        <v>91.666666666666671</v>
      </c>
      <c r="X21" s="4">
        <f t="shared" si="4"/>
        <v>183.33333333333334</v>
      </c>
      <c r="Y21">
        <f t="shared" si="5"/>
        <v>33.091666666666669</v>
      </c>
      <c r="Z21">
        <f t="shared" si="9"/>
        <v>95.333333333333343</v>
      </c>
      <c r="AA21">
        <f t="shared" ref="AA21:AB21" si="15">W21-Y21</f>
        <v>58.575000000000003</v>
      </c>
      <c r="AB21">
        <f t="shared" si="15"/>
        <v>88</v>
      </c>
      <c r="AC21" s="4">
        <f t="shared" si="11"/>
        <v>92.226500000000044</v>
      </c>
      <c r="AD21" s="4">
        <f t="shared" si="12"/>
        <v>522.95381572574684</v>
      </c>
      <c r="AE21" s="4">
        <f t="shared" si="13"/>
        <v>747.07687960820999</v>
      </c>
      <c r="AF21" s="4">
        <f t="shared" si="6"/>
        <v>40</v>
      </c>
      <c r="AG21" s="4"/>
      <c r="AH21" s="4"/>
    </row>
    <row r="22" spans="1:63" x14ac:dyDescent="0.3">
      <c r="M22" s="33"/>
    </row>
    <row r="23" spans="1:63" x14ac:dyDescent="0.3">
      <c r="T23" s="16" t="s">
        <v>53</v>
      </c>
      <c r="U23" s="15">
        <v>2</v>
      </c>
      <c r="V23" s="16" t="s">
        <v>54</v>
      </c>
      <c r="W23" s="15">
        <v>0</v>
      </c>
      <c r="Y23" s="16" t="s">
        <v>55</v>
      </c>
      <c r="Z23" s="15">
        <f>(U23*(0.1^3)+W23*(0.15^3))</f>
        <v>2.0000000000000005E-3</v>
      </c>
      <c r="AZ23" t="s">
        <v>99</v>
      </c>
      <c r="BC23" t="s">
        <v>93</v>
      </c>
      <c r="BE23" t="s">
        <v>74</v>
      </c>
      <c r="BG23" t="s">
        <v>103</v>
      </c>
      <c r="BI23" t="s">
        <v>205</v>
      </c>
    </row>
    <row r="24" spans="1:63" x14ac:dyDescent="0.3">
      <c r="C24" t="s">
        <v>50</v>
      </c>
      <c r="D24" s="13" t="s">
        <v>0</v>
      </c>
      <c r="E24" s="13" t="s">
        <v>47</v>
      </c>
      <c r="F24" s="13" t="s">
        <v>48</v>
      </c>
      <c r="G24" s="13" t="s">
        <v>49</v>
      </c>
      <c r="R24" s="17" t="s">
        <v>56</v>
      </c>
      <c r="S24" s="18" t="s">
        <v>4</v>
      </c>
      <c r="T24" s="18" t="s">
        <v>71</v>
      </c>
      <c r="U24" s="19" t="s">
        <v>72</v>
      </c>
      <c r="V24" s="19" t="s">
        <v>5</v>
      </c>
      <c r="W24" s="19" t="s">
        <v>6</v>
      </c>
      <c r="X24" s="19" t="s">
        <v>7</v>
      </c>
      <c r="Y24" s="14" t="s">
        <v>8</v>
      </c>
      <c r="Z24" s="14" t="s">
        <v>9</v>
      </c>
      <c r="AA24" s="14" t="s">
        <v>12</v>
      </c>
      <c r="AB24" s="14" t="s">
        <v>13</v>
      </c>
      <c r="AC24" s="19" t="s">
        <v>14</v>
      </c>
      <c r="AD24" s="22" t="s">
        <v>11</v>
      </c>
      <c r="AE24" s="19" t="s">
        <v>10</v>
      </c>
      <c r="AF24" s="19" t="s">
        <v>73</v>
      </c>
      <c r="AG24" s="35" t="s">
        <v>85</v>
      </c>
      <c r="AH24" s="35" t="s">
        <v>124</v>
      </c>
      <c r="AI24" s="35" t="s">
        <v>84</v>
      </c>
      <c r="AJ24" s="35" t="s">
        <v>102</v>
      </c>
      <c r="AK24" s="35" t="s">
        <v>87</v>
      </c>
      <c r="AL24" s="35" t="s">
        <v>125</v>
      </c>
      <c r="AM24" s="35" t="s">
        <v>74</v>
      </c>
      <c r="AN24" s="35" t="s">
        <v>96</v>
      </c>
      <c r="AO24" s="35" t="s">
        <v>104</v>
      </c>
      <c r="AP24" s="35" t="s">
        <v>103</v>
      </c>
      <c r="AQ24" s="35" t="s">
        <v>197</v>
      </c>
      <c r="AR24" s="35" t="s">
        <v>200</v>
      </c>
      <c r="AS24" s="35" t="s">
        <v>75</v>
      </c>
      <c r="AT24" s="35" t="s">
        <v>79</v>
      </c>
      <c r="AZ24" t="s">
        <v>188</v>
      </c>
      <c r="BA24" t="s">
        <v>189</v>
      </c>
      <c r="BC24" t="s">
        <v>196</v>
      </c>
      <c r="BD24" t="s">
        <v>188</v>
      </c>
      <c r="BE24" t="s">
        <v>196</v>
      </c>
      <c r="BF24" t="s">
        <v>188</v>
      </c>
      <c r="BG24" t="s">
        <v>189</v>
      </c>
      <c r="BH24" t="s">
        <v>188</v>
      </c>
      <c r="BI24" t="s">
        <v>189</v>
      </c>
      <c r="BJ24" t="s">
        <v>188</v>
      </c>
    </row>
    <row r="25" spans="1:63" x14ac:dyDescent="0.3">
      <c r="A25" s="17" t="s">
        <v>27</v>
      </c>
      <c r="C25">
        <v>1</v>
      </c>
      <c r="D25" s="13" t="s">
        <v>45</v>
      </c>
      <c r="E25" t="s">
        <v>185</v>
      </c>
      <c r="F25" t="s">
        <v>186</v>
      </c>
      <c r="G25" t="s">
        <v>187</v>
      </c>
      <c r="H25" t="s">
        <v>60</v>
      </c>
      <c r="R25" s="17" t="s">
        <v>27</v>
      </c>
      <c r="S25" s="20" t="str">
        <f>S4</f>
        <v>FA</v>
      </c>
      <c r="T25" s="24">
        <f>$Z$23*T4</f>
        <v>0.16000000000000003</v>
      </c>
      <c r="U25" s="21">
        <f>$Z$23*(U4)</f>
        <v>0.64000000000000012</v>
      </c>
      <c r="V25" s="21">
        <f t="shared" ref="V25:AF40" si="16">$Z$23*V4</f>
        <v>0.3600000000000001</v>
      </c>
      <c r="W25" s="21">
        <f t="shared" si="16"/>
        <v>0.12000000000000002</v>
      </c>
      <c r="X25" s="21">
        <f t="shared" si="16"/>
        <v>0.24000000000000005</v>
      </c>
      <c r="Y25" s="21">
        <f t="shared" si="16"/>
        <v>3.144000000000001E-2</v>
      </c>
      <c r="Z25" s="21">
        <f t="shared" si="16"/>
        <v>0.12480000000000004</v>
      </c>
      <c r="AA25" s="21">
        <f t="shared" si="16"/>
        <v>8.8560000000000028E-2</v>
      </c>
      <c r="AB25" s="21">
        <f t="shared" si="16"/>
        <v>0.11520000000000001</v>
      </c>
      <c r="AC25" s="21">
        <f t="shared" si="16"/>
        <v>0.12136160000000004</v>
      </c>
      <c r="AD25" s="23">
        <f t="shared" si="16"/>
        <v>1.3645408321907366</v>
      </c>
      <c r="AE25" s="21">
        <f t="shared" si="16"/>
        <v>1.9493440459867672</v>
      </c>
      <c r="AF25" s="24">
        <f t="shared" si="16"/>
        <v>6.4000000000000015E-2</v>
      </c>
      <c r="AG25" s="33">
        <f>O4</f>
        <v>10.098000000000001</v>
      </c>
      <c r="AH25" s="33">
        <f>-10*LOG10(1/(AG25^2))</f>
        <v>20.084707327189353</v>
      </c>
      <c r="AI25" s="33">
        <v>7.4</v>
      </c>
      <c r="AJ25" s="33">
        <f>-10*LOG10(1/(AI25^2))</f>
        <v>17.384634394619525</v>
      </c>
      <c r="AK25" s="37">
        <f>N4</f>
        <v>403</v>
      </c>
      <c r="AL25" s="37">
        <f>-10*LOG10(1/(AK25^2))</f>
        <v>52.106100922822193</v>
      </c>
      <c r="AM25" t="str">
        <f>P4</f>
        <v>NA</v>
      </c>
      <c r="AN25" t="e">
        <f>-10*LOG10(AM25^2)</f>
        <v>#VALUE!</v>
      </c>
      <c r="AO25">
        <f t="shared" ref="AO25:AO42" si="17">-10*LOG10(AP25^2)</f>
        <v>-27.234556720351858</v>
      </c>
      <c r="AP25">
        <f t="shared" ref="AP25:AP42" si="18">Q4</f>
        <v>23</v>
      </c>
      <c r="AQ25">
        <f>M4</f>
        <v>0.04</v>
      </c>
      <c r="AR25">
        <f>-10*LOG10(1/(AQ25^2))</f>
        <v>-27.958800173440753</v>
      </c>
      <c r="AS25" s="25">
        <v>45432</v>
      </c>
      <c r="AT25" t="s">
        <v>81</v>
      </c>
      <c r="AZ25" s="68">
        <f>(BA43/(17))^0.5</f>
        <v>5.6711067172724601</v>
      </c>
      <c r="BA25" s="68">
        <f t="shared" ref="BA25:BA42" si="19">(AG25-$AG$43)^2</f>
        <v>85.727023456790121</v>
      </c>
      <c r="BC25" s="37">
        <f t="shared" ref="BC25:BC42" si="20">(AK25-$AK$43)^2</f>
        <v>52029.609999999957</v>
      </c>
      <c r="BD25" s="69">
        <f>(BC43/17)^0.5</f>
        <v>107.3210028235798</v>
      </c>
      <c r="BG25" s="69">
        <f>(AP25-$AP$43)^2</f>
        <v>108.73854938271603</v>
      </c>
      <c r="BH25">
        <f>SQRT(BG43/17)</f>
        <v>6.3310444780467732</v>
      </c>
      <c r="BI25" s="76">
        <f>(AQ25-$AQ$43)^2</f>
        <v>0.32407718827160503</v>
      </c>
      <c r="BJ25">
        <f>SQRT(BI43/17)</f>
        <v>0.2920354139595675</v>
      </c>
    </row>
    <row r="26" spans="1:63" s="26" customFormat="1" x14ac:dyDescent="0.3">
      <c r="A26" s="27" t="s">
        <v>28</v>
      </c>
      <c r="C26" s="26">
        <v>2</v>
      </c>
      <c r="D26" s="26" t="s">
        <v>46</v>
      </c>
      <c r="E26" s="26">
        <v>400</v>
      </c>
      <c r="F26" s="26">
        <v>450</v>
      </c>
      <c r="G26" s="26">
        <v>500</v>
      </c>
      <c r="H26" s="26" t="s">
        <v>61</v>
      </c>
      <c r="R26" s="27" t="s">
        <v>28</v>
      </c>
      <c r="S26" s="28" t="str">
        <f t="shared" ref="S26:S42" si="21">S5</f>
        <v>FA</v>
      </c>
      <c r="T26" s="29">
        <f t="shared" ref="T26:T42" si="22">$Z$23*T5</f>
        <v>0.18000000000000005</v>
      </c>
      <c r="U26" s="21">
        <f t="shared" ref="U26:U42" si="23">$Z$23*(U5)</f>
        <v>0.7200000000000002</v>
      </c>
      <c r="V26" s="30">
        <f t="shared" si="16"/>
        <v>0.49500000000000016</v>
      </c>
      <c r="W26" s="30">
        <f t="shared" si="16"/>
        <v>0.14142857142857149</v>
      </c>
      <c r="X26" s="30">
        <f t="shared" si="16"/>
        <v>0.3535714285714287</v>
      </c>
      <c r="Y26" s="30">
        <f t="shared" si="16"/>
        <v>5.1055714285714301E-2</v>
      </c>
      <c r="Z26" s="30">
        <f t="shared" si="16"/>
        <v>0.18385714285714294</v>
      </c>
      <c r="AA26" s="30">
        <f t="shared" si="16"/>
        <v>9.0372857142857185E-2</v>
      </c>
      <c r="AB26" s="30">
        <f t="shared" si="16"/>
        <v>0.16971428571428576</v>
      </c>
      <c r="AC26" s="30">
        <f t="shared" si="16"/>
        <v>0.14848148571428577</v>
      </c>
      <c r="AD26" s="31">
        <f t="shared" si="16"/>
        <v>1.3706811477245988</v>
      </c>
      <c r="AE26" s="30">
        <f t="shared" si="16"/>
        <v>1.5229790530273319</v>
      </c>
      <c r="AF26" s="29">
        <f t="shared" si="16"/>
        <v>7.2000000000000022E-2</v>
      </c>
      <c r="AG26" s="33">
        <f t="shared" ref="AG26:AG42" si="24">O5</f>
        <v>16.059999999999999</v>
      </c>
      <c r="AH26" s="34">
        <f t="shared" ref="AH26:AH42" si="25">-10*LOG10(1/(AG26^2))</f>
        <v>24.11491081885324</v>
      </c>
      <c r="AI26" s="34">
        <v>8.7200000000000006</v>
      </c>
      <c r="AJ26" s="34">
        <f t="shared" ref="AJ26:AJ42" si="26">-10*LOG10(1/(AI26^2))</f>
        <v>18.810329698651344</v>
      </c>
      <c r="AK26" s="37">
        <f t="shared" ref="AK26:AK42" si="27">N5</f>
        <v>616</v>
      </c>
      <c r="AL26" s="38">
        <f t="shared" ref="AL26:AL42" si="28">-10*LOG10(1/(AK26^2))</f>
        <v>55.791614243288514</v>
      </c>
      <c r="AM26" s="26">
        <f t="shared" ref="AM26:AM42" si="29">P5</f>
        <v>14</v>
      </c>
      <c r="AN26" s="26">
        <f t="shared" ref="AN26:AN42" si="30">-10*LOG10(AM26^2)</f>
        <v>-22.92256071356476</v>
      </c>
      <c r="AO26" s="26">
        <f t="shared" si="17"/>
        <v>-22.92256071356476</v>
      </c>
      <c r="AP26">
        <f t="shared" si="18"/>
        <v>14</v>
      </c>
      <c r="AQ26">
        <f t="shared" ref="AQ26:AQ42" si="31">M5</f>
        <v>0.53</v>
      </c>
      <c r="AR26">
        <f t="shared" ref="AR26:AR42" si="32">-10*LOG10(1/(AQ26^2))</f>
        <v>-5.5144826079842186</v>
      </c>
      <c r="AS26" s="32">
        <v>45434</v>
      </c>
      <c r="AT26" s="26" t="s">
        <v>82</v>
      </c>
      <c r="BA26" s="68">
        <f t="shared" si="19"/>
        <v>10.869476345679024</v>
      </c>
      <c r="BC26" s="37">
        <f t="shared" si="20"/>
        <v>228.00999999999726</v>
      </c>
      <c r="BE26" s="74">
        <f>(AM26-$AM$43)^2</f>
        <v>26.63167093425605</v>
      </c>
      <c r="BF26" s="26">
        <f>SQRT(BE43/16)</f>
        <v>4.4609254513332699</v>
      </c>
      <c r="BG26" s="69">
        <f t="shared" ref="BG26:BG42" si="33">(AP26-$AP$43)^2</f>
        <v>2.0385493827160475</v>
      </c>
      <c r="BI26" s="76">
        <f t="shared" ref="BI26:BI42" si="34">(AQ26-$AQ$43)^2</f>
        <v>6.2849660493827344E-3</v>
      </c>
      <c r="BK26" s="40"/>
    </row>
    <row r="27" spans="1:63" x14ac:dyDescent="0.3">
      <c r="A27" s="17" t="s">
        <v>29</v>
      </c>
      <c r="C27">
        <v>3</v>
      </c>
      <c r="D27" s="13" t="s">
        <v>67</v>
      </c>
      <c r="E27">
        <v>0.2</v>
      </c>
      <c r="F27">
        <v>0.3</v>
      </c>
      <c r="G27" t="s">
        <v>69</v>
      </c>
      <c r="H27" t="s">
        <v>68</v>
      </c>
      <c r="J27" t="s">
        <v>209</v>
      </c>
      <c r="R27" s="17" t="s">
        <v>29</v>
      </c>
      <c r="S27" s="20" t="str">
        <f t="shared" si="21"/>
        <v>FA</v>
      </c>
      <c r="T27" s="24">
        <f t="shared" si="22"/>
        <v>0.20000000000000004</v>
      </c>
      <c r="U27" s="21">
        <f t="shared" si="23"/>
        <v>0.80000000000000016</v>
      </c>
      <c r="V27" s="21">
        <f t="shared" si="16"/>
        <v>0.65000000000000013</v>
      </c>
      <c r="W27" s="21">
        <f t="shared" si="16"/>
        <v>0.16250000000000003</v>
      </c>
      <c r="X27" s="21">
        <f t="shared" si="16"/>
        <v>0.4875000000000001</v>
      </c>
      <c r="Y27" s="21">
        <f t="shared" si="16"/>
        <v>7.215000000000002E-2</v>
      </c>
      <c r="Z27" s="21">
        <f t="shared" si="16"/>
        <v>0.25350000000000006</v>
      </c>
      <c r="AA27" s="21">
        <f t="shared" si="16"/>
        <v>9.0350000000000014E-2</v>
      </c>
      <c r="AB27" s="21">
        <f t="shared" si="16"/>
        <v>0.23400000000000007</v>
      </c>
      <c r="AC27" s="21">
        <f t="shared" si="16"/>
        <v>0.17939700000000008</v>
      </c>
      <c r="AD27" s="23">
        <f t="shared" si="16"/>
        <v>1.2688684355953828</v>
      </c>
      <c r="AE27" s="21">
        <f t="shared" si="16"/>
        <v>1.153516759632166</v>
      </c>
      <c r="AF27" s="24">
        <f t="shared" si="16"/>
        <v>8.0000000000000016E-2</v>
      </c>
      <c r="AG27" s="33">
        <f t="shared" si="24"/>
        <v>18.161000000000005</v>
      </c>
      <c r="AH27" s="33">
        <f t="shared" si="25"/>
        <v>25.182795168420377</v>
      </c>
      <c r="AI27" s="33">
        <v>11.42</v>
      </c>
      <c r="AJ27" s="33">
        <f t="shared" si="26"/>
        <v>21.153322078196584</v>
      </c>
      <c r="AK27" s="37">
        <f t="shared" si="27"/>
        <v>775</v>
      </c>
      <c r="AL27" s="37">
        <f t="shared" si="28"/>
        <v>57.786034050126204</v>
      </c>
      <c r="AM27">
        <f t="shared" si="29"/>
        <v>3.3</v>
      </c>
      <c r="AN27">
        <f t="shared" si="30"/>
        <v>-10.370278797557749</v>
      </c>
      <c r="AO27">
        <f t="shared" si="17"/>
        <v>-15.563025007672874</v>
      </c>
      <c r="AP27">
        <f t="shared" si="18"/>
        <v>6</v>
      </c>
      <c r="AQ27">
        <f t="shared" si="31"/>
        <v>0.88</v>
      </c>
      <c r="AR27">
        <f t="shared" si="32"/>
        <v>-1.1103465569966278</v>
      </c>
      <c r="AS27" s="25">
        <v>45433</v>
      </c>
      <c r="AT27" t="s">
        <v>83</v>
      </c>
      <c r="BA27" s="68">
        <f t="shared" si="19"/>
        <v>1.4301502345678903</v>
      </c>
      <c r="BC27" s="37">
        <f t="shared" si="20"/>
        <v>20707.210000000025</v>
      </c>
      <c r="BE27" s="74">
        <f t="shared" ref="BE27:BE42" si="35">(AM27-$AM$43)^2</f>
        <v>30.685082698961946</v>
      </c>
      <c r="BG27" s="69">
        <f t="shared" si="33"/>
        <v>43.194104938271614</v>
      </c>
      <c r="BI27" s="76">
        <f t="shared" si="34"/>
        <v>7.3290521604938194E-2</v>
      </c>
      <c r="BK27" s="40"/>
    </row>
    <row r="28" spans="1:63" s="26" customFormat="1" x14ac:dyDescent="0.3">
      <c r="A28" s="27" t="s">
        <v>30</v>
      </c>
      <c r="C28" s="26">
        <v>4</v>
      </c>
      <c r="D28" s="26" t="s">
        <v>16</v>
      </c>
      <c r="E28" s="26">
        <v>0.45</v>
      </c>
      <c r="F28" s="26">
        <v>0.55000000000000004</v>
      </c>
      <c r="G28" s="26">
        <v>0.65</v>
      </c>
      <c r="H28" s="26" t="s">
        <v>62</v>
      </c>
      <c r="R28" s="27" t="s">
        <v>30</v>
      </c>
      <c r="S28" s="28" t="str">
        <f t="shared" si="21"/>
        <v>BA</v>
      </c>
      <c r="T28" s="29">
        <f t="shared" si="22"/>
        <v>0.16000000000000003</v>
      </c>
      <c r="U28" s="21">
        <f t="shared" si="23"/>
        <v>0.64000000000000012</v>
      </c>
      <c r="V28" s="30">
        <f t="shared" si="16"/>
        <v>0.3600000000000001</v>
      </c>
      <c r="W28" s="30">
        <f t="shared" si="16"/>
        <v>0.10285714285714288</v>
      </c>
      <c r="X28" s="30">
        <f t="shared" si="16"/>
        <v>0.25714285714285723</v>
      </c>
      <c r="Y28" s="30">
        <f t="shared" si="16"/>
        <v>3.7131428571428579E-2</v>
      </c>
      <c r="Z28" s="30">
        <f t="shared" si="16"/>
        <v>0.13371428571428576</v>
      </c>
      <c r="AA28" s="30">
        <f t="shared" si="16"/>
        <v>6.5725714285714304E-2</v>
      </c>
      <c r="AB28" s="30">
        <f t="shared" si="16"/>
        <v>0.12342857142857147</v>
      </c>
      <c r="AC28" s="30">
        <f t="shared" si="16"/>
        <v>0.17976708571428582</v>
      </c>
      <c r="AD28" s="31">
        <f t="shared" si="16"/>
        <v>1.6936784462925418</v>
      </c>
      <c r="AE28" s="30">
        <f t="shared" si="16"/>
        <v>1.539707678447765</v>
      </c>
      <c r="AF28" s="29">
        <f t="shared" si="16"/>
        <v>6.4000000000000015E-2</v>
      </c>
      <c r="AG28" s="33">
        <f t="shared" si="24"/>
        <v>9.8450000000000006</v>
      </c>
      <c r="AH28" s="34">
        <f t="shared" si="25"/>
        <v>19.864314409482741</v>
      </c>
      <c r="AI28" s="34">
        <v>6.09</v>
      </c>
      <c r="AJ28" s="34">
        <f t="shared" si="26"/>
        <v>15.692345852657507</v>
      </c>
      <c r="AK28" s="37">
        <f t="shared" si="27"/>
        <v>524</v>
      </c>
      <c r="AL28" s="38">
        <f t="shared" si="28"/>
        <v>54.386625739674528</v>
      </c>
      <c r="AM28" s="26">
        <f t="shared" si="29"/>
        <v>6.12</v>
      </c>
      <c r="AN28" s="26">
        <f t="shared" si="30"/>
        <v>-15.735028442911222</v>
      </c>
      <c r="AO28" s="26">
        <f t="shared" si="17"/>
        <v>-21.213956807072233</v>
      </c>
      <c r="AP28">
        <f t="shared" si="18"/>
        <v>11.5</v>
      </c>
      <c r="AQ28">
        <f t="shared" si="31"/>
        <v>0.73</v>
      </c>
      <c r="AR28">
        <f t="shared" si="32"/>
        <v>-2.7335427975908826</v>
      </c>
      <c r="AS28" s="32">
        <v>45441</v>
      </c>
      <c r="AT28" s="26" t="s">
        <v>86</v>
      </c>
      <c r="BA28" s="68">
        <f t="shared" si="19"/>
        <v>90.476030234567901</v>
      </c>
      <c r="BC28" s="37">
        <f t="shared" si="20"/>
        <v>11470.40999999998</v>
      </c>
      <c r="BE28" s="74">
        <f t="shared" si="35"/>
        <v>7.3952003460207631</v>
      </c>
      <c r="BG28" s="69">
        <f t="shared" si="33"/>
        <v>1.149660493827162</v>
      </c>
      <c r="BI28" s="76">
        <f t="shared" si="34"/>
        <v>1.4573854938271567E-2</v>
      </c>
      <c r="BK28" s="40"/>
    </row>
    <row r="29" spans="1:63" x14ac:dyDescent="0.3">
      <c r="A29" s="17" t="s">
        <v>31</v>
      </c>
      <c r="C29">
        <v>5</v>
      </c>
      <c r="D29" s="13" t="s">
        <v>2</v>
      </c>
      <c r="E29">
        <v>2</v>
      </c>
      <c r="F29">
        <v>2.5</v>
      </c>
      <c r="G29">
        <v>3</v>
      </c>
      <c r="H29" t="s">
        <v>63</v>
      </c>
      <c r="R29" s="17" t="s">
        <v>31</v>
      </c>
      <c r="S29" s="20" t="str">
        <f t="shared" si="21"/>
        <v>BA</v>
      </c>
      <c r="T29" s="24">
        <f t="shared" si="22"/>
        <v>0.18000000000000005</v>
      </c>
      <c r="U29" s="21">
        <f t="shared" si="23"/>
        <v>0.7200000000000002</v>
      </c>
      <c r="V29" s="21">
        <f t="shared" si="16"/>
        <v>0.49500000000000016</v>
      </c>
      <c r="W29" s="21">
        <f t="shared" si="16"/>
        <v>0.12375000000000004</v>
      </c>
      <c r="X29" s="21">
        <f t="shared" si="16"/>
        <v>0.37125000000000014</v>
      </c>
      <c r="Y29" s="21">
        <f t="shared" si="16"/>
        <v>5.4945000000000022E-2</v>
      </c>
      <c r="Z29" s="21">
        <f t="shared" si="16"/>
        <v>0.19305000000000008</v>
      </c>
      <c r="AA29" s="21">
        <f t="shared" si="16"/>
        <v>6.8805000000000019E-2</v>
      </c>
      <c r="AB29" s="21">
        <f t="shared" si="16"/>
        <v>0.17820000000000005</v>
      </c>
      <c r="AC29" s="21">
        <f t="shared" si="16"/>
        <v>0.14331330000000009</v>
      </c>
      <c r="AD29" s="23">
        <f t="shared" si="16"/>
        <v>1.2268708740592944</v>
      </c>
      <c r="AE29" s="21">
        <f t="shared" si="16"/>
        <v>1.7526726772275636</v>
      </c>
      <c r="AF29" s="24">
        <f t="shared" si="16"/>
        <v>7.2000000000000022E-2</v>
      </c>
      <c r="AG29" s="33">
        <f t="shared" si="24"/>
        <v>19.558000000000003</v>
      </c>
      <c r="AH29" s="33">
        <f t="shared" si="25"/>
        <v>25.826488835848401</v>
      </c>
      <c r="AI29" s="33">
        <v>10.97</v>
      </c>
      <c r="AJ29" s="33">
        <f t="shared" si="26"/>
        <v>20.80413255149422</v>
      </c>
      <c r="AK29" s="37">
        <f t="shared" si="27"/>
        <v>642</v>
      </c>
      <c r="AL29" s="37">
        <f t="shared" si="28"/>
        <v>56.150700561377064</v>
      </c>
      <c r="AM29">
        <f t="shared" si="29"/>
        <v>5</v>
      </c>
      <c r="AN29">
        <f t="shared" si="30"/>
        <v>-13.979400086720377</v>
      </c>
      <c r="AO29">
        <f t="shared" si="17"/>
        <v>-16.901960800285135</v>
      </c>
      <c r="AP29">
        <f t="shared" si="18"/>
        <v>7</v>
      </c>
      <c r="AQ29">
        <f t="shared" si="31"/>
        <v>0.82</v>
      </c>
      <c r="AR29">
        <f t="shared" si="32"/>
        <v>-1.723722952325667</v>
      </c>
      <c r="AS29" s="25">
        <v>45442</v>
      </c>
      <c r="AT29" t="s">
        <v>88</v>
      </c>
      <c r="BA29" s="68">
        <f t="shared" si="19"/>
        <v>4.0445679012346893E-2</v>
      </c>
      <c r="BC29" s="37">
        <f t="shared" si="20"/>
        <v>118.81000000000198</v>
      </c>
      <c r="BE29" s="74">
        <f t="shared" si="35"/>
        <v>14.741082698961941</v>
      </c>
      <c r="BG29" s="69">
        <f t="shared" si="33"/>
        <v>31.049660493827169</v>
      </c>
      <c r="BI29" s="76">
        <f t="shared" si="34"/>
        <v>4.4403854938271523E-2</v>
      </c>
      <c r="BK29" s="40"/>
    </row>
    <row r="30" spans="1:63" s="26" customFormat="1" x14ac:dyDescent="0.3">
      <c r="A30" s="27" t="s">
        <v>32</v>
      </c>
      <c r="C30" s="26">
        <v>6</v>
      </c>
      <c r="D30" s="26" t="s">
        <v>51</v>
      </c>
      <c r="E30" s="26">
        <v>8</v>
      </c>
      <c r="F30" s="26">
        <v>12</v>
      </c>
      <c r="G30" s="26">
        <v>16</v>
      </c>
      <c r="H30" s="26" t="s">
        <v>64</v>
      </c>
      <c r="R30" s="27" t="s">
        <v>32</v>
      </c>
      <c r="S30" s="28" t="str">
        <f t="shared" si="21"/>
        <v>BA</v>
      </c>
      <c r="T30" s="29">
        <f t="shared" si="22"/>
        <v>0.20000000000000004</v>
      </c>
      <c r="U30" s="21">
        <f t="shared" si="23"/>
        <v>0.80000000000000016</v>
      </c>
      <c r="V30" s="30">
        <f t="shared" si="16"/>
        <v>0.65000000000000013</v>
      </c>
      <c r="W30" s="30">
        <f t="shared" si="16"/>
        <v>0.2166666666666667</v>
      </c>
      <c r="X30" s="30">
        <f t="shared" si="16"/>
        <v>0.4333333333333334</v>
      </c>
      <c r="Y30" s="30">
        <f t="shared" si="16"/>
        <v>5.6766666666666681E-2</v>
      </c>
      <c r="Z30" s="30">
        <f t="shared" si="16"/>
        <v>0.22533333333333339</v>
      </c>
      <c r="AA30" s="30">
        <f t="shared" si="16"/>
        <v>0.15990000000000001</v>
      </c>
      <c r="AB30" s="30">
        <f t="shared" si="16"/>
        <v>0.20800000000000002</v>
      </c>
      <c r="AC30" s="30">
        <f t="shared" si="16"/>
        <v>9.3656000000000003E-2</v>
      </c>
      <c r="AD30" s="31">
        <f t="shared" si="16"/>
        <v>1.2577729175050774</v>
      </c>
      <c r="AE30" s="30">
        <f t="shared" si="16"/>
        <v>1.3975254638945305</v>
      </c>
      <c r="AF30" s="29">
        <f t="shared" si="16"/>
        <v>8.0000000000000016E-2</v>
      </c>
      <c r="AG30" s="33">
        <f t="shared" si="24"/>
        <v>16.005000000000003</v>
      </c>
      <c r="AH30" s="34">
        <f t="shared" si="25"/>
        <v>24.085113569603024</v>
      </c>
      <c r="AI30" s="34">
        <v>10.199999999999999</v>
      </c>
      <c r="AJ30" s="34">
        <f t="shared" si="26"/>
        <v>20.172003435238352</v>
      </c>
      <c r="AK30" s="37">
        <f t="shared" si="27"/>
        <v>759</v>
      </c>
      <c r="AL30" s="38">
        <f t="shared" si="28"/>
        <v>57.604835517909606</v>
      </c>
      <c r="AM30" s="26">
        <f t="shared" si="29"/>
        <v>3.78</v>
      </c>
      <c r="AN30" s="26">
        <f t="shared" si="30"/>
        <v>-11.549835996744505</v>
      </c>
      <c r="AO30" s="26">
        <f t="shared" si="17"/>
        <v>-19.084850188786497</v>
      </c>
      <c r="AP30">
        <f t="shared" si="18"/>
        <v>9</v>
      </c>
      <c r="AQ30">
        <f t="shared" si="31"/>
        <v>0.84199999999999997</v>
      </c>
      <c r="AR30">
        <f t="shared" si="32"/>
        <v>-1.4937581700070108</v>
      </c>
      <c r="AS30" s="32">
        <v>45443</v>
      </c>
      <c r="AT30" s="26" t="s">
        <v>89</v>
      </c>
      <c r="BA30" s="68">
        <f t="shared" si="19"/>
        <v>11.235159123456775</v>
      </c>
      <c r="BC30" s="37">
        <f t="shared" si="20"/>
        <v>16358.410000000024</v>
      </c>
      <c r="BE30" s="74">
        <f t="shared" si="35"/>
        <v>25.597647404844302</v>
      </c>
      <c r="BG30" s="69">
        <f t="shared" si="33"/>
        <v>12.760771604938276</v>
      </c>
      <c r="BI30" s="76">
        <f t="shared" si="34"/>
        <v>5.4159632716049302E-2</v>
      </c>
      <c r="BK30" s="40"/>
    </row>
    <row r="31" spans="1:63" x14ac:dyDescent="0.3">
      <c r="A31" s="17" t="s">
        <v>33</v>
      </c>
      <c r="C31">
        <v>7</v>
      </c>
      <c r="D31" s="13" t="s">
        <v>1</v>
      </c>
      <c r="E31">
        <v>0.34</v>
      </c>
      <c r="F31">
        <v>0.36</v>
      </c>
      <c r="G31">
        <v>0.38</v>
      </c>
      <c r="H31" t="s">
        <v>65</v>
      </c>
      <c r="R31" s="17" t="s">
        <v>33</v>
      </c>
      <c r="S31" s="20" t="str">
        <f t="shared" si="21"/>
        <v>RHA</v>
      </c>
      <c r="T31" s="24">
        <f t="shared" si="22"/>
        <v>0.16000000000000003</v>
      </c>
      <c r="U31" s="21">
        <f t="shared" si="23"/>
        <v>0.64000000000000012</v>
      </c>
      <c r="V31" s="21">
        <f t="shared" si="16"/>
        <v>0.44000000000000017</v>
      </c>
      <c r="W31" s="21">
        <f t="shared" si="16"/>
        <v>0.14666666666666672</v>
      </c>
      <c r="X31" s="21">
        <f t="shared" si="16"/>
        <v>0.29333333333333345</v>
      </c>
      <c r="Y31" s="21">
        <f t="shared" si="16"/>
        <v>6.5120000000000025E-2</v>
      </c>
      <c r="Z31" s="21">
        <f t="shared" si="16"/>
        <v>0.15253333333333341</v>
      </c>
      <c r="AA31" s="21">
        <f t="shared" si="16"/>
        <v>8.1546666666666698E-2</v>
      </c>
      <c r="AB31" s="21">
        <f t="shared" si="16"/>
        <v>0.14080000000000004</v>
      </c>
      <c r="AC31" s="21">
        <f t="shared" si="16"/>
        <v>0.14400853333333336</v>
      </c>
      <c r="AD31" s="23">
        <f t="shared" si="16"/>
        <v>1.5664795490025698</v>
      </c>
      <c r="AE31" s="21">
        <f t="shared" si="16"/>
        <v>1.4240723172750636</v>
      </c>
      <c r="AF31" s="24">
        <f t="shared" si="16"/>
        <v>6.4000000000000015E-2</v>
      </c>
      <c r="AG31" s="33">
        <f t="shared" si="24"/>
        <v>17.996000000000002</v>
      </c>
      <c r="AH31" s="33">
        <f t="shared" si="25"/>
        <v>25.103519689870588</v>
      </c>
      <c r="AI31" s="33">
        <v>10.23</v>
      </c>
      <c r="AJ31" s="33">
        <f t="shared" si="26"/>
        <v>20.197512674243203</v>
      </c>
      <c r="AK31" s="37">
        <f t="shared" si="27"/>
        <v>624</v>
      </c>
      <c r="AL31" s="37">
        <f t="shared" si="28"/>
        <v>55.903691793648484</v>
      </c>
      <c r="AM31">
        <f t="shared" si="29"/>
        <v>8.8000000000000007</v>
      </c>
      <c r="AN31">
        <f t="shared" si="30"/>
        <v>-18.889653443003375</v>
      </c>
      <c r="AO31">
        <f t="shared" si="17"/>
        <v>-19.554472105776956</v>
      </c>
      <c r="AP31">
        <f t="shared" si="18"/>
        <v>9.5</v>
      </c>
      <c r="AQ31">
        <f t="shared" si="31"/>
        <v>0.80500000000000005</v>
      </c>
      <c r="AR31">
        <f t="shared" si="32"/>
        <v>-1.8840823926426293</v>
      </c>
      <c r="AS31" s="25">
        <v>45449</v>
      </c>
      <c r="AT31" t="s">
        <v>92</v>
      </c>
      <c r="BA31" s="68">
        <f t="shared" si="19"/>
        <v>1.8520185679012295</v>
      </c>
      <c r="BC31" s="37">
        <f t="shared" si="20"/>
        <v>50.409999999998711</v>
      </c>
      <c r="BE31" s="74">
        <f t="shared" si="35"/>
        <v>1.5532871972318088E-3</v>
      </c>
      <c r="BG31" s="69">
        <f t="shared" si="33"/>
        <v>9.4385493827160527</v>
      </c>
      <c r="BI31" s="76">
        <f t="shared" si="34"/>
        <v>3.8307188271604904E-2</v>
      </c>
      <c r="BK31" s="40"/>
    </row>
    <row r="32" spans="1:63" s="26" customFormat="1" x14ac:dyDescent="0.3">
      <c r="A32" s="27" t="s">
        <v>34</v>
      </c>
      <c r="C32" s="26">
        <v>8</v>
      </c>
      <c r="D32" s="26" t="s">
        <v>52</v>
      </c>
      <c r="E32" s="26">
        <v>0.7</v>
      </c>
      <c r="F32" s="26">
        <v>0.9</v>
      </c>
      <c r="G32" s="26">
        <v>1.1000000000000001</v>
      </c>
      <c r="H32" s="26" t="s">
        <v>66</v>
      </c>
      <c r="R32" s="27" t="s">
        <v>34</v>
      </c>
      <c r="S32" s="28" t="str">
        <f t="shared" si="21"/>
        <v>RHA</v>
      </c>
      <c r="T32" s="29">
        <f t="shared" si="22"/>
        <v>0.18000000000000005</v>
      </c>
      <c r="U32" s="21">
        <f t="shared" si="23"/>
        <v>0.7200000000000002</v>
      </c>
      <c r="V32" s="30">
        <f t="shared" si="16"/>
        <v>0.58500000000000019</v>
      </c>
      <c r="W32" s="30">
        <f t="shared" si="16"/>
        <v>0.16714285714285718</v>
      </c>
      <c r="X32" s="30">
        <f t="shared" si="16"/>
        <v>0.41785714285714293</v>
      </c>
      <c r="Y32" s="30">
        <f t="shared" si="16"/>
        <v>4.3791428571428585E-2</v>
      </c>
      <c r="Z32" s="30">
        <f t="shared" si="16"/>
        <v>0.21728571428571433</v>
      </c>
      <c r="AA32" s="30">
        <f t="shared" si="16"/>
        <v>0.12335142857142858</v>
      </c>
      <c r="AB32" s="30">
        <f t="shared" si="16"/>
        <v>0.20057142857142859</v>
      </c>
      <c r="AC32" s="30">
        <f t="shared" si="16"/>
        <v>0.11728645714285725</v>
      </c>
      <c r="AD32" s="31">
        <f t="shared" si="16"/>
        <v>1.0764025485392736</v>
      </c>
      <c r="AE32" s="30">
        <f t="shared" si="16"/>
        <v>1.537717926484677</v>
      </c>
      <c r="AF32" s="29">
        <f t="shared" si="16"/>
        <v>7.2000000000000022E-2</v>
      </c>
      <c r="AG32" s="33">
        <f t="shared" si="24"/>
        <v>13.321</v>
      </c>
      <c r="AH32" s="34">
        <f t="shared" si="25"/>
        <v>22.490736566025546</v>
      </c>
      <c r="AI32" s="34">
        <v>8.34</v>
      </c>
      <c r="AJ32" s="34">
        <f t="shared" si="26"/>
        <v>18.423321012754773</v>
      </c>
      <c r="AK32" s="37">
        <f t="shared" si="27"/>
        <v>740.30000000000007</v>
      </c>
      <c r="AL32" s="38">
        <f t="shared" si="28"/>
        <v>57.388154987644036</v>
      </c>
      <c r="AM32" s="26">
        <f t="shared" si="29"/>
        <v>8.3000000000000007</v>
      </c>
      <c r="AN32" s="26">
        <f t="shared" si="30"/>
        <v>-18.381561847521478</v>
      </c>
      <c r="AO32" s="26">
        <f t="shared" si="17"/>
        <v>-19.369658971078703</v>
      </c>
      <c r="AP32">
        <f t="shared" si="18"/>
        <v>9.3000000000000007</v>
      </c>
      <c r="AQ32">
        <f t="shared" si="31"/>
        <v>0.87</v>
      </c>
      <c r="AR32">
        <f t="shared" si="32"/>
        <v>-1.2096149476276297</v>
      </c>
      <c r="BA32" s="68">
        <f t="shared" si="19"/>
        <v>36.431954679012357</v>
      </c>
      <c r="BC32" s="37">
        <f t="shared" si="20"/>
        <v>11924.640000000034</v>
      </c>
      <c r="BE32" s="74">
        <f t="shared" si="35"/>
        <v>0.29096505190311384</v>
      </c>
      <c r="BG32" s="69">
        <f t="shared" si="33"/>
        <v>10.707438271604937</v>
      </c>
      <c r="BI32" s="76">
        <f t="shared" si="34"/>
        <v>6.7976077160493753E-2</v>
      </c>
      <c r="BK32" s="40"/>
    </row>
    <row r="33" spans="1:63" x14ac:dyDescent="0.3">
      <c r="A33" s="17" t="s">
        <v>35</v>
      </c>
      <c r="D33" s="13" t="s">
        <v>58</v>
      </c>
      <c r="R33" s="17" t="s">
        <v>35</v>
      </c>
      <c r="S33" s="20" t="str">
        <f t="shared" si="21"/>
        <v>RHA</v>
      </c>
      <c r="T33" s="24">
        <f t="shared" si="22"/>
        <v>0.20000000000000004</v>
      </c>
      <c r="U33" s="21">
        <f t="shared" si="23"/>
        <v>0.80000000000000016</v>
      </c>
      <c r="V33" s="21">
        <f t="shared" si="16"/>
        <v>0.45000000000000012</v>
      </c>
      <c r="W33" s="21">
        <f t="shared" si="16"/>
        <v>0.11250000000000003</v>
      </c>
      <c r="X33" s="21">
        <f t="shared" si="16"/>
        <v>0.33750000000000008</v>
      </c>
      <c r="Y33" s="21">
        <f t="shared" si="16"/>
        <v>4.061250000000001E-2</v>
      </c>
      <c r="Z33" s="21">
        <f t="shared" si="16"/>
        <v>0.17550000000000004</v>
      </c>
      <c r="AA33" s="21">
        <f t="shared" si="16"/>
        <v>7.1887500000000021E-2</v>
      </c>
      <c r="AB33" s="21">
        <f t="shared" si="16"/>
        <v>0.16200000000000003</v>
      </c>
      <c r="AC33" s="21">
        <f t="shared" si="16"/>
        <v>0.17959075000000005</v>
      </c>
      <c r="AD33" s="23">
        <f t="shared" si="16"/>
        <v>1.2252584592479543</v>
      </c>
      <c r="AE33" s="21">
        <f t="shared" si="16"/>
        <v>1.3613982880532827</v>
      </c>
      <c r="AF33" s="24">
        <f t="shared" si="16"/>
        <v>8.0000000000000016E-2</v>
      </c>
      <c r="AG33" s="33">
        <f t="shared" si="24"/>
        <v>21.725000000000001</v>
      </c>
      <c r="AH33" s="33">
        <f t="shared" si="25"/>
        <v>26.739195702414079</v>
      </c>
      <c r="AI33" s="33">
        <v>13.56</v>
      </c>
      <c r="AJ33" s="33">
        <f t="shared" si="26"/>
        <v>22.645193790620894</v>
      </c>
      <c r="AK33" s="37">
        <f t="shared" si="27"/>
        <v>787</v>
      </c>
      <c r="AL33" s="37">
        <f t="shared" si="28"/>
        <v>57.919494647181295</v>
      </c>
      <c r="AM33">
        <f t="shared" si="29"/>
        <v>11.200000000000001</v>
      </c>
      <c r="AN33">
        <f t="shared" si="30"/>
        <v>-20.984360453403635</v>
      </c>
      <c r="AO33">
        <f t="shared" si="17"/>
        <v>-22.278867046136735</v>
      </c>
      <c r="AP33">
        <f t="shared" si="18"/>
        <v>13</v>
      </c>
      <c r="AQ33">
        <f t="shared" si="31"/>
        <v>0.79</v>
      </c>
      <c r="AR33">
        <f t="shared" si="32"/>
        <v>-2.0474581741911706</v>
      </c>
      <c r="BA33" s="68">
        <f t="shared" si="19"/>
        <v>5.6079502345679062</v>
      </c>
      <c r="BC33" s="37">
        <f t="shared" si="20"/>
        <v>24304.810000000027</v>
      </c>
      <c r="BE33" s="74">
        <f t="shared" si="35"/>
        <v>5.5723768166089993</v>
      </c>
      <c r="BG33" s="69">
        <f t="shared" si="33"/>
        <v>0.18299382716049328</v>
      </c>
      <c r="BI33" s="76">
        <f t="shared" si="34"/>
        <v>3.2660521604938236E-2</v>
      </c>
      <c r="BK33" s="40"/>
    </row>
    <row r="34" spans="1:63" s="26" customFormat="1" x14ac:dyDescent="0.3">
      <c r="A34" s="27" t="s">
        <v>36</v>
      </c>
      <c r="R34" s="27" t="s">
        <v>36</v>
      </c>
      <c r="S34" s="28" t="str">
        <f t="shared" si="21"/>
        <v>FA</v>
      </c>
      <c r="T34" s="29">
        <f t="shared" si="22"/>
        <v>0.24000000000000005</v>
      </c>
      <c r="U34" s="21">
        <f t="shared" si="23"/>
        <v>0.56000000000000016</v>
      </c>
      <c r="V34" s="30">
        <f t="shared" si="16"/>
        <v>0.52000000000000013</v>
      </c>
      <c r="W34" s="30">
        <f t="shared" si="16"/>
        <v>0.13000000000000003</v>
      </c>
      <c r="X34" s="30">
        <f t="shared" si="16"/>
        <v>0.39000000000000007</v>
      </c>
      <c r="Y34" s="30">
        <f t="shared" si="16"/>
        <v>4.6930000000000013E-2</v>
      </c>
      <c r="Z34" s="30">
        <f t="shared" si="16"/>
        <v>0.20280000000000006</v>
      </c>
      <c r="AA34" s="30">
        <f t="shared" si="16"/>
        <v>8.3070000000000019E-2</v>
      </c>
      <c r="AB34" s="30">
        <f t="shared" si="16"/>
        <v>0.18720000000000003</v>
      </c>
      <c r="AC34" s="30">
        <f t="shared" si="16"/>
        <v>0.10763280000000006</v>
      </c>
      <c r="AD34" s="31">
        <f t="shared" si="16"/>
        <v>1.3122031725264622</v>
      </c>
      <c r="AE34" s="30">
        <f t="shared" si="16"/>
        <v>1.8745759607520895</v>
      </c>
      <c r="AF34" s="29">
        <f t="shared" si="16"/>
        <v>6.4000000000000015E-2</v>
      </c>
      <c r="AG34" s="33">
        <f t="shared" si="24"/>
        <v>21.417000000000002</v>
      </c>
      <c r="AH34" s="34">
        <f t="shared" si="25"/>
        <v>26.615172733565132</v>
      </c>
      <c r="AI34" s="34">
        <v>13.24</v>
      </c>
      <c r="AJ34" s="34">
        <f t="shared" si="26"/>
        <v>22.437759702073624</v>
      </c>
      <c r="AK34" s="37">
        <f t="shared" si="27"/>
        <v>567</v>
      </c>
      <c r="AL34" s="38">
        <f t="shared" si="28"/>
        <v>55.071661177858132</v>
      </c>
      <c r="AM34" s="26">
        <f t="shared" si="29"/>
        <v>10.14</v>
      </c>
      <c r="AN34" s="26">
        <f t="shared" si="30"/>
        <v>-20.120759099946348</v>
      </c>
      <c r="AO34" s="26">
        <f t="shared" si="17"/>
        <v>-22.278867046136735</v>
      </c>
      <c r="AP34">
        <f t="shared" si="18"/>
        <v>13</v>
      </c>
      <c r="AQ34">
        <f t="shared" si="31"/>
        <v>0.67</v>
      </c>
      <c r="AR34">
        <f t="shared" si="32"/>
        <v>-3.478503945983471</v>
      </c>
      <c r="AS34" s="32">
        <v>45437</v>
      </c>
      <c r="AT34" s="26" t="s">
        <v>80</v>
      </c>
      <c r="BA34" s="68">
        <f t="shared" si="19"/>
        <v>4.2440577901234615</v>
      </c>
      <c r="BC34" s="37">
        <f t="shared" si="20"/>
        <v>4108.8099999999886</v>
      </c>
      <c r="BE34" s="74">
        <f t="shared" si="35"/>
        <v>1.6915297577854675</v>
      </c>
      <c r="BG34" s="69">
        <f t="shared" si="33"/>
        <v>0.18299382716049328</v>
      </c>
      <c r="BI34" s="76">
        <f t="shared" si="34"/>
        <v>3.6871882716049261E-3</v>
      </c>
      <c r="BK34" s="40"/>
    </row>
    <row r="35" spans="1:63" x14ac:dyDescent="0.3">
      <c r="A35" s="17" t="s">
        <v>37</v>
      </c>
      <c r="R35" s="17" t="s">
        <v>37</v>
      </c>
      <c r="S35" s="20" t="str">
        <f t="shared" si="21"/>
        <v>FA</v>
      </c>
      <c r="T35" s="24">
        <f t="shared" si="22"/>
        <v>0.27000000000000007</v>
      </c>
      <c r="U35" s="21">
        <f t="shared" si="23"/>
        <v>0.63000000000000012</v>
      </c>
      <c r="V35" s="21">
        <f t="shared" si="16"/>
        <v>0.40500000000000008</v>
      </c>
      <c r="W35" s="21">
        <f t="shared" si="16"/>
        <v>0.13500000000000004</v>
      </c>
      <c r="X35" s="21">
        <f t="shared" si="16"/>
        <v>0.27000000000000007</v>
      </c>
      <c r="Y35" s="21">
        <f t="shared" si="16"/>
        <v>5.9940000000000014E-2</v>
      </c>
      <c r="Z35" s="21">
        <f t="shared" si="16"/>
        <v>0.14040000000000005</v>
      </c>
      <c r="AA35" s="21">
        <f t="shared" si="16"/>
        <v>7.5060000000000016E-2</v>
      </c>
      <c r="AB35" s="21">
        <f t="shared" si="16"/>
        <v>0.12960000000000002</v>
      </c>
      <c r="AC35" s="21">
        <f t="shared" si="16"/>
        <v>0.21346920000000014</v>
      </c>
      <c r="AD35" s="23">
        <f t="shared" si="16"/>
        <v>1.4288577391791772</v>
      </c>
      <c r="AE35" s="21">
        <f t="shared" si="16"/>
        <v>1.5876197101990859</v>
      </c>
      <c r="AF35" s="24">
        <f t="shared" si="16"/>
        <v>7.2000000000000022E-2</v>
      </c>
      <c r="AG35" s="33">
        <f t="shared" si="24"/>
        <v>32.725000000000001</v>
      </c>
      <c r="AH35" s="33">
        <f t="shared" si="25"/>
        <v>30.297593104455871</v>
      </c>
      <c r="AI35" s="33">
        <v>19.87</v>
      </c>
      <c r="AJ35" s="33">
        <f t="shared" si="26"/>
        <v>25.963957342196302</v>
      </c>
      <c r="AK35" s="37">
        <f t="shared" si="27"/>
        <v>540</v>
      </c>
      <c r="AL35" s="37">
        <f t="shared" si="28"/>
        <v>54.647875196459374</v>
      </c>
      <c r="AM35">
        <f t="shared" si="29"/>
        <v>15.5</v>
      </c>
      <c r="AN35">
        <f t="shared" si="30"/>
        <v>-23.806633963405829</v>
      </c>
      <c r="AO35">
        <f t="shared" si="17"/>
        <v>-26.848453616444125</v>
      </c>
      <c r="AP35">
        <f t="shared" si="18"/>
        <v>22</v>
      </c>
      <c r="AQ35">
        <f t="shared" si="31"/>
        <v>0.31</v>
      </c>
      <c r="AR35">
        <f t="shared" si="32"/>
        <v>-10.172766123314547</v>
      </c>
      <c r="AS35" s="25">
        <v>45439</v>
      </c>
      <c r="AT35" t="s">
        <v>83</v>
      </c>
      <c r="BA35" s="68">
        <f t="shared" si="19"/>
        <v>178.70639467901236</v>
      </c>
      <c r="BC35" s="37">
        <f t="shared" si="20"/>
        <v>8299.2099999999828</v>
      </c>
      <c r="BE35" s="74">
        <f t="shared" si="35"/>
        <v>44.363435640138405</v>
      </c>
      <c r="BG35" s="69">
        <f t="shared" si="33"/>
        <v>88.882993827160476</v>
      </c>
      <c r="BI35" s="76">
        <f t="shared" si="34"/>
        <v>8.9567188271605022E-2</v>
      </c>
      <c r="BK35" s="40"/>
    </row>
    <row r="36" spans="1:63" s="26" customFormat="1" x14ac:dyDescent="0.3">
      <c r="A36" s="27" t="s">
        <v>38</v>
      </c>
      <c r="R36" s="27" t="s">
        <v>38</v>
      </c>
      <c r="S36" s="28" t="str">
        <f t="shared" si="21"/>
        <v>FA</v>
      </c>
      <c r="T36" s="29">
        <f t="shared" si="22"/>
        <v>0.30000000000000004</v>
      </c>
      <c r="U36" s="21">
        <f t="shared" si="23"/>
        <v>0.70000000000000018</v>
      </c>
      <c r="V36" s="30">
        <f t="shared" si="16"/>
        <v>0.55000000000000016</v>
      </c>
      <c r="W36" s="30">
        <f t="shared" si="16"/>
        <v>0.15714285714285717</v>
      </c>
      <c r="X36" s="30">
        <f t="shared" si="16"/>
        <v>0.3928571428571429</v>
      </c>
      <c r="Y36" s="30">
        <f t="shared" si="16"/>
        <v>4.1171428571428581E-2</v>
      </c>
      <c r="Z36" s="30">
        <f t="shared" si="16"/>
        <v>0.20428571428571432</v>
      </c>
      <c r="AA36" s="30">
        <f t="shared" si="16"/>
        <v>0.11597142857142859</v>
      </c>
      <c r="AB36" s="30">
        <f t="shared" si="16"/>
        <v>0.18857142857142861</v>
      </c>
      <c r="AC36" s="30">
        <f t="shared" si="16"/>
        <v>0.11891257142857151</v>
      </c>
      <c r="AD36" s="31">
        <f t="shared" si="16"/>
        <v>1.4951251742212641</v>
      </c>
      <c r="AE36" s="30">
        <f t="shared" si="16"/>
        <v>1.3592047038375128</v>
      </c>
      <c r="AF36" s="29">
        <f t="shared" si="16"/>
        <v>8.0000000000000016E-2</v>
      </c>
      <c r="AG36" s="33">
        <f t="shared" si="24"/>
        <v>26.41</v>
      </c>
      <c r="AH36" s="34">
        <f t="shared" si="25"/>
        <v>28.43536802413848</v>
      </c>
      <c r="AI36" s="34">
        <v>15.31</v>
      </c>
      <c r="AJ36" s="34">
        <f t="shared" si="26"/>
        <v>23.699503813965222</v>
      </c>
      <c r="AK36" s="37">
        <f t="shared" si="27"/>
        <v>572</v>
      </c>
      <c r="AL36" s="38">
        <f t="shared" si="28"/>
        <v>55.147920575860489</v>
      </c>
      <c r="AM36" s="26">
        <f t="shared" si="29"/>
        <v>18.5</v>
      </c>
      <c r="AN36" s="26">
        <f t="shared" si="30"/>
        <v>-25.343434568060275</v>
      </c>
      <c r="AO36" s="26">
        <f t="shared" si="17"/>
        <v>-29.24795995797912</v>
      </c>
      <c r="AP36">
        <f t="shared" si="18"/>
        <v>29</v>
      </c>
      <c r="AQ36">
        <f t="shared" si="31"/>
        <v>0.24</v>
      </c>
      <c r="AR36">
        <f t="shared" si="32"/>
        <v>-12.39577516576788</v>
      </c>
      <c r="AS36" s="32">
        <v>45440</v>
      </c>
      <c r="AT36" s="26" t="s">
        <v>90</v>
      </c>
      <c r="BA36" s="68">
        <f t="shared" si="19"/>
        <v>49.74637634567901</v>
      </c>
      <c r="BC36" s="37">
        <f t="shared" si="20"/>
        <v>3492.809999999989</v>
      </c>
      <c r="BE36" s="74">
        <f t="shared" si="35"/>
        <v>93.326965051903102</v>
      </c>
      <c r="BG36" s="69">
        <f t="shared" si="33"/>
        <v>269.87188271604936</v>
      </c>
      <c r="BI36" s="76">
        <f t="shared" si="34"/>
        <v>0.13636607716049393</v>
      </c>
      <c r="BK36" s="40"/>
    </row>
    <row r="37" spans="1:63" x14ac:dyDescent="0.3">
      <c r="A37" s="17" t="s">
        <v>39</v>
      </c>
      <c r="R37" s="17" t="s">
        <v>39</v>
      </c>
      <c r="S37" s="20" t="str">
        <f t="shared" si="21"/>
        <v>BA</v>
      </c>
      <c r="T37" s="24">
        <f t="shared" si="22"/>
        <v>0.24000000000000005</v>
      </c>
      <c r="U37" s="21">
        <f t="shared" si="23"/>
        <v>0.56000000000000016</v>
      </c>
      <c r="V37" s="21">
        <f t="shared" si="16"/>
        <v>0.44000000000000017</v>
      </c>
      <c r="W37" s="21">
        <f t="shared" si="16"/>
        <v>0.11000000000000004</v>
      </c>
      <c r="X37" s="21">
        <f t="shared" si="16"/>
        <v>0.33000000000000013</v>
      </c>
      <c r="Y37" s="21">
        <f t="shared" si="16"/>
        <v>2.8820000000000012E-2</v>
      </c>
      <c r="Z37" s="21">
        <f t="shared" si="16"/>
        <v>0.17160000000000006</v>
      </c>
      <c r="AA37" s="21">
        <f t="shared" si="16"/>
        <v>8.118000000000003E-2</v>
      </c>
      <c r="AB37" s="21">
        <f t="shared" si="16"/>
        <v>0.15840000000000007</v>
      </c>
      <c r="AC37" s="21">
        <f t="shared" si="16"/>
        <v>0.1405796</v>
      </c>
      <c r="AD37" s="23">
        <f t="shared" si="16"/>
        <v>1.5503828263704911</v>
      </c>
      <c r="AE37" s="21">
        <f t="shared" si="16"/>
        <v>1.7226475848561014</v>
      </c>
      <c r="AF37" s="24">
        <f t="shared" si="16"/>
        <v>6.4000000000000015E-2</v>
      </c>
      <c r="AG37" s="33">
        <f t="shared" si="24"/>
        <v>15.455000000000002</v>
      </c>
      <c r="AH37" s="33">
        <f t="shared" si="25"/>
        <v>23.781380187986475</v>
      </c>
      <c r="AI37" s="33">
        <v>8.9</v>
      </c>
      <c r="AJ37" s="33">
        <f t="shared" si="26"/>
        <v>18.987800132898258</v>
      </c>
      <c r="AK37" s="37">
        <f t="shared" si="27"/>
        <v>710</v>
      </c>
      <c r="AL37" s="37">
        <f t="shared" si="28"/>
        <v>57.025166974381506</v>
      </c>
      <c r="AM37">
        <f t="shared" si="29"/>
        <v>7.08</v>
      </c>
      <c r="AN37">
        <f t="shared" si="30"/>
        <v>-17.000665153795381</v>
      </c>
      <c r="AO37">
        <f t="shared" si="17"/>
        <v>-19.554472105776956</v>
      </c>
      <c r="AP37">
        <f t="shared" si="18"/>
        <v>9.5</v>
      </c>
      <c r="AQ37">
        <f t="shared" si="31"/>
        <v>0.84</v>
      </c>
      <c r="AR37">
        <f t="shared" si="32"/>
        <v>-1.5144142787623673</v>
      </c>
      <c r="AS37" s="25">
        <v>45446</v>
      </c>
      <c r="AT37" t="s">
        <v>83</v>
      </c>
      <c r="BA37" s="68">
        <f t="shared" si="19"/>
        <v>15.224736901234555</v>
      </c>
      <c r="BC37" s="37">
        <f t="shared" si="20"/>
        <v>6225.2100000000146</v>
      </c>
      <c r="BE37" s="74">
        <f t="shared" si="35"/>
        <v>3.0955297577854681</v>
      </c>
      <c r="BG37" s="69">
        <f t="shared" si="33"/>
        <v>9.4385493827160527</v>
      </c>
      <c r="BI37" s="76">
        <f t="shared" si="34"/>
        <v>5.3232743827160416E-2</v>
      </c>
      <c r="BK37" s="40"/>
    </row>
    <row r="38" spans="1:63" s="26" customFormat="1" x14ac:dyDescent="0.3">
      <c r="A38" s="27" t="s">
        <v>40</v>
      </c>
      <c r="R38" s="27" t="s">
        <v>40</v>
      </c>
      <c r="S38" s="28" t="str">
        <f t="shared" si="21"/>
        <v>BA</v>
      </c>
      <c r="T38" s="29">
        <f t="shared" si="22"/>
        <v>0.27000000000000007</v>
      </c>
      <c r="U38" s="21">
        <f t="shared" si="23"/>
        <v>0.63000000000000012</v>
      </c>
      <c r="V38" s="30">
        <f t="shared" si="16"/>
        <v>0.58500000000000019</v>
      </c>
      <c r="W38" s="30">
        <f t="shared" si="16"/>
        <v>0.19500000000000003</v>
      </c>
      <c r="X38" s="30">
        <f t="shared" si="16"/>
        <v>0.39000000000000007</v>
      </c>
      <c r="Y38" s="30">
        <f t="shared" si="16"/>
        <v>7.0395000000000013E-2</v>
      </c>
      <c r="Z38" s="30">
        <f t="shared" si="16"/>
        <v>0.20280000000000006</v>
      </c>
      <c r="AA38" s="30">
        <f t="shared" si="16"/>
        <v>0.12460500000000004</v>
      </c>
      <c r="AB38" s="30">
        <f t="shared" si="16"/>
        <v>0.18720000000000003</v>
      </c>
      <c r="AC38" s="30">
        <f t="shared" si="16"/>
        <v>8.7081300000000014E-2</v>
      </c>
      <c r="AD38" s="31">
        <f t="shared" si="16"/>
        <v>1.6014291102033258</v>
      </c>
      <c r="AE38" s="30">
        <f t="shared" si="16"/>
        <v>1.455844645639387</v>
      </c>
      <c r="AF38" s="29">
        <f t="shared" si="16"/>
        <v>7.2000000000000022E-2</v>
      </c>
      <c r="AG38" s="33">
        <f t="shared" si="24"/>
        <v>23.881000000000004</v>
      </c>
      <c r="AH38" s="34">
        <f t="shared" si="25"/>
        <v>27.561050172252905</v>
      </c>
      <c r="AI38" s="34">
        <v>14.67</v>
      </c>
      <c r="AJ38" s="34">
        <f t="shared" si="26"/>
        <v>23.328602276865652</v>
      </c>
      <c r="AK38" s="37">
        <f t="shared" si="27"/>
        <v>665.5</v>
      </c>
      <c r="AL38" s="38">
        <f t="shared" si="28"/>
        <v>56.462961196213882</v>
      </c>
      <c r="AM38" s="26">
        <f t="shared" si="29"/>
        <v>4.3</v>
      </c>
      <c r="AN38" s="26">
        <f t="shared" si="30"/>
        <v>-12.669369111591731</v>
      </c>
      <c r="AO38" s="26">
        <f t="shared" si="17"/>
        <v>-16.901960800285135</v>
      </c>
      <c r="AP38">
        <f t="shared" si="18"/>
        <v>7</v>
      </c>
      <c r="AQ38">
        <f t="shared" si="31"/>
        <v>0.63</v>
      </c>
      <c r="AR38">
        <f t="shared" si="32"/>
        <v>-4.0131890109283654</v>
      </c>
      <c r="AS38" s="32">
        <v>45447</v>
      </c>
      <c r="AT38" s="26" t="s">
        <v>83</v>
      </c>
      <c r="BA38" s="68">
        <f t="shared" si="19"/>
        <v>20.467581345679044</v>
      </c>
      <c r="BC38" s="37">
        <f t="shared" si="20"/>
        <v>1183.3600000000063</v>
      </c>
      <c r="BE38" s="74">
        <f t="shared" si="35"/>
        <v>20.606259169550178</v>
      </c>
      <c r="BG38" s="69">
        <f t="shared" si="33"/>
        <v>31.049660493827169</v>
      </c>
      <c r="BI38" s="76">
        <f t="shared" si="34"/>
        <v>4.2941049382715486E-4</v>
      </c>
      <c r="BK38" s="40"/>
    </row>
    <row r="39" spans="1:63" x14ac:dyDescent="0.3">
      <c r="A39" s="17" t="s">
        <v>41</v>
      </c>
      <c r="R39" s="17" t="s">
        <v>41</v>
      </c>
      <c r="S39" s="20" t="str">
        <f t="shared" si="21"/>
        <v>BA</v>
      </c>
      <c r="T39" s="24">
        <f t="shared" si="22"/>
        <v>0.30000000000000004</v>
      </c>
      <c r="U39" s="21">
        <f t="shared" si="23"/>
        <v>0.70000000000000018</v>
      </c>
      <c r="V39" s="21">
        <f t="shared" si="16"/>
        <v>0.45000000000000012</v>
      </c>
      <c r="W39" s="21">
        <f t="shared" si="16"/>
        <v>0.12857142857142861</v>
      </c>
      <c r="X39" s="21">
        <f t="shared" si="16"/>
        <v>0.32142857142857151</v>
      </c>
      <c r="Y39" s="21">
        <f t="shared" si="16"/>
        <v>5.7085714285714302E-2</v>
      </c>
      <c r="Z39" s="21">
        <f t="shared" si="16"/>
        <v>0.1671428571428572</v>
      </c>
      <c r="AA39" s="21">
        <f t="shared" si="16"/>
        <v>7.1485714285714305E-2</v>
      </c>
      <c r="AB39" s="21">
        <f t="shared" si="16"/>
        <v>0.1542857142857143</v>
      </c>
      <c r="AC39" s="21">
        <f t="shared" si="16"/>
        <v>0.21495085714285722</v>
      </c>
      <c r="AD39" s="23">
        <f t="shared" si="16"/>
        <v>1.1855092601568111</v>
      </c>
      <c r="AE39" s="21">
        <f t="shared" si="16"/>
        <v>1.6935846573668731</v>
      </c>
      <c r="AF39" s="24">
        <f t="shared" si="16"/>
        <v>8.0000000000000016E-2</v>
      </c>
      <c r="AG39" s="33">
        <f t="shared" si="24"/>
        <v>20.416</v>
      </c>
      <c r="AH39" s="33">
        <f t="shared" si="25"/>
        <v>26.199413140821367</v>
      </c>
      <c r="AI39" s="33">
        <v>12.37</v>
      </c>
      <c r="AJ39" s="33">
        <f t="shared" si="26"/>
        <v>21.847393992582411</v>
      </c>
      <c r="AK39" s="37">
        <f t="shared" si="27"/>
        <v>710</v>
      </c>
      <c r="AL39" s="37">
        <f t="shared" si="28"/>
        <v>57.025166974381506</v>
      </c>
      <c r="AM39">
        <f t="shared" si="29"/>
        <v>4.9000000000000004</v>
      </c>
      <c r="AN39">
        <f t="shared" si="30"/>
        <v>-13.803921600570275</v>
      </c>
      <c r="AO39">
        <f t="shared" si="17"/>
        <v>-19.084850188786497</v>
      </c>
      <c r="AP39">
        <f t="shared" si="18"/>
        <v>9</v>
      </c>
      <c r="AQ39">
        <f t="shared" si="31"/>
        <v>0.8</v>
      </c>
      <c r="AR39">
        <f t="shared" si="32"/>
        <v>-1.9382002601611275</v>
      </c>
      <c r="AS39" s="25">
        <v>45448</v>
      </c>
      <c r="AT39" t="s">
        <v>91</v>
      </c>
      <c r="BA39" s="68">
        <f t="shared" si="19"/>
        <v>1.1217163456790125</v>
      </c>
      <c r="BC39" s="37">
        <f t="shared" si="20"/>
        <v>6225.2100000000146</v>
      </c>
      <c r="BE39" s="74">
        <f t="shared" si="35"/>
        <v>15.518965051903114</v>
      </c>
      <c r="BG39" s="69">
        <f t="shared" si="33"/>
        <v>12.760771604938276</v>
      </c>
      <c r="BI39" s="76">
        <f t="shared" si="34"/>
        <v>3.637496604938268E-2</v>
      </c>
      <c r="BK39" s="40"/>
    </row>
    <row r="40" spans="1:63" s="26" customFormat="1" x14ac:dyDescent="0.3">
      <c r="A40" s="27" t="s">
        <v>42</v>
      </c>
      <c r="R40" s="27" t="s">
        <v>42</v>
      </c>
      <c r="S40" s="28" t="str">
        <f t="shared" si="21"/>
        <v>RHA</v>
      </c>
      <c r="T40" s="29">
        <f t="shared" si="22"/>
        <v>0.24000000000000005</v>
      </c>
      <c r="U40" s="21">
        <f t="shared" si="23"/>
        <v>0.56000000000000016</v>
      </c>
      <c r="V40" s="30">
        <f t="shared" si="16"/>
        <v>0.52000000000000013</v>
      </c>
      <c r="W40" s="30">
        <f t="shared" si="16"/>
        <v>0.14857142857142863</v>
      </c>
      <c r="X40" s="30">
        <f t="shared" si="16"/>
        <v>0.37142857142857155</v>
      </c>
      <c r="Y40" s="30">
        <f t="shared" si="16"/>
        <v>6.5965714285714308E-2</v>
      </c>
      <c r="Z40" s="30">
        <f t="shared" si="16"/>
        <v>0.1931428571428572</v>
      </c>
      <c r="AA40" s="30">
        <f t="shared" si="16"/>
        <v>8.260571428571431E-2</v>
      </c>
      <c r="AB40" s="30">
        <f t="shared" si="16"/>
        <v>0.17828571428571433</v>
      </c>
      <c r="AC40" s="30">
        <f t="shared" si="16"/>
        <v>9.9205485714285793E-2</v>
      </c>
      <c r="AD40" s="31">
        <f t="shared" si="16"/>
        <v>1.4635404953029383</v>
      </c>
      <c r="AE40" s="30">
        <f t="shared" si="16"/>
        <v>1.6261561058921534</v>
      </c>
      <c r="AF40" s="29">
        <f t="shared" si="16"/>
        <v>6.4000000000000015E-2</v>
      </c>
      <c r="AG40" s="33">
        <f t="shared" si="24"/>
        <v>22.605000000000004</v>
      </c>
      <c r="AH40" s="34">
        <f t="shared" si="25"/>
        <v>27.084090227406264</v>
      </c>
      <c r="AI40" s="34">
        <v>13.68</v>
      </c>
      <c r="AJ40" s="34">
        <f t="shared" si="26"/>
        <v>22.721721947681949</v>
      </c>
      <c r="AK40" s="37">
        <f t="shared" si="27"/>
        <v>534</v>
      </c>
      <c r="AL40" s="38">
        <f t="shared" si="28"/>
        <v>54.550825140571121</v>
      </c>
      <c r="AM40" s="26">
        <f t="shared" si="29"/>
        <v>8.5</v>
      </c>
      <c r="AN40" s="26">
        <f t="shared" si="30"/>
        <v>-18.588378514285854</v>
      </c>
      <c r="AO40" s="26">
        <f t="shared" si="17"/>
        <v>-19.554472105776956</v>
      </c>
      <c r="AP40">
        <f t="shared" si="18"/>
        <v>9.5</v>
      </c>
      <c r="AQ40">
        <f t="shared" si="31"/>
        <v>0.24</v>
      </c>
      <c r="AR40">
        <f t="shared" si="32"/>
        <v>-12.39577516576788</v>
      </c>
      <c r="BA40" s="68">
        <f t="shared" si="19"/>
        <v>10.550225790123481</v>
      </c>
      <c r="BC40" s="37">
        <f t="shared" si="20"/>
        <v>9428.4099999999817</v>
      </c>
      <c r="BE40" s="74">
        <f t="shared" si="35"/>
        <v>0.11520034602076151</v>
      </c>
      <c r="BG40" s="69">
        <f t="shared" si="33"/>
        <v>9.4385493827160527</v>
      </c>
      <c r="BI40" s="76">
        <f t="shared" si="34"/>
        <v>0.13636607716049393</v>
      </c>
      <c r="BK40" s="40"/>
    </row>
    <row r="41" spans="1:63" x14ac:dyDescent="0.3">
      <c r="A41" s="17" t="s">
        <v>43</v>
      </c>
      <c r="R41" s="17" t="s">
        <v>43</v>
      </c>
      <c r="S41" s="20" t="str">
        <f t="shared" si="21"/>
        <v>RHA</v>
      </c>
      <c r="T41" s="24">
        <f t="shared" si="22"/>
        <v>0.27000000000000007</v>
      </c>
      <c r="U41" s="21">
        <f t="shared" si="23"/>
        <v>0.63000000000000012</v>
      </c>
      <c r="V41" s="21">
        <f t="shared" ref="V41:AF42" si="36">$Z$23*V20</f>
        <v>0.40500000000000008</v>
      </c>
      <c r="W41" s="21">
        <f t="shared" si="36"/>
        <v>0.10125000000000002</v>
      </c>
      <c r="X41" s="21">
        <f t="shared" si="36"/>
        <v>0.30375000000000008</v>
      </c>
      <c r="Y41" s="21">
        <f t="shared" si="36"/>
        <v>2.6527500000000006E-2</v>
      </c>
      <c r="Z41" s="21">
        <f t="shared" si="36"/>
        <v>0.15795000000000006</v>
      </c>
      <c r="AA41" s="21">
        <f t="shared" si="36"/>
        <v>7.4722500000000011E-2</v>
      </c>
      <c r="AB41" s="21">
        <f t="shared" si="36"/>
        <v>0.14580000000000001</v>
      </c>
      <c r="AC41" s="21">
        <f t="shared" si="36"/>
        <v>0.16988940000000002</v>
      </c>
      <c r="AD41" s="23">
        <f t="shared" si="36"/>
        <v>1.5501117921890486</v>
      </c>
      <c r="AE41" s="21">
        <f t="shared" si="36"/>
        <v>1.4091925383536807</v>
      </c>
      <c r="AF41" s="24">
        <f t="shared" si="36"/>
        <v>7.2000000000000022E-2</v>
      </c>
      <c r="AG41" s="33">
        <f t="shared" si="24"/>
        <v>18.645</v>
      </c>
      <c r="AH41" s="33">
        <f t="shared" si="25"/>
        <v>25.411247753946519</v>
      </c>
      <c r="AI41" s="33">
        <v>11.56</v>
      </c>
      <c r="AJ41" s="33">
        <f t="shared" si="26"/>
        <v>21.259156681690207</v>
      </c>
      <c r="AK41" s="37">
        <f t="shared" si="27"/>
        <v>503</v>
      </c>
      <c r="AL41" s="37">
        <f t="shared" si="28"/>
        <v>54.031359701118546</v>
      </c>
      <c r="AM41">
        <f t="shared" si="29"/>
        <v>13.87</v>
      </c>
      <c r="AN41">
        <f t="shared" si="30"/>
        <v>-22.841529221465695</v>
      </c>
      <c r="AO41">
        <f t="shared" si="17"/>
        <v>-24.608978427565479</v>
      </c>
      <c r="AP41">
        <f t="shared" si="18"/>
        <v>17</v>
      </c>
      <c r="AQ41">
        <f t="shared" si="31"/>
        <v>0.08</v>
      </c>
      <c r="AR41">
        <f t="shared" si="32"/>
        <v>-21.938200260161128</v>
      </c>
      <c r="AS41" s="25">
        <v>45450</v>
      </c>
      <c r="AT41" t="s">
        <v>83</v>
      </c>
      <c r="BA41" s="68">
        <f t="shared" si="19"/>
        <v>0.50678579012345792</v>
      </c>
      <c r="BC41" s="37">
        <f t="shared" si="20"/>
        <v>16409.609999999975</v>
      </c>
      <c r="BE41" s="74">
        <f t="shared" si="35"/>
        <v>25.306817993079573</v>
      </c>
      <c r="BG41" s="69">
        <f t="shared" si="33"/>
        <v>19.605216049382712</v>
      </c>
      <c r="BI41" s="76">
        <f t="shared" si="34"/>
        <v>0.28013496604938293</v>
      </c>
      <c r="BK41" s="40"/>
    </row>
    <row r="42" spans="1:63" s="26" customFormat="1" x14ac:dyDescent="0.3">
      <c r="A42" s="27" t="s">
        <v>44</v>
      </c>
      <c r="R42" s="27" t="s">
        <v>44</v>
      </c>
      <c r="S42" s="28" t="str">
        <f t="shared" si="21"/>
        <v>RHA</v>
      </c>
      <c r="T42" s="29">
        <f t="shared" si="22"/>
        <v>0.30000000000000004</v>
      </c>
      <c r="U42" s="21">
        <f t="shared" si="23"/>
        <v>0.70000000000000018</v>
      </c>
      <c r="V42" s="30">
        <f t="shared" si="36"/>
        <v>0.55000000000000016</v>
      </c>
      <c r="W42" s="30">
        <f t="shared" si="36"/>
        <v>0.18333333333333338</v>
      </c>
      <c r="X42" s="30">
        <f t="shared" si="36"/>
        <v>0.36666666666666675</v>
      </c>
      <c r="Y42" s="30">
        <f t="shared" si="36"/>
        <v>6.6183333333333358E-2</v>
      </c>
      <c r="Z42" s="30">
        <f t="shared" si="36"/>
        <v>0.19066666666666673</v>
      </c>
      <c r="AA42" s="30">
        <f t="shared" si="36"/>
        <v>0.11715000000000003</v>
      </c>
      <c r="AB42" s="30">
        <f t="shared" si="36"/>
        <v>0.17600000000000005</v>
      </c>
      <c r="AC42" s="30">
        <f t="shared" si="36"/>
        <v>0.18445300000000014</v>
      </c>
      <c r="AD42" s="31">
        <f t="shared" si="36"/>
        <v>1.0459076314514939</v>
      </c>
      <c r="AE42" s="30">
        <f t="shared" si="36"/>
        <v>1.4941537592164202</v>
      </c>
      <c r="AF42" s="29">
        <f t="shared" si="36"/>
        <v>8.0000000000000016E-2</v>
      </c>
      <c r="AG42" s="33">
        <f t="shared" si="24"/>
        <v>24.101000000000003</v>
      </c>
      <c r="AH42" s="34">
        <f t="shared" si="25"/>
        <v>27.640701254378609</v>
      </c>
      <c r="AI42" s="34">
        <v>14.11</v>
      </c>
      <c r="AJ42" s="34">
        <f t="shared" si="26"/>
        <v>22.990540275086957</v>
      </c>
      <c r="AK42" s="37">
        <f t="shared" si="27"/>
        <v>688</v>
      </c>
      <c r="AL42" s="38">
        <f t="shared" si="28"/>
        <v>56.751768764710221</v>
      </c>
      <c r="AM42" s="26">
        <f t="shared" si="29"/>
        <v>6.98</v>
      </c>
      <c r="AN42" s="26">
        <f t="shared" si="30"/>
        <v>-16.877108452463222</v>
      </c>
      <c r="AO42" s="26">
        <f t="shared" si="17"/>
        <v>-18.061799739838872</v>
      </c>
      <c r="AP42">
        <f t="shared" si="18"/>
        <v>8</v>
      </c>
      <c r="AQ42">
        <f t="shared" si="31"/>
        <v>0.85</v>
      </c>
      <c r="AR42">
        <f t="shared" si="32"/>
        <v>-1.4116214857141456</v>
      </c>
      <c r="BA42" s="68">
        <f t="shared" si="19"/>
        <v>22.506590234567923</v>
      </c>
      <c r="BC42" s="37">
        <f t="shared" si="20"/>
        <v>3237.6100000000101</v>
      </c>
      <c r="BE42" s="74">
        <f t="shared" si="35"/>
        <v>3.4574121107266436</v>
      </c>
      <c r="BG42" s="69">
        <f t="shared" si="33"/>
        <v>20.905216049382723</v>
      </c>
      <c r="BI42" s="76">
        <f t="shared" si="34"/>
        <v>5.794718827160486E-2</v>
      </c>
      <c r="BK42" s="40"/>
    </row>
    <row r="43" spans="1:63" x14ac:dyDescent="0.3">
      <c r="A43" s="67" t="s">
        <v>190</v>
      </c>
      <c r="R43" s="17" t="s">
        <v>57</v>
      </c>
      <c r="S43" s="20"/>
      <c r="T43" s="24">
        <f>SUM(T25:T42)</f>
        <v>4.0500000000000016</v>
      </c>
      <c r="U43" s="21">
        <f>SUM(U25:U42)</f>
        <v>12.150000000000002</v>
      </c>
      <c r="V43" s="21">
        <f t="shared" ref="V43:AF43" si="37">SUM(V25:V42)</f>
        <v>8.9100000000000037</v>
      </c>
      <c r="W43" s="21">
        <f t="shared" si="37"/>
        <v>2.5823809523809533</v>
      </c>
      <c r="X43" s="21">
        <f t="shared" si="37"/>
        <v>6.3276190476190486</v>
      </c>
      <c r="Y43" s="21">
        <f t="shared" si="37"/>
        <v>0.91603142857142894</v>
      </c>
      <c r="Z43" s="21">
        <f t="shared" si="37"/>
        <v>3.2903619047619053</v>
      </c>
      <c r="AA43" s="21">
        <f t="shared" si="37"/>
        <v>1.6663495238095243</v>
      </c>
      <c r="AB43" s="21">
        <f t="shared" si="37"/>
        <v>3.0372571428571438</v>
      </c>
      <c r="AC43" s="21">
        <f t="shared" si="37"/>
        <v>2.6430364261904771</v>
      </c>
      <c r="AD43" s="21">
        <f t="shared" si="37"/>
        <v>24.683620411758444</v>
      </c>
      <c r="AE43" s="21">
        <f t="shared" si="37"/>
        <v>27.861913876142449</v>
      </c>
      <c r="AF43" s="24">
        <f t="shared" si="37"/>
        <v>1.2960000000000007</v>
      </c>
      <c r="AG43" s="33">
        <f>AVERAGE(AG25:AG42)</f>
        <v>19.356888888888889</v>
      </c>
      <c r="AH43" s="33">
        <f t="shared" ref="AH43:AR43" si="38">AVERAGE(AH25:AH42)</f>
        <v>25.36209992703661</v>
      </c>
      <c r="AI43" s="33">
        <f t="shared" si="38"/>
        <v>11.702222222222222</v>
      </c>
      <c r="AJ43" s="33">
        <f t="shared" si="38"/>
        <v>21.028846202973163</v>
      </c>
      <c r="AK43" s="33">
        <f t="shared" si="38"/>
        <v>631.09999999999991</v>
      </c>
      <c r="AL43" s="33">
        <f t="shared" si="38"/>
        <v>55.875108786957036</v>
      </c>
      <c r="AM43" s="33">
        <f t="shared" si="38"/>
        <v>8.8394117647058827</v>
      </c>
      <c r="AN43" s="33">
        <f>AVERAGE(AN26:AN42)</f>
        <v>-17.874381145118338</v>
      </c>
      <c r="AO43" s="33">
        <f t="shared" si="38"/>
        <v>-21.125873463850866</v>
      </c>
      <c r="AP43" s="33">
        <f t="shared" si="38"/>
        <v>12.572222222222223</v>
      </c>
      <c r="AQ43" s="33">
        <f t="shared" si="38"/>
        <v>0.60927777777777792</v>
      </c>
      <c r="AR43" s="33">
        <f t="shared" si="38"/>
        <v>-6.3852363594093058</v>
      </c>
      <c r="BA43" s="68">
        <f>SUM(BA25:BA42)</f>
        <v>546.74467377777796</v>
      </c>
      <c r="BC43" s="37">
        <f>SUM(BC25:BC42)</f>
        <v>195802.56000000003</v>
      </c>
      <c r="BE43" s="75">
        <f>SUM(BE26:BE42)</f>
        <v>318.39769411764706</v>
      </c>
      <c r="BG43" s="69">
        <f>SUM(BG25:BG42)</f>
        <v>681.39611111111105</v>
      </c>
      <c r="BI43" s="76">
        <f>SUM(BI25:BI42)</f>
        <v>1.4498396111111114</v>
      </c>
      <c r="BK43" s="40"/>
    </row>
    <row r="44" spans="1:63" s="26" customFormat="1" x14ac:dyDescent="0.3"/>
    <row r="46" spans="1:63" x14ac:dyDescent="0.3">
      <c r="R46" s="12" t="s">
        <v>78</v>
      </c>
    </row>
    <row r="47" spans="1:63" x14ac:dyDescent="0.3">
      <c r="H47" s="33"/>
      <c r="I47" s="33"/>
      <c r="R47" s="12" t="s">
        <v>76</v>
      </c>
      <c r="S47" t="s">
        <v>25</v>
      </c>
      <c r="T47">
        <v>0.21000000000000005</v>
      </c>
      <c r="U47">
        <v>2.5900000000000007</v>
      </c>
      <c r="V47">
        <v>1.2600000000000002</v>
      </c>
      <c r="W47">
        <v>0.4200000000000001</v>
      </c>
      <c r="X47">
        <v>0.84000000000000019</v>
      </c>
      <c r="Y47">
        <v>0.11004000000000004</v>
      </c>
      <c r="Z47">
        <v>0.53760000000000008</v>
      </c>
      <c r="AA47">
        <v>0.30996000000000007</v>
      </c>
      <c r="AB47">
        <v>0.30240000000000011</v>
      </c>
      <c r="AC47">
        <v>0.8356488000000003</v>
      </c>
      <c r="AD47">
        <v>4.5457385032804254</v>
      </c>
      <c r="AE47">
        <v>5.6821731291005309</v>
      </c>
      <c r="AF47">
        <v>0.19600000000000009</v>
      </c>
      <c r="AK47">
        <v>515</v>
      </c>
      <c r="AM47">
        <v>39</v>
      </c>
    </row>
    <row r="48" spans="1:63" x14ac:dyDescent="0.3">
      <c r="H48" s="34"/>
      <c r="I48" s="33"/>
      <c r="R48" s="12" t="s">
        <v>77</v>
      </c>
      <c r="S48" t="s">
        <v>25</v>
      </c>
      <c r="T48">
        <v>0.24412500000000006</v>
      </c>
      <c r="U48">
        <v>3.0108750000000009</v>
      </c>
      <c r="V48">
        <v>1.9530000000000005</v>
      </c>
      <c r="W48">
        <v>0.55800000000000016</v>
      </c>
      <c r="X48">
        <v>1.3950000000000002</v>
      </c>
      <c r="Y48">
        <v>0.20143800000000003</v>
      </c>
      <c r="Z48">
        <v>0.89280000000000026</v>
      </c>
      <c r="AA48">
        <v>0.3565620000000001</v>
      </c>
      <c r="AB48">
        <v>0.50220000000000009</v>
      </c>
      <c r="AC48">
        <v>0.96791796000000019</v>
      </c>
      <c r="AD48">
        <v>4.0390017109696128</v>
      </c>
      <c r="AE48">
        <v>4.0390017109696128</v>
      </c>
      <c r="AF48">
        <v>0.19530000000000003</v>
      </c>
      <c r="AK48">
        <v>605</v>
      </c>
      <c r="AM48">
        <v>33</v>
      </c>
    </row>
    <row r="49" spans="8:47" x14ac:dyDescent="0.3">
      <c r="H49" s="33"/>
      <c r="I49" s="33"/>
    </row>
    <row r="50" spans="8:47" x14ac:dyDescent="0.3">
      <c r="H50" s="34"/>
      <c r="I50" s="33"/>
      <c r="AT50" t="s">
        <v>100</v>
      </c>
      <c r="AU50" t="s">
        <v>101</v>
      </c>
    </row>
    <row r="51" spans="8:47" x14ac:dyDescent="0.3">
      <c r="H51" s="33"/>
      <c r="I51" s="33"/>
      <c r="W51" s="36" t="s">
        <v>94</v>
      </c>
      <c r="X51" s="36" t="s">
        <v>95</v>
      </c>
      <c r="Y51" s="36" t="s">
        <v>119</v>
      </c>
      <c r="Z51" s="36" t="s">
        <v>126</v>
      </c>
      <c r="AA51" s="36" t="s">
        <v>120</v>
      </c>
      <c r="AB51" s="36" t="s">
        <v>127</v>
      </c>
      <c r="AC51" s="36" t="s">
        <v>121</v>
      </c>
      <c r="AD51" s="36" t="s">
        <v>128</v>
      </c>
      <c r="AE51" s="36" t="s">
        <v>122</v>
      </c>
      <c r="AF51" s="36" t="s">
        <v>129</v>
      </c>
      <c r="AG51" s="36" t="s">
        <v>123</v>
      </c>
      <c r="AH51" s="36"/>
      <c r="AI51" s="36" t="s">
        <v>130</v>
      </c>
      <c r="AJ51" s="36" t="s">
        <v>198</v>
      </c>
      <c r="AK51" s="36" t="s">
        <v>199</v>
      </c>
      <c r="AT51" t="s">
        <v>99</v>
      </c>
    </row>
    <row r="52" spans="8:47" x14ac:dyDescent="0.3">
      <c r="H52" s="34"/>
      <c r="I52" s="33"/>
      <c r="W52" t="s">
        <v>45</v>
      </c>
      <c r="X52" t="str">
        <f>E25</f>
        <v>FA</v>
      </c>
      <c r="Y52" s="64">
        <f>AVERAGE(AL25:AL27,AL34:AL36)</f>
        <v>55.091867694402488</v>
      </c>
      <c r="Z52" s="37">
        <f>AVERAGE(AK25:AK27,AK34:AK36)</f>
        <v>578.83333333333337</v>
      </c>
      <c r="AA52" s="64">
        <f>AVERAGE(AN26,AN27,AN34,AN35,AN36)</f>
        <v>-20.512733428506994</v>
      </c>
      <c r="AB52" s="37">
        <f>AVERAGE(AM26,AM27,AM34,AM35,AM36)</f>
        <v>12.288</v>
      </c>
      <c r="AC52" s="64">
        <f>AVERAGE(AH25:AH27,AH34:AH36)</f>
        <v>25.788424529437076</v>
      </c>
      <c r="AD52" s="37">
        <f>AVERAGE(AG25:AG27,AG34:AG36)</f>
        <v>20.811833333333336</v>
      </c>
      <c r="AE52" s="64">
        <f>AVERAGE(AJ25:AJ27,AJ34:AJ36)</f>
        <v>21.574917838283767</v>
      </c>
      <c r="AF52" s="64">
        <f>AVERAGE(AI25:AI27,AI34:AI36)</f>
        <v>12.660000000000002</v>
      </c>
      <c r="AG52" s="64">
        <f>AVERAGE(AO25,AO26,AO27,AO34,AO35,AO36)</f>
        <v>-24.015903843691575</v>
      </c>
      <c r="AH52" s="64"/>
      <c r="AI52" s="64">
        <f>AVERAGE(AP25,AP26,AP27,AP34,AP35,AP36)</f>
        <v>17.833333333333332</v>
      </c>
      <c r="AJ52" s="41">
        <f>AVERAGE(AQ25:AQ27,AQ34:AQ36)</f>
        <v>0.44500000000000001</v>
      </c>
      <c r="AK52" s="41">
        <f>AVERAGE(AR25:AR27,AR34:AR36)</f>
        <v>-10.105112428914582</v>
      </c>
      <c r="AT52" s="42">
        <v>21.05</v>
      </c>
      <c r="AU52">
        <f>AT52*1.23</f>
        <v>25.891500000000001</v>
      </c>
    </row>
    <row r="53" spans="8:47" x14ac:dyDescent="0.3">
      <c r="H53" s="33"/>
      <c r="I53" s="33"/>
      <c r="X53" t="str">
        <f>F25</f>
        <v>BA</v>
      </c>
      <c r="Y53" s="64">
        <f>AVERAGE(AL28:AL30,AL37:AL39)</f>
        <v>56.442576160656337</v>
      </c>
      <c r="Z53" s="37">
        <f>AVERAGE(AK28:AK30,AK37:AK39)</f>
        <v>668.41666666666663</v>
      </c>
      <c r="AA53" s="64">
        <f>AVERAGE(AN28,AN29,AN30,AN37,AN38,AN39)</f>
        <v>-14.123036732055581</v>
      </c>
      <c r="AB53" s="37">
        <f>AVERAGE(AM28,AM29,AM30,AM37,AM38,AM39)</f>
        <v>5.1966666666666663</v>
      </c>
      <c r="AC53" s="64">
        <f>AVERAGE(AH28:AH30,AH37:AH39)</f>
        <v>24.552960052665821</v>
      </c>
      <c r="AD53" s="64">
        <f>AVERAGE(AG28:AG30,AG37:AG39)</f>
        <v>17.526666666666667</v>
      </c>
      <c r="AE53" s="64">
        <f>AVERAGE(AJ28:AJ30,AJ37:AJ39)</f>
        <v>20.138713040289399</v>
      </c>
      <c r="AF53" s="64">
        <f>AVERAGE(AI28:AI30,AI37:AI39)</f>
        <v>10.533333333333333</v>
      </c>
      <c r="AG53" s="64">
        <f>AVERAGE(AO28,AO29,AO30,AO37,AO38,AO39)</f>
        <v>-18.790341815165409</v>
      </c>
      <c r="AH53" s="64"/>
      <c r="AI53" s="64">
        <f>AVERAGE(AP28,AP29,AP30,AP37,AP38,AP39)</f>
        <v>8.8333333333333339</v>
      </c>
      <c r="AJ53" s="41">
        <f>AVERAGE(AQ28:AQ30,AQ37:AQ39)</f>
        <v>0.77700000000000002</v>
      </c>
      <c r="AK53" s="41">
        <f>AVERAGE(AR28:AR30,AR37:AR39)</f>
        <v>-2.2361379116292368</v>
      </c>
      <c r="AT53" s="42">
        <v>24.3</v>
      </c>
      <c r="AU53">
        <f t="shared" ref="AU53:AU68" si="39">AT53*1.23</f>
        <v>29.888999999999999</v>
      </c>
    </row>
    <row r="54" spans="8:47" x14ac:dyDescent="0.3">
      <c r="H54" s="34"/>
      <c r="I54" s="33"/>
      <c r="X54" t="str">
        <f>G25</f>
        <v>RHA</v>
      </c>
      <c r="Y54" s="64">
        <f>AVERAGE(AL31:AL33,AL40:AL42)</f>
        <v>56.090882505812289</v>
      </c>
      <c r="Z54" s="37">
        <f>AVERAGE(AK31:AK33,AK40:AK42)</f>
        <v>646.05000000000007</v>
      </c>
      <c r="AA54" s="64">
        <f>AVERAGE(AN31,AN32,AN33,AN40,AN41,AN42)</f>
        <v>-19.427098655357209</v>
      </c>
      <c r="AB54" s="37">
        <f>AVERAGE(AM31,AM32,AM33,AM40,AM41,AM42)</f>
        <v>9.6083333333333343</v>
      </c>
      <c r="AC54" s="64">
        <f>AVERAGE(AH31:AH33,AH40:AH42)</f>
        <v>25.744915199006929</v>
      </c>
      <c r="AD54" s="64">
        <f>AVERAGE(AG31:AG33,AG40:AG42)</f>
        <v>19.732166666666668</v>
      </c>
      <c r="AE54" s="64">
        <f>AVERAGE(AJ31:AJ33,AJ40:AJ42)</f>
        <v>21.372907730346327</v>
      </c>
      <c r="AF54" s="64">
        <f>AVERAGE(AI31:AI33,AI40:AI42)</f>
        <v>11.913333333333334</v>
      </c>
      <c r="AG54" s="64">
        <f>AVERAGE(AO31,AO32,AO33,AO40,AO41,AO42)</f>
        <v>-20.571374732695617</v>
      </c>
      <c r="AH54" s="64"/>
      <c r="AI54" s="64">
        <f>AVERAGE(AP31,AP32,AP33,AP40,AP41,AP42)</f>
        <v>11.049999999999999</v>
      </c>
      <c r="AJ54" s="41">
        <f>AVERAGE(AQ31:AQ33,AQ40:AQ42)</f>
        <v>0.60583333333333333</v>
      </c>
      <c r="AK54" s="41">
        <f>AVERAGE(AR31:AR33,AR40:AR42)</f>
        <v>-6.8144587376840979</v>
      </c>
      <c r="AT54" s="42">
        <v>22.32</v>
      </c>
      <c r="AU54">
        <f t="shared" si="39"/>
        <v>27.453600000000002</v>
      </c>
    </row>
    <row r="55" spans="8:47" s="26" customFormat="1" x14ac:dyDescent="0.3">
      <c r="H55" s="33"/>
      <c r="I55" s="33"/>
      <c r="W55" s="26" t="s">
        <v>46</v>
      </c>
      <c r="X55" s="39">
        <f>E26</f>
        <v>400</v>
      </c>
      <c r="Y55" s="65">
        <f>AVERAGE(AL25,AL28,AL31,AL34,AL37,AL40)</f>
        <v>54.840678624826005</v>
      </c>
      <c r="Z55" s="38">
        <f>AVERAGE(AK25,AK28,AK31,AK34,AK37,AK40)</f>
        <v>560.33333333333337</v>
      </c>
      <c r="AA55" s="65">
        <f>AVERAGE(AN28,AN31,AN34,AN37,AN40)</f>
        <v>-18.066896930788435</v>
      </c>
      <c r="AB55" s="38">
        <f>AVERAGE(AM28,AM31,AM34,AM37,AM40)</f>
        <v>8.1280000000000001</v>
      </c>
      <c r="AC55" s="65">
        <f>AVERAGE(AH25,AH28,AH31,AH34,AH37,AH40)</f>
        <v>23.75553076258343</v>
      </c>
      <c r="AD55" s="65">
        <f>AVERAGE(AG25,AG28,AG31,AG34,AG37,AG40)</f>
        <v>16.236000000000001</v>
      </c>
      <c r="AE55" s="65">
        <f>AVERAGE(AJ25,AJ28,AJ31,AJ34,AJ37,AJ40)</f>
        <v>19.57029578402901</v>
      </c>
      <c r="AF55" s="65">
        <f>AVERAGE(AI25,AI28,AI31,AI34,AI37,AI40)</f>
        <v>9.9233333333333338</v>
      </c>
      <c r="AG55" s="65">
        <f>AVERAGE(AO25,AO28,AO31,AO34,AO37,AO40)</f>
        <v>-21.565132815148615</v>
      </c>
      <c r="AH55" s="65"/>
      <c r="AI55" s="65">
        <f t="shared" ref="AI55:AK57" si="40">AVERAGE(AP25,AP28,AP31,AP34,AP37,AP40)</f>
        <v>12.666666666666666</v>
      </c>
      <c r="AJ55" s="41">
        <f t="shared" si="40"/>
        <v>0.5541666666666667</v>
      </c>
      <c r="AK55" s="41">
        <f t="shared" si="40"/>
        <v>-8.3275197923646633</v>
      </c>
      <c r="AT55" s="42">
        <v>18.37</v>
      </c>
      <c r="AU55">
        <f t="shared" si="39"/>
        <v>22.595100000000002</v>
      </c>
    </row>
    <row r="56" spans="8:47" s="26" customFormat="1" x14ac:dyDescent="0.3">
      <c r="H56" s="34"/>
      <c r="I56" s="33"/>
      <c r="W56" s="26" t="s">
        <v>97</v>
      </c>
      <c r="X56" s="39">
        <f>F26</f>
        <v>450</v>
      </c>
      <c r="Y56" s="65">
        <f>AVERAGE(AL26,AL29,AL32,AL35,AL38,AL41)</f>
        <v>55.745444314350237</v>
      </c>
      <c r="Z56" s="38">
        <f>AVERAGE(AK26,AK29,AK32,AK35,AK38,AK41)</f>
        <v>617.80000000000007</v>
      </c>
      <c r="AA56" s="65">
        <f>AVERAGE(AN26,AN29,AN32,AN35,AN38,AN41)</f>
        <v>-19.100175824044978</v>
      </c>
      <c r="AB56" s="38">
        <f>AVERAGE(AM26,AM29,AM32,AM35,AM38,AM41)</f>
        <v>10.161666666666665</v>
      </c>
      <c r="AC56" s="65">
        <f>AVERAGE(AH26,AH29,AH32,AH35,AH38,AH41)</f>
        <v>25.950337875230414</v>
      </c>
      <c r="AD56" s="65">
        <f>AVERAGE(AG26,AG29,AG32,AG35,AG38,AG41)</f>
        <v>20.698333333333334</v>
      </c>
      <c r="AE56" s="65">
        <f>AVERAGE(AJ26,AJ29,AJ32,AJ35,AJ38,AJ41)</f>
        <v>21.43158326060875</v>
      </c>
      <c r="AF56" s="65">
        <f>AVERAGE(AI26,AI29,AI32,AI35,AI38,AI41)</f>
        <v>12.355000000000002</v>
      </c>
      <c r="AG56" s="65">
        <f>AVERAGE(AO26,AO29,AO32,AO35,AO38,AO41)</f>
        <v>-21.25892888820389</v>
      </c>
      <c r="AH56" s="65"/>
      <c r="AI56" s="65">
        <f t="shared" si="40"/>
        <v>12.716666666666667</v>
      </c>
      <c r="AJ56" s="41">
        <f t="shared" si="40"/>
        <v>0.54</v>
      </c>
      <c r="AK56" s="41">
        <f t="shared" si="40"/>
        <v>-7.4286626503902582</v>
      </c>
      <c r="AT56" s="42">
        <v>30.37</v>
      </c>
      <c r="AU56">
        <f t="shared" si="39"/>
        <v>37.3551</v>
      </c>
    </row>
    <row r="57" spans="8:47" s="26" customFormat="1" x14ac:dyDescent="0.3">
      <c r="H57" s="33"/>
      <c r="I57" s="33"/>
      <c r="X57" s="39">
        <f>G26</f>
        <v>500</v>
      </c>
      <c r="Y57" s="65">
        <f>AVERAGE(AL27,AL30,AL33,AL36,AL39,AL42)</f>
        <v>57.039203421694886</v>
      </c>
      <c r="Z57" s="38">
        <f>AVERAGE(AK27,AK30,AK33,AK36,AK39,AK42)</f>
        <v>715.16666666666663</v>
      </c>
      <c r="AA57" s="65">
        <f>AVERAGE(AN27,AN30,AN33,AN36,AN39,AN42)</f>
        <v>-16.488156644799943</v>
      </c>
      <c r="AB57" s="38">
        <f>AVERAGE(AM27,AM30,AM33,AM36,AM39,AM42)</f>
        <v>8.11</v>
      </c>
      <c r="AC57" s="65">
        <f>AVERAGE(AH27,AH30,AH33,AH36,AH39,AH42)</f>
        <v>26.38043114329599</v>
      </c>
      <c r="AD57" s="65">
        <f>AVERAGE(AG27,AG30,AG33,AG36,AG39,AG42)</f>
        <v>21.136333333333337</v>
      </c>
      <c r="AE57" s="65">
        <f>AVERAGE(AJ27,AJ30,AJ33,AJ36,AJ39,AJ42)</f>
        <v>22.084659564281736</v>
      </c>
      <c r="AF57" s="65">
        <f>AVERAGE(AI27,AI30,AI33,AI36,AI39,AI42)</f>
        <v>12.828333333333333</v>
      </c>
      <c r="AG57" s="65">
        <f>AVERAGE(AO27,AO30,AO33,AO36,AO39,AO42)</f>
        <v>-20.553558688200098</v>
      </c>
      <c r="AH57" s="65"/>
      <c r="AI57" s="65">
        <f t="shared" si="40"/>
        <v>12.333333333333334</v>
      </c>
      <c r="AJ57" s="41">
        <f t="shared" si="40"/>
        <v>0.73366666666666658</v>
      </c>
      <c r="AK57" s="41">
        <f t="shared" si="40"/>
        <v>-3.3995266354729936</v>
      </c>
      <c r="AT57" s="42">
        <v>12.51</v>
      </c>
      <c r="AU57">
        <f t="shared" si="39"/>
        <v>15.3873</v>
      </c>
    </row>
    <row r="58" spans="8:47" x14ac:dyDescent="0.3">
      <c r="H58" s="34"/>
      <c r="I58" s="33"/>
      <c r="W58" t="s">
        <v>59</v>
      </c>
      <c r="X58" s="63">
        <f>E27</f>
        <v>0.2</v>
      </c>
      <c r="Y58" s="64">
        <f>AVERAGE(AL25:AL33)</f>
        <v>56.115250273741331</v>
      </c>
      <c r="Z58" s="37">
        <f>AVERAGE(AK25:AK33)</f>
        <v>652.25555555555559</v>
      </c>
      <c r="AA58" s="64">
        <f>AVERAGE(AN26,AN27,AN28,AN29,AN30,AN31,AN32,AN33)</f>
        <v>-16.601584972678388</v>
      </c>
      <c r="AB58" s="37">
        <f>AVERAGE(AM26,AM27,AM28,AM29,AM30,AM31,AM32,AM33)</f>
        <v>7.5625</v>
      </c>
      <c r="AC58" s="64">
        <f>AVERAGE(AH25:AH33)</f>
        <v>23.721309120856372</v>
      </c>
      <c r="AD58" s="64">
        <f>AVERAGE(AG25:AG33)</f>
        <v>15.863222222222223</v>
      </c>
      <c r="AE58" s="64">
        <f>AVERAGE(AJ25:AJ33)</f>
        <v>19.475866165386265</v>
      </c>
      <c r="AF58" s="64">
        <f>AVERAGE(AI25:AI33)</f>
        <v>9.6588888888888889</v>
      </c>
      <c r="AG58" s="64">
        <f>AVERAGE(AO25:AO33)</f>
        <v>-20.458212040080639</v>
      </c>
      <c r="AH58" s="64"/>
      <c r="AI58" s="64">
        <f>AVERAGE(AP25:AP33)</f>
        <v>11.366666666666667</v>
      </c>
      <c r="AJ58" s="41">
        <f>AVERAGE(AQ25:AQ33)</f>
        <v>0.70077777777777783</v>
      </c>
      <c r="AK58" s="41">
        <f>AVERAGE(AR25:AR33)</f>
        <v>-5.0750898636451769</v>
      </c>
      <c r="AT58" s="42">
        <v>19.8</v>
      </c>
      <c r="AU58">
        <f t="shared" si="39"/>
        <v>24.353999999999999</v>
      </c>
    </row>
    <row r="59" spans="8:47" x14ac:dyDescent="0.3">
      <c r="H59" s="33"/>
      <c r="I59" s="33"/>
      <c r="W59" t="s">
        <v>98</v>
      </c>
      <c r="X59" s="63">
        <f>F27</f>
        <v>0.3</v>
      </c>
      <c r="Y59" s="64">
        <f>AVERAGE(AL34:AL42)</f>
        <v>55.634967300172754</v>
      </c>
      <c r="Z59" s="37">
        <f>AVERAGE(AK34:AK42)</f>
        <v>609.94444444444446</v>
      </c>
      <c r="AA59" s="64">
        <f>AVERAGE(AN34,AN35,AN36,AN37,AN38,AN39,AN40,AN41,AN42)</f>
        <v>-19.005755520620514</v>
      </c>
      <c r="AB59" s="37">
        <f>AVERAGE(AM34,AM35,AM36,AM37,AM38,AM39,AM40,AM41,AM42)</f>
        <v>9.974444444444444</v>
      </c>
      <c r="AC59" s="64">
        <f>AVERAGE(AH34:AH42)</f>
        <v>27.002890733216844</v>
      </c>
      <c r="AD59" s="64">
        <f>AVERAGE(AG34:AG42)</f>
        <v>22.850555555555555</v>
      </c>
      <c r="AE59" s="64">
        <f>AVERAGE(AJ34:AJ42)</f>
        <v>22.581826240560062</v>
      </c>
      <c r="AF59" s="64">
        <f>AVERAGE(AI34:AI42)</f>
        <v>13.745555555555555</v>
      </c>
      <c r="AG59" s="64">
        <f>AVERAGE(AO34:AO42)</f>
        <v>-21.793534887621099</v>
      </c>
      <c r="AH59" s="64"/>
      <c r="AI59" s="64">
        <f>AVERAGE(AP34:AP42)</f>
        <v>13.777777777777779</v>
      </c>
      <c r="AJ59" s="41">
        <f>AVERAGE(AQ34:AQ42)</f>
        <v>0.51777777777777778</v>
      </c>
      <c r="AK59" s="41">
        <f>AVERAGE(AR34:AR42)</f>
        <v>-7.6953828551734347</v>
      </c>
      <c r="AT59" s="42">
        <v>30.23</v>
      </c>
      <c r="AU59">
        <f t="shared" si="39"/>
        <v>37.182899999999997</v>
      </c>
    </row>
    <row r="60" spans="8:47" s="26" customFormat="1" x14ac:dyDescent="0.3">
      <c r="H60" s="34"/>
      <c r="I60" s="33"/>
      <c r="W60" s="26" t="s">
        <v>191</v>
      </c>
      <c r="X60" s="39">
        <f>E28</f>
        <v>0.45</v>
      </c>
      <c r="Y60" s="65">
        <f>AVERAGE(AL25,AL28,AL33,AL35,AL39,AL42)</f>
        <v>55.472838707538187</v>
      </c>
      <c r="Z60" s="38">
        <f>AVERAGE(AK25,AK28,AK33,AK35,AK39,AK42)</f>
        <v>608.66666666666663</v>
      </c>
      <c r="AA60" s="65">
        <f>AVERAGE(AN28,AN33,AN35,AN39,AN41)</f>
        <v>-19.43429473635133</v>
      </c>
      <c r="AB60" s="38">
        <f>AVERAGE(AM28,AM33,AM35,AM39,AM41)</f>
        <v>10.318</v>
      </c>
      <c r="AC60" s="65">
        <f>AVERAGE(AH25,AH28,AH33,AH35,AH39,AH42)</f>
        <v>25.137654156457003</v>
      </c>
      <c r="AD60" s="65">
        <f>AVERAGE(AG25,AG28,AG33,AG35,AG39,AG42)</f>
        <v>19.818333333333332</v>
      </c>
      <c r="AE60" s="65">
        <f>AVERAGE(AJ25,AJ28,AJ33,AJ35,AJ39,AJ42)</f>
        <v>21.087344274627267</v>
      </c>
      <c r="AF60" s="65">
        <f>AVERAGE(AI25,AI28,AI33,AI35,AI39,AI42)</f>
        <v>12.233333333333334</v>
      </c>
      <c r="AG60" s="65">
        <f>AVERAGE(AO25,AO28,AO33,AO35,AO39,AO42)</f>
        <v>-22.453747353105054</v>
      </c>
      <c r="AH60" s="65"/>
      <c r="AI60" s="65">
        <f>AVERAGE(AP25,AP28,AP33,AP35,AP39,AP42)</f>
        <v>14.416666666666666</v>
      </c>
      <c r="AJ60" s="41">
        <f>AVERAGE(AQ25,AQ28,AQ33,AQ35,AQ39,AQ42)</f>
        <v>0.58666666666666667</v>
      </c>
      <c r="AK60" s="41">
        <f>AVERAGE(AR25,AR28,AR33,AR35,AR39,AR42)</f>
        <v>-7.7103981690687702</v>
      </c>
      <c r="AT60" s="42">
        <v>19.5</v>
      </c>
      <c r="AU60">
        <f t="shared" si="39"/>
        <v>23.984999999999999</v>
      </c>
    </row>
    <row r="61" spans="8:47" s="26" customFormat="1" x14ac:dyDescent="0.3">
      <c r="H61" s="33"/>
      <c r="I61" s="33"/>
      <c r="X61" s="39">
        <f>F28</f>
        <v>0.55000000000000004</v>
      </c>
      <c r="Y61" s="65">
        <f>AVERAGE(AL26,AL29,AL31,AL36,AL37,AL41)</f>
        <v>55.675075641612437</v>
      </c>
      <c r="Z61" s="38">
        <f>AVERAGE(AK26,AK29,AK31,AK36,AK37,AK41)</f>
        <v>611.16666666666663</v>
      </c>
      <c r="AA61" s="65">
        <f>AVERAGE(AN26,AN29,AN31,AN36,AN37,AN42)</f>
        <v>-19.168803736267897</v>
      </c>
      <c r="AB61" s="38">
        <f>AVERAGE(AM26,AM29,AM31,AM36,AM37,AM42)</f>
        <v>10.06</v>
      </c>
      <c r="AC61" s="65">
        <f>AVERAGE(AH26,AH29,AH31,AH36,AH37,AH41)</f>
        <v>25.445485885107285</v>
      </c>
      <c r="AD61" s="65">
        <f>AVERAGE(AG26,AG29,AG31,AG36,AG37,AG41)</f>
        <v>19.020666666666667</v>
      </c>
      <c r="AE61" s="65">
        <f>AVERAGE(AJ26,AJ29,AJ31,AJ36,AJ37,AJ41)</f>
        <v>20.626405925490406</v>
      </c>
      <c r="AF61" s="65">
        <f>AVERAGE(AI26,AI29,AI31,AI36,AI37,AI41)</f>
        <v>10.948333333333332</v>
      </c>
      <c r="AG61" s="65">
        <f>AVERAGE(AO26,AO29,AO31,AO36,AO37,AO41)</f>
        <v>-22.1317340184914</v>
      </c>
      <c r="AH61" s="65"/>
      <c r="AI61" s="65">
        <f>AVERAGE(AP26,AP29,AP31,AP36,AP37,AP41)</f>
        <v>14.333333333333334</v>
      </c>
      <c r="AJ61" s="41">
        <f>AVERAGE(AQ26,AQ29,AQ31,AQ36,AQ37,AQ41)</f>
        <v>0.5525000000000001</v>
      </c>
      <c r="AK61" s="41">
        <f>AVERAGE(AR26,AR29,AR31,AR36,AR37,AR41)</f>
        <v>-7.495112942940648</v>
      </c>
      <c r="AT61" s="42">
        <v>33.200000000000003</v>
      </c>
      <c r="AU61">
        <f t="shared" si="39"/>
        <v>40.836000000000006</v>
      </c>
    </row>
    <row r="62" spans="8:47" s="26" customFormat="1" x14ac:dyDescent="0.3">
      <c r="H62" s="34"/>
      <c r="I62" s="33"/>
      <c r="X62" s="39">
        <f>G28</f>
        <v>0.65</v>
      </c>
      <c r="Y62" s="65">
        <f>AVERAGE(AL27,AL30,AL32,AL34,AL38,AL40)</f>
        <v>56.477412011720503</v>
      </c>
      <c r="Z62" s="38">
        <f>AVERAGE(AK27,AK30,AK32,AK34,AK38,AK40)</f>
        <v>673.4666666666667</v>
      </c>
      <c r="AA62" s="65">
        <f>AVERAGE(AN27,AN30,AN32,AN34,AN38,AN40)</f>
        <v>-15.280030561274609</v>
      </c>
      <c r="AB62" s="38">
        <f>AVERAGE(AM27,AM30,AM32,AM34,AM38,AM40)</f>
        <v>6.3866666666666676</v>
      </c>
      <c r="AC62" s="65">
        <f>AVERAGE(AH27,AH30,AH32,AH34,AH38,AH40)</f>
        <v>25.503159739545538</v>
      </c>
      <c r="AD62" s="65">
        <f>AVERAGE(AG27,AG30,AG32,AG34,AG38,AG40)</f>
        <v>19.231666666666669</v>
      </c>
      <c r="AE62" s="65">
        <f>AVERAGE(AJ27,AJ30,AJ32,AJ34,AJ38,AJ40)</f>
        <v>21.372788408801821</v>
      </c>
      <c r="AF62" s="65">
        <f>AVERAGE(AI27,AI30,AI32,AI34,AI38,AI40)</f>
        <v>11.924999999999999</v>
      </c>
      <c r="AG62" s="65">
        <f>AVERAGE(AO27,AO30,AO32,AO34,AO38,AO40)</f>
        <v>-18.792139019956149</v>
      </c>
      <c r="AH62" s="65"/>
      <c r="AI62" s="65">
        <f>AVERAGE(AP27,AP30,AP32,AP34,AP38,AP40)</f>
        <v>8.9666666666666668</v>
      </c>
      <c r="AJ62" s="41">
        <f>AVERAGE(AQ27,AQ30,AQ32,AQ34,AQ38,AQ40)</f>
        <v>0.68866666666666665</v>
      </c>
      <c r="AK62" s="41">
        <f>AVERAGE(AR27,AR30,AR32,AR34,AR38,AR40)</f>
        <v>-3.9501979662184978</v>
      </c>
      <c r="AT62" s="42">
        <v>22.92</v>
      </c>
      <c r="AU62">
        <f t="shared" si="39"/>
        <v>28.191600000000001</v>
      </c>
    </row>
    <row r="63" spans="8:47" x14ac:dyDescent="0.3">
      <c r="H63" s="33"/>
      <c r="I63" s="33"/>
      <c r="W63" t="s">
        <v>192</v>
      </c>
      <c r="X63" s="10">
        <f>E29</f>
        <v>2</v>
      </c>
      <c r="Y63" s="64">
        <f>AVERAGE(AL25,AL30,AL31,AL35,AL38,AL42)</f>
        <v>55.579538898627298</v>
      </c>
      <c r="Z63" s="37">
        <f>AVERAGE(AK25,AK30,AK31,AK35,AK38,AK42)</f>
        <v>613.25</v>
      </c>
      <c r="AA63" s="64">
        <f>AVERAGE(AN30,AN31,AN35,AN38,AN42)</f>
        <v>-16.758520193441733</v>
      </c>
      <c r="AB63" s="37">
        <f>AVERAGE(AM30,AM31,AM35,AM38,AM42)</f>
        <v>7.8719999999999999</v>
      </c>
      <c r="AC63" s="64">
        <f>AVERAGE(AH25,AH30,AH31,AH35,AH38,AH42)</f>
        <v>25.795447519625057</v>
      </c>
      <c r="AD63" s="64">
        <f>AVERAGE(AG25,AG30,AG31,AG35,AG38,AG42)</f>
        <v>20.801000000000002</v>
      </c>
      <c r="AE63" s="64">
        <f>AVERAGE(AJ25,AJ30,AJ31,AJ35,AJ38,AJ42)</f>
        <v>21.672875066374999</v>
      </c>
      <c r="AF63" s="64">
        <f>AVERAGE(AI25,AI30,AI31,AI35,AI38,AI42)</f>
        <v>12.746666666666668</v>
      </c>
      <c r="AG63" s="64">
        <f>AVERAGE(AO25,AO30,AO31,AO35,AO38,AO42)</f>
        <v>-21.281015528580571</v>
      </c>
      <c r="AH63" s="64"/>
      <c r="AI63" s="64">
        <f>AVERAGE(AP25,AP30,AP31,AP35,AP38,AP42)</f>
        <v>13.083333333333334</v>
      </c>
      <c r="AJ63" s="41">
        <f>AVERAGE(AQ25,AQ30,AQ31,AQ35,AQ38,AQ42)</f>
        <v>0.57950000000000002</v>
      </c>
      <c r="AK63" s="41">
        <f>AVERAGE(AR25,AR30,AR31,AR35,AR38,AR42)</f>
        <v>-7.822369559341241</v>
      </c>
      <c r="AT63" s="42">
        <v>18.37</v>
      </c>
      <c r="AU63">
        <f t="shared" si="39"/>
        <v>22.595100000000002</v>
      </c>
    </row>
    <row r="64" spans="8:47" x14ac:dyDescent="0.3">
      <c r="H64" s="34"/>
      <c r="I64" s="33"/>
      <c r="X64" s="10">
        <f>F29</f>
        <v>2.5</v>
      </c>
      <c r="Y64" s="64">
        <f>AVERAGE(AL26,AL28,AL32,AL36,AL39,AL40)</f>
        <v>55.715051276903374</v>
      </c>
      <c r="Z64" s="37">
        <f>AVERAGE(AK26,AK28,AK32,AK36,AK39,AK40)</f>
        <v>616.05000000000007</v>
      </c>
      <c r="AA64" s="64">
        <f>AVERAGE(AN26,AN28,AN32,AN36,AN39,AN40)</f>
        <v>-19.129147614485642</v>
      </c>
      <c r="AB64" s="37">
        <f>AVERAGE(AM26,AM28,AM32,AM36,AM39,AM40)</f>
        <v>10.053333333333333</v>
      </c>
      <c r="AC64" s="64">
        <f>AVERAGE(AH26,AH28,AH32,AH36,AH39,AH40)</f>
        <v>24.698138864454606</v>
      </c>
      <c r="AD64" s="64">
        <f>AVERAGE(AG26,AG28,AG32,AG36,AG39,AG40)</f>
        <v>18.109500000000001</v>
      </c>
      <c r="AE64" s="64">
        <f>AVERAGE(AJ26,AJ28,AJ32,AJ36,AJ39,AJ40)</f>
        <v>20.199102719715537</v>
      </c>
      <c r="AF64" s="64">
        <f>AVERAGE(AI26,AI28,AI32,AI36,AI39,AI40)</f>
        <v>10.751666666666665</v>
      </c>
      <c r="AG64" s="64">
        <f>AVERAGE(AO26,AO28,AO32,AO36,AO39,AO40)</f>
        <v>-21.898909790709713</v>
      </c>
      <c r="AH64" s="64"/>
      <c r="AI64" s="64">
        <f>AVERAGE(AP26,AP28,AP32,AP36,AP39,AP40)</f>
        <v>13.716666666666667</v>
      </c>
      <c r="AJ64" s="41">
        <f>AVERAGE(AQ26,AQ28,AQ32,AQ36,AQ39,AQ40)</f>
        <v>0.56833333333333336</v>
      </c>
      <c r="AK64" s="41">
        <f>AVERAGE(AR26,AR28,AR32,AR36,AR39,AR40)</f>
        <v>-6.0312318241499367</v>
      </c>
      <c r="AT64" s="42">
        <v>16.34</v>
      </c>
      <c r="AU64">
        <f t="shared" si="39"/>
        <v>20.098199999999999</v>
      </c>
    </row>
    <row r="65" spans="23:47" x14ac:dyDescent="0.3">
      <c r="X65" s="10">
        <f>G29</f>
        <v>3</v>
      </c>
      <c r="Y65" s="64">
        <f>AVERAGE(AL27,AL29,AL33,AL34,AL37,AL41)</f>
        <v>56.330736185340463</v>
      </c>
      <c r="Z65" s="37">
        <f>AVERAGE(AK27,AK29,AK33,AK34,AK37,AK41)</f>
        <v>664</v>
      </c>
      <c r="AA65" s="64">
        <f>AVERAGE(AN27,AN29,AN33,AN34,AN37,AN41)</f>
        <v>-17.549498802148197</v>
      </c>
      <c r="AB65" s="37">
        <f>AVERAGE(AM27,AM29,AM33,AM34,AM37,AM41)</f>
        <v>8.4316666666666666</v>
      </c>
      <c r="AC65" s="64">
        <f>AVERAGE(AH27,AH29,AH33,AH34,AH37,AH41)</f>
        <v>25.592713397030167</v>
      </c>
      <c r="AD65" s="64">
        <f>AVERAGE(AG27,AG29,AG33,AG34,AG37,AG41)</f>
        <v>19.160166666666669</v>
      </c>
      <c r="AE65" s="64">
        <f>AVERAGE(AJ27,AJ29,AJ33,AJ34,AJ37,AJ41)</f>
        <v>21.214560822828961</v>
      </c>
      <c r="AF65" s="64">
        <f>AVERAGE(AI27,AI29,AI33,AI34,AI37,AI41)</f>
        <v>11.608333333333334</v>
      </c>
      <c r="AG65" s="64">
        <f>AVERAGE(AO27,AO29,AO33,AO34,AO37,AO41)</f>
        <v>-20.197695072262317</v>
      </c>
      <c r="AH65" s="64"/>
      <c r="AI65" s="64">
        <f>AVERAGE(AP27,AP29,AP33,AP34,AP37,AP41)</f>
        <v>10.916666666666666</v>
      </c>
      <c r="AJ65" s="41">
        <f>AVERAGE(AQ27,AQ29,AQ33,AQ34,AQ37,AQ41)</f>
        <v>0.68</v>
      </c>
      <c r="AK65" s="41">
        <f>AVERAGE(AR27,AR29,AR33,AR34,AR37,AR41)</f>
        <v>-5.3021076947367387</v>
      </c>
      <c r="AT65" s="42">
        <v>20.62</v>
      </c>
      <c r="AU65">
        <f t="shared" si="39"/>
        <v>25.3626</v>
      </c>
    </row>
    <row r="66" spans="23:47" s="26" customFormat="1" x14ac:dyDescent="0.3">
      <c r="W66" s="26" t="s">
        <v>193</v>
      </c>
      <c r="X66" s="39">
        <f>E30</f>
        <v>8</v>
      </c>
      <c r="Y66" s="65">
        <f>AVERAGE(AL25,AL30,AL32,AL36,AL37,AL41)</f>
        <v>55.550589779956063</v>
      </c>
      <c r="Z66" s="38">
        <f>AVERAGE(AK25,AK30,AK32,AK36,AK37,AK41)</f>
        <v>614.55000000000007</v>
      </c>
      <c r="AA66" s="65">
        <f>AVERAGE(AN30,AN32,AN36,AN37,AN42)</f>
        <v>-17.830521203716973</v>
      </c>
      <c r="AB66" s="38">
        <f>AVERAGE(AM30,AM32,AM36,AM37,AM42)</f>
        <v>8.9280000000000008</v>
      </c>
      <c r="AC66" s="65">
        <f>AVERAGE(AH25,AH30,AH32,AH36,AH37,AH41)</f>
        <v>24.048092238148232</v>
      </c>
      <c r="AD66" s="65">
        <f>AVERAGE(AG25,AG30,AG32,AG36,AG37,AG41)</f>
        <v>16.655666666666665</v>
      </c>
      <c r="AE66" s="65">
        <f>AVERAGE(AJ25,AJ30,AJ32,AJ36,AJ37,AJ41)</f>
        <v>19.98773657852772</v>
      </c>
      <c r="AF66" s="65">
        <f>AVERAGE(AI25,AI30,AI32,AI36,AI37,AI41)</f>
        <v>10.285</v>
      </c>
      <c r="AG66" s="65">
        <f>AVERAGE(AO25,AO30,AO32,AO36,AO37,AO41)</f>
        <v>-23.183412728589769</v>
      </c>
      <c r="AH66" s="65"/>
      <c r="AI66" s="65">
        <f>AVERAGE(AP25,AP30,AP32,AP36,AP37,AP41)</f>
        <v>16.133333333333333</v>
      </c>
      <c r="AJ66" s="41">
        <f>AVERAGE(AQ25,AQ30,AQ32,AQ36,AQ37,AQ41)</f>
        <v>0.48533333333333334</v>
      </c>
      <c r="AK66" s="41">
        <f>AVERAGE(AR25,AR30,AR32,AR36,AR37,AR41)</f>
        <v>-11.085093832627793</v>
      </c>
      <c r="AT66" s="42">
        <v>25.43</v>
      </c>
      <c r="AU66">
        <f t="shared" si="39"/>
        <v>31.2789</v>
      </c>
    </row>
    <row r="67" spans="23:47" s="26" customFormat="1" x14ac:dyDescent="0.3">
      <c r="X67" s="39">
        <f>F30</f>
        <v>12</v>
      </c>
      <c r="Y67" s="65">
        <f>AVERAGE(AL26,AL28,AL33,AL34,AL38,AL42)</f>
        <v>56.064020961487763</v>
      </c>
      <c r="Z67" s="38">
        <f>AVERAGE(AK26,AK28,AK33,AK34,AK38,AK42)</f>
        <v>641.25</v>
      </c>
      <c r="AA67" s="65">
        <f>AVERAGE(AN26,AN28,AN33,AN34,AN38,AN42)</f>
        <v>-18.218197712313486</v>
      </c>
      <c r="AB67" s="38">
        <f>AVERAGE(AM26,AM28,AM33,AM34,AM38,AM42)</f>
        <v>8.7899999999999991</v>
      </c>
      <c r="AC67" s="65">
        <f>AVERAGE(AH26,AH28,AH33,AH34,AH38,AH42)</f>
        <v>25.422557515157781</v>
      </c>
      <c r="AD67" s="65">
        <f>AVERAGE(AG26,AG28,AG33,AG34,AG38,AG42)</f>
        <v>19.504833333333334</v>
      </c>
      <c r="AE67" s="65">
        <f>AVERAGE(AJ26,AJ28,AJ33,AJ34,AJ38,AJ42)</f>
        <v>20.984128599325995</v>
      </c>
      <c r="AF67" s="65">
        <f>AVERAGE(AI26,AI28,AI33,AI34,AI38,AI42)</f>
        <v>11.731666666666667</v>
      </c>
      <c r="AG67" s="65">
        <f>AVERAGE(AO26,AO28,AO33,AO34,AO38,AO42)</f>
        <v>-20.609668692172413</v>
      </c>
      <c r="AH67" s="65"/>
      <c r="AI67" s="65">
        <f>AVERAGE(AP26,AP28,AP33,AP34,AP38,AP42)</f>
        <v>11.083333333333334</v>
      </c>
      <c r="AJ67" s="41">
        <f>AVERAGE(AQ26,AQ28,AQ33,AQ34,AQ38,AQ42)</f>
        <v>0.69999999999999984</v>
      </c>
      <c r="AK67" s="41">
        <f>AVERAGE(AR26,AR28,AR33,AR34,AR38,AR42)</f>
        <v>-3.1997996703987091</v>
      </c>
      <c r="AT67" s="42">
        <v>23.73</v>
      </c>
      <c r="AU67">
        <f t="shared" si="39"/>
        <v>29.187899999999999</v>
      </c>
    </row>
    <row r="68" spans="23:47" s="26" customFormat="1" x14ac:dyDescent="0.3">
      <c r="X68" s="39">
        <f>G30</f>
        <v>16</v>
      </c>
      <c r="Y68" s="65">
        <f>AVERAGE(AL27,AL29,AL31,AL35,AL39,AL40)</f>
        <v>56.010715619427295</v>
      </c>
      <c r="Z68" s="38">
        <f>AVERAGE(AK27,AK29,AK31,AK35,AK39,AK40)</f>
        <v>637.5</v>
      </c>
      <c r="AA68" s="65">
        <f>AVERAGE(AN27,AN29,AN31,AN35,AN39,AN41)</f>
        <v>-17.281902852120549</v>
      </c>
      <c r="AB68" s="38">
        <f>AVERAGE(AM27,AM29,AM31,AM35,AM39,AM41)</f>
        <v>8.5616666666666656</v>
      </c>
      <c r="AC68" s="65">
        <f>AVERAGE(AH27,AH29,AH31,AH35,AH39,AH40)</f>
        <v>26.61565002780381</v>
      </c>
      <c r="AD68" s="65">
        <f>AVERAGE(AG27,AG29,AG31,AG35,AG39,AG40)</f>
        <v>21.910166666666669</v>
      </c>
      <c r="AE68" s="65">
        <f>AVERAGE(AJ27,AJ29,AJ31,AJ35,AJ39,AJ40)</f>
        <v>22.114673431065778</v>
      </c>
      <c r="AF68" s="65">
        <f>AVERAGE(AI27,AI29,AI31,AI35,AI39,AI40)</f>
        <v>13.090000000000003</v>
      </c>
      <c r="AG68" s="65">
        <f>AVERAGE(AO27,AO29,AO31,AO35,AO39,AO41)</f>
        <v>-20.426956691088513</v>
      </c>
      <c r="AH68" s="65"/>
      <c r="AI68" s="65">
        <f>AVERAGE(AP27,AP29,AP31,AP35,AP39,AP41)</f>
        <v>11.75</v>
      </c>
      <c r="AJ68" s="41">
        <f>AVERAGE(AQ27,AQ29,AQ31,AQ35,AQ39,AQ40)</f>
        <v>0.64250000000000007</v>
      </c>
      <c r="AK68" s="41">
        <f>AVERAGE(AR27,AR29,AR31,AR35,AR39,AR40)</f>
        <v>-4.8708155752014131</v>
      </c>
      <c r="AT68" s="42">
        <v>25</v>
      </c>
      <c r="AU68">
        <f t="shared" si="39"/>
        <v>30.75</v>
      </c>
    </row>
    <row r="69" spans="23:47" x14ac:dyDescent="0.3">
      <c r="W69" t="s">
        <v>194</v>
      </c>
      <c r="X69" s="10">
        <f>E31</f>
        <v>0.34</v>
      </c>
      <c r="Y69" s="64">
        <f>AVERAGE(AL25,AL29,AL33,AL36,AL38,AL40)</f>
        <v>55.389667174004337</v>
      </c>
      <c r="Z69" s="37">
        <f>AVERAGE(AK25,AK29,AK33,AK36,AK38,AK40)</f>
        <v>600.58333333333337</v>
      </c>
      <c r="AA69" s="64">
        <f>AVERAGE(AN29,AN33,AN36,AN38,AN40)</f>
        <v>-18.312988546812374</v>
      </c>
      <c r="AB69" s="37">
        <f>AVERAGE(AM29,AM33,AM36,AM38,AM40)</f>
        <v>9.5</v>
      </c>
      <c r="AC69" s="64">
        <f>AVERAGE(AH25,AH29,AH33,AH36,AH38,AH40)</f>
        <v>25.955150048208242</v>
      </c>
      <c r="AD69" s="64">
        <f>AVERAGE(AG25,AG29,AG33,AG36,AG38,AG40)</f>
        <v>20.712833333333336</v>
      </c>
      <c r="AE69" s="64">
        <f>AVERAGE(AJ25,AJ29,AJ33,AJ36,AJ38,AJ40)</f>
        <v>21.763964795874575</v>
      </c>
      <c r="AF69" s="64">
        <f>AVERAGE(AI25,AI29,AI33,AI36,AI38,AI40)</f>
        <v>12.598333333333334</v>
      </c>
      <c r="AG69" s="64">
        <f>AVERAGE(AO25,AO29,AO33,AO36,AO38,AO40)</f>
        <v>-22.019962905135824</v>
      </c>
      <c r="AH69" s="64"/>
      <c r="AI69" s="37">
        <f>AVERAGE(AP25,AP29,AP33,AP36,AP38,AP40)</f>
        <v>14.75</v>
      </c>
      <c r="AJ69" s="41">
        <f>AVERAGE(AQ25,AQ29,AQ33,AQ36,AQ38,AQ40)</f>
        <v>0.45999999999999996</v>
      </c>
      <c r="AK69" s="41">
        <f>AVERAGE(AR25,AR29,AR33,AR36,AR38,AR40)</f>
        <v>-10.089120107070286</v>
      </c>
    </row>
    <row r="70" spans="23:47" x14ac:dyDescent="0.3">
      <c r="X70" s="10">
        <f>F31</f>
        <v>0.36</v>
      </c>
      <c r="Y70" s="64">
        <f>AVERAGE(AL26,AL30,AL31,AL34,AL38,AL42)</f>
        <v>56.264422115604809</v>
      </c>
      <c r="Z70" s="37">
        <f>AVERAGE(AK26,AK30,AK31,AK34,AK38,AK42)</f>
        <v>653.25</v>
      </c>
      <c r="AA70" s="64">
        <f>AVERAGE(AN26,AN30,AN31,AN34,AN39,AN41)</f>
        <v>-18.354710012549159</v>
      </c>
      <c r="AB70" s="37">
        <f>AVERAGE(AM26,AM30,AM31,AM34,AM39,AM41)</f>
        <v>9.2483333333333331</v>
      </c>
      <c r="AC70" s="64">
        <f>AVERAGE(AH26,AH30,AH31,AH34,AH38,AH42)</f>
        <v>25.853411373087251</v>
      </c>
      <c r="AD70" s="64">
        <f>AVERAGE(AG26,AG30,AG31,AG34,AG38,AG42)</f>
        <v>19.91</v>
      </c>
      <c r="AE70" s="64">
        <f>AVERAGE(AJ26,AJ30,AJ31,AJ34,AJ38,AJ42)</f>
        <v>21.322791343693186</v>
      </c>
      <c r="AF70" s="64">
        <f>AVERAGE(AI26,AI30,AI31,AI34,AI38,AI42)</f>
        <v>11.861666666666666</v>
      </c>
      <c r="AG70" s="64">
        <f>AVERAGE(AO26,AO30,AO31,AO34,AO39,AO41)</f>
        <v>-21.255763111769486</v>
      </c>
      <c r="AH70" s="64"/>
      <c r="AI70" s="64">
        <f>AVERAGE(AP26,AP30,AP31,AP34,AP39,AP41)</f>
        <v>11.916666666666666</v>
      </c>
      <c r="AJ70" s="41">
        <f>AVERAGE(AQ26,AQ30,AQ31,AQ34,AQ38,AQ42)</f>
        <v>0.72116666666666662</v>
      </c>
      <c r="AK70" s="41">
        <f>AVERAGE(AR26,AR30,AR31,AR34,AR38,AR42)</f>
        <v>-2.9659396022099735</v>
      </c>
    </row>
    <row r="71" spans="23:47" x14ac:dyDescent="0.3">
      <c r="X71" s="10">
        <f>G31</f>
        <v>0.38</v>
      </c>
      <c r="Y71" s="64">
        <f>AVERAGE(AL27,AL28,AL32,AL35,AL37,AL42)</f>
        <v>56.330937618832642</v>
      </c>
      <c r="Z71" s="37">
        <f>AVERAGE(AK27,AK28,AK32,AK35,AK37,AK42)</f>
        <v>662.88333333333333</v>
      </c>
      <c r="AA71" s="64">
        <f>AVERAGE(AN27,AN28,AN32,AN35,AN37,AN42)</f>
        <v>-17.028546109609145</v>
      </c>
      <c r="AB71" s="37">
        <f>AVERAGE(AM27,AM28,AM32,AM35,AM37,AM42)</f>
        <v>7.88</v>
      </c>
      <c r="AC71" s="64">
        <f>AVERAGE(AH27,AH28,AH32,AH35,AH37,AH42)</f>
        <v>24.876253448458268</v>
      </c>
      <c r="AD71" s="64">
        <f>AVERAGE(AG27,AG28,AG32,AG35,AG37,AG42)</f>
        <v>18.934666666666669</v>
      </c>
      <c r="AE71" s="64">
        <f>AVERAGE(AJ27,AJ28,AJ32,AJ35,AJ37,AJ42)</f>
        <v>20.535214448965061</v>
      </c>
      <c r="AF71" s="64">
        <f>AVERAGE(AI27,AI28,AI32,AI35,AI37,AI42)</f>
        <v>11.454999999999998</v>
      </c>
      <c r="AG71" s="64">
        <f>AVERAGE(AO27,AO28,AO32,AO35,AO37,AO42)</f>
        <v>-20.101894374647294</v>
      </c>
      <c r="AH71" s="64"/>
      <c r="AI71" s="64">
        <f>AVERAGE(AP27,AP28,AP32,AP35,AP37,AP42)</f>
        <v>11.049999999999999</v>
      </c>
      <c r="AJ71" s="41">
        <f>AVERAGE(AQ27,AQ28,AQ32,AQ35,AQ37,AQ42)</f>
        <v>0.74666666666666659</v>
      </c>
      <c r="AK71" s="41">
        <f>AVERAGE(AR27,AR28,AR32,AR35,AR37,AR42)</f>
        <v>-3.0253843650010332</v>
      </c>
    </row>
    <row r="72" spans="23:47" s="26" customFormat="1" x14ac:dyDescent="0.3">
      <c r="W72" s="26" t="s">
        <v>195</v>
      </c>
      <c r="X72" s="39">
        <f>E32</f>
        <v>0.7</v>
      </c>
      <c r="Y72" s="65">
        <f>AVERAGE(AL25,AL29,AL32,AL34,AL39,AL42)</f>
        <v>55.74892556479886</v>
      </c>
      <c r="Z72" s="38">
        <f>AVERAGE(AK25,AK29,AK32,AK34,AK39,AK42)</f>
        <v>625.05000000000007</v>
      </c>
      <c r="AA72" s="65">
        <f>AVERAGE(AN29,AN32,AN34,AN39,AN42)</f>
        <v>-16.63255021744434</v>
      </c>
      <c r="AB72" s="38">
        <f>AVERAGE(AM29,AM32,AM34,AM39,AM42)</f>
        <v>7.0640000000000018</v>
      </c>
      <c r="AC72" s="65">
        <f>AVERAGE(AH25,AH29,AH32,AH34,AH39,AH42)</f>
        <v>24.809536642971398</v>
      </c>
      <c r="AD72" s="65">
        <f>AVERAGE(AG25,AG29,AG32,AG34,AG39,AG42)</f>
        <v>18.151833333333332</v>
      </c>
      <c r="AE72" s="65">
        <f>AVERAGE(AJ25,AJ29,AJ32,AJ34,AJ39,AJ42)</f>
        <v>20.647963654768585</v>
      </c>
      <c r="AF72" s="65">
        <f>AVERAGE(AI25,AI29,AI32,AI34,AI39,AI42)</f>
        <v>11.071666666666667</v>
      </c>
      <c r="AG72" s="65">
        <f>AVERAGE(AO25,AO29,AO32,AO34,AO39,AO42)</f>
        <v>-20.488615577746302</v>
      </c>
      <c r="AH72" s="38"/>
      <c r="AI72" s="65">
        <f>AVERAGE(AP25,AP29,AP32,AP34,AP39,AP42)</f>
        <v>11.549999999999999</v>
      </c>
      <c r="AJ72" s="41">
        <f>AVERAGE(AQ25,AQ29,AQ32,AQ34,AQ39,AQ42)</f>
        <v>0.67499999999999993</v>
      </c>
      <c r="AK72" s="41">
        <f>AVERAGE(AR25,AR29,AR32,AR34,AR39,AR42)</f>
        <v>-6.2867439608754649</v>
      </c>
    </row>
    <row r="73" spans="23:47" s="26" customFormat="1" x14ac:dyDescent="0.3">
      <c r="X73" s="39">
        <f>F32</f>
        <v>0.9</v>
      </c>
      <c r="Y73" s="65">
        <f>AVERAGE(AL26,AL30,AL33,AL35,AL37,AL40)</f>
        <v>56.256635286631905</v>
      </c>
      <c r="Z73" s="38">
        <f>AVERAGE(AK26,AK30,AK33,AK35,AK37,AK40)</f>
        <v>657.66666666666663</v>
      </c>
      <c r="AA73" s="65">
        <f>AVERAGE(AN26,AN30,AN33,AN35,AN37,AN40)</f>
        <v>-19.142072465866661</v>
      </c>
      <c r="AB73" s="38">
        <f>AVERAGE(AM26,AM30,AM33,AM35,AM37,AM40)</f>
        <v>10.01</v>
      </c>
      <c r="AC73" s="65">
        <f>AVERAGE(AH26,AH30,AH33,AH35,AH37,AH40)</f>
        <v>26.017047268453165</v>
      </c>
      <c r="AD73" s="65">
        <f>AVERAGE(AG26,AG30,AG33,AG35,AG37,AG40)</f>
        <v>20.762499999999999</v>
      </c>
      <c r="AE73" s="65">
        <f>AVERAGE(AJ26,AJ30,AJ33,AJ35,AJ37,AJ40)</f>
        <v>21.550167724547848</v>
      </c>
      <c r="AF73" s="65">
        <f>AVERAGE(AI26,AI30,AI33,AI35,AI37,AI40)</f>
        <v>12.488333333333335</v>
      </c>
      <c r="AG73" s="65">
        <f>AVERAGE(AO26,AO30,AO33,AO35,AO37,AO40)</f>
        <v>-21.707279296081001</v>
      </c>
      <c r="AH73" s="65"/>
      <c r="AI73" s="65">
        <f>AVERAGE(AP26,AP30,AP33,AP35,AP37,AP40)</f>
        <v>12.833333333333334</v>
      </c>
      <c r="AJ73" s="41">
        <f>AVERAGE(AQ26,AQ30,AQ33,AQ35,AQ37,AQ40)</f>
        <v>0.59199999999999997</v>
      </c>
      <c r="AK73" s="41">
        <f>AVERAGE(AR26,AR30,AR33,AR35,AR37,AR40)</f>
        <v>-5.5231090866711989</v>
      </c>
    </row>
    <row r="74" spans="23:47" s="26" customFormat="1" x14ac:dyDescent="0.3">
      <c r="X74" s="39">
        <f>G32</f>
        <v>1.1000000000000001</v>
      </c>
      <c r="Y74" s="65">
        <f>AVERAGE(AL27,AL28,AL31,AL36,AL38,AL41)</f>
        <v>55.619765509440363</v>
      </c>
      <c r="Z74" s="38">
        <f>AVERAGE(AK27,AK28,AK31,AK36,AK38,AK41)</f>
        <v>610.58333333333337</v>
      </c>
      <c r="AA74" s="65">
        <f>AVERAGE(AN27,AN28,AN31,AN36,AN38,AN41)</f>
        <v>-17.641548930765008</v>
      </c>
      <c r="AB74" s="38">
        <f>AVERAGE(AM27,AM28,AM31,AM36,AM38,AM41)</f>
        <v>9.1483333333333317</v>
      </c>
      <c r="AC74" s="65">
        <f>AVERAGE(AH27,AH28,AH31,AH36,AH38,AH41)</f>
        <v>25.259715869685266</v>
      </c>
      <c r="AD74" s="65">
        <f>AVERAGE(AG27,AG28,AG31,AG36,AG38,AG41)</f>
        <v>19.156333333333333</v>
      </c>
      <c r="AE74" s="65">
        <f>AVERAGE(AJ27,AJ28,AJ31,AJ36,AJ38,AJ41)</f>
        <v>20.888407229603061</v>
      </c>
      <c r="AF74" s="65">
        <f>AVERAGE(AI27,AI28,AI31,AI36,AI38,AI41)</f>
        <v>11.546666666666667</v>
      </c>
      <c r="AG74" s="65">
        <f>AVERAGE(AO27,AO28,AO31,AO36,AO38,AO41)</f>
        <v>-21.181725517725301</v>
      </c>
      <c r="AH74" s="65"/>
      <c r="AI74" s="65">
        <f>AVERAGE(AP27,AP28,AP31,AP36,AP38,AP41)</f>
        <v>13.333333333333334</v>
      </c>
      <c r="AJ74" s="41">
        <f>AVERAGE(AQ27,AQ28,AQ31,AQ36,AQ38,AQ41)</f>
        <v>0.56083333333333341</v>
      </c>
      <c r="AK74" s="41">
        <f>AVERAGE(AR27,AR28,AR31,AR36,AR38,AR41)</f>
        <v>-7.3458560306812517</v>
      </c>
    </row>
    <row r="75" spans="23:47" x14ac:dyDescent="0.3">
      <c r="Y75" s="37"/>
      <c r="Z75" s="37"/>
      <c r="AA75" s="37"/>
      <c r="AB75" s="37"/>
      <c r="AC75" s="37"/>
      <c r="AD75" s="37"/>
      <c r="AE75" s="37"/>
      <c r="AF75" s="37"/>
      <c r="AG75" s="37"/>
    </row>
    <row r="95" spans="69:69" x14ac:dyDescent="0.3">
      <c r="BQ95" t="s">
        <v>184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2BD7-FAC0-4E32-AF88-F1B5654811EB}">
  <dimension ref="A1:AP68"/>
  <sheetViews>
    <sheetView zoomScale="50" zoomScaleNormal="50" workbookViewId="0">
      <pane xSplit="1" topLeftCell="B1" activePane="topRight" state="frozen"/>
      <selection pane="topRight" activeCell="AO70" sqref="AO70"/>
    </sheetView>
  </sheetViews>
  <sheetFormatPr defaultRowHeight="14.4" x14ac:dyDescent="0.3"/>
  <cols>
    <col min="1" max="1" width="19.44140625" bestFit="1" customWidth="1"/>
    <col min="2" max="2" width="14.44140625" bestFit="1" customWidth="1"/>
    <col min="3" max="3" width="16.44140625" bestFit="1" customWidth="1"/>
    <col min="4" max="4" width="19.33203125" bestFit="1" customWidth="1"/>
    <col min="5" max="5" width="17.88671875" bestFit="1" customWidth="1"/>
    <col min="6" max="6" width="19.33203125" bestFit="1" customWidth="1"/>
    <col min="7" max="7" width="16.6640625" bestFit="1" customWidth="1"/>
    <col min="8" max="8" width="18" bestFit="1" customWidth="1"/>
    <col min="9" max="9" width="18" customWidth="1"/>
    <col min="10" max="10" width="19.44140625" bestFit="1" customWidth="1"/>
    <col min="11" max="12" width="19.33203125" bestFit="1" customWidth="1"/>
    <col min="13" max="13" width="17" bestFit="1" customWidth="1"/>
    <col min="19" max="19" width="19.44140625" bestFit="1" customWidth="1"/>
    <col min="21" max="21" width="17.44140625" bestFit="1" customWidth="1"/>
    <col min="22" max="22" width="17" bestFit="1" customWidth="1"/>
    <col min="28" max="28" width="21.44140625" bestFit="1" customWidth="1"/>
    <col min="36" max="36" width="24.33203125" bestFit="1" customWidth="1"/>
  </cols>
  <sheetData>
    <row r="1" spans="1:17" x14ac:dyDescent="0.3">
      <c r="B1" t="s">
        <v>114</v>
      </c>
    </row>
    <row r="2" spans="1:17" x14ac:dyDescent="0.3">
      <c r="A2" s="45" t="s">
        <v>26</v>
      </c>
      <c r="B2" s="52" t="s">
        <v>85</v>
      </c>
      <c r="C2" s="52" t="s">
        <v>134</v>
      </c>
      <c r="D2" s="52" t="s">
        <v>93</v>
      </c>
      <c r="E2" s="52" t="s">
        <v>134</v>
      </c>
      <c r="F2" s="52" t="s">
        <v>74</v>
      </c>
      <c r="G2" s="52" t="s">
        <v>134</v>
      </c>
      <c r="H2" s="52" t="s">
        <v>103</v>
      </c>
      <c r="I2" s="52" t="s">
        <v>134</v>
      </c>
      <c r="J2" s="52" t="s">
        <v>202</v>
      </c>
      <c r="K2" s="52" t="s">
        <v>134</v>
      </c>
      <c r="Q2" s="46" t="s">
        <v>132</v>
      </c>
    </row>
    <row r="3" spans="1:17" x14ac:dyDescent="0.3">
      <c r="A3" s="20" t="s">
        <v>27</v>
      </c>
      <c r="B3" s="21">
        <f>'results and SN plots'!AH25</f>
        <v>20.084707327189353</v>
      </c>
      <c r="C3" s="21">
        <f>(B3-$B$22)^2</f>
        <v>27.85087265292259</v>
      </c>
      <c r="D3" s="66">
        <f>'results and SN plots'!AL25</f>
        <v>52.106100922822193</v>
      </c>
      <c r="E3" s="66">
        <f>(D3-$D$22)^2</f>
        <v>14.205420279910285</v>
      </c>
      <c r="F3" s="66">
        <v>-25.34</v>
      </c>
      <c r="G3" s="66">
        <f>(F3-$F$22)^2</f>
        <v>49.714658494319004</v>
      </c>
      <c r="H3" s="66">
        <f>'results and SN plots'!AO25</f>
        <v>-27.234556720351858</v>
      </c>
      <c r="I3" s="66">
        <f>(H3-$H$22)^2</f>
        <v>37.316011128255568</v>
      </c>
      <c r="J3">
        <f>'results and SN plots'!AR25</f>
        <v>-27.958800173440753</v>
      </c>
      <c r="K3">
        <f>(J3-$J$22)^2</f>
        <v>465.41865563808716</v>
      </c>
    </row>
    <row r="4" spans="1:17" x14ac:dyDescent="0.3">
      <c r="A4" s="20" t="s">
        <v>28</v>
      </c>
      <c r="B4" s="21">
        <f>'results and SN plots'!AH26</f>
        <v>24.11491081885324</v>
      </c>
      <c r="C4" s="21">
        <f t="shared" ref="C4:C20" si="0">(B4-$B$22)^2</f>
        <v>1.5554806715712306</v>
      </c>
      <c r="D4" s="66">
        <f>'results and SN plots'!AL26</f>
        <v>55.791614243288514</v>
      </c>
      <c r="E4" s="66">
        <f t="shared" ref="E4:E20" si="1">(D4-$D$22)^2</f>
        <v>6.9713388224146794E-3</v>
      </c>
      <c r="F4" s="66">
        <f>'results and SN plots'!AN26</f>
        <v>-22.92256071356476</v>
      </c>
      <c r="G4" s="66">
        <f t="shared" ref="G4:G20" si="2">(F4-$F$22)^2</f>
        <v>21.468608376272403</v>
      </c>
      <c r="H4" s="66">
        <f>'results and SN plots'!AO26</f>
        <v>-22.92256071356476</v>
      </c>
      <c r="I4" s="66">
        <f t="shared" ref="I4:I20" si="3">(H4-$H$22)^2</f>
        <v>3.2280850732844777</v>
      </c>
      <c r="J4">
        <f>'results and SN plots'!AR26</f>
        <v>-5.5144826079842186</v>
      </c>
      <c r="K4">
        <f t="shared" ref="K4:K20" si="4">(J4-$J$22)^2</f>
        <v>0.75821209562086245</v>
      </c>
    </row>
    <row r="5" spans="1:17" x14ac:dyDescent="0.3">
      <c r="A5" s="20" t="s">
        <v>29</v>
      </c>
      <c r="B5" s="21">
        <f>'results and SN plots'!AH27</f>
        <v>25.182795168420377</v>
      </c>
      <c r="C5" s="21">
        <f t="shared" si="0"/>
        <v>3.2150196462425611E-2</v>
      </c>
      <c r="D5" s="66">
        <f>'results and SN plots'!AL27</f>
        <v>57.786034050126204</v>
      </c>
      <c r="E5" s="66">
        <f t="shared" si="1"/>
        <v>3.6516353614181574</v>
      </c>
      <c r="F5" s="66">
        <f>'results and SN plots'!AN27</f>
        <v>-10.370278797557749</v>
      </c>
      <c r="G5" s="66">
        <f t="shared" si="2"/>
        <v>62.70832707964933</v>
      </c>
      <c r="H5" s="66">
        <f>'results and SN plots'!AO27</f>
        <v>-15.563025007672874</v>
      </c>
      <c r="I5" s="66">
        <f t="shared" si="3"/>
        <v>30.945282946401871</v>
      </c>
      <c r="J5">
        <f>'results and SN plots'!AR27</f>
        <v>-1.1103465569966278</v>
      </c>
      <c r="K5">
        <f t="shared" si="4"/>
        <v>27.824462427597265</v>
      </c>
    </row>
    <row r="6" spans="1:17" x14ac:dyDescent="0.3">
      <c r="A6" s="20" t="s">
        <v>30</v>
      </c>
      <c r="B6" s="21">
        <f>'results and SN plots'!AH28</f>
        <v>19.864314409482741</v>
      </c>
      <c r="C6" s="21">
        <f t="shared" si="0"/>
        <v>30.225645597025057</v>
      </c>
      <c r="D6" s="66">
        <f>'results and SN plots'!AL28</f>
        <v>54.386625739674528</v>
      </c>
      <c r="E6" s="66">
        <f t="shared" si="1"/>
        <v>2.2155817820474186</v>
      </c>
      <c r="F6" s="66">
        <f>'results and SN plots'!AN28</f>
        <v>-15.735028442911222</v>
      </c>
      <c r="G6" s="66">
        <f t="shared" si="2"/>
        <v>6.5234743431957884</v>
      </c>
      <c r="H6" s="66">
        <f>'results and SN plots'!AO28</f>
        <v>-21.213956807072233</v>
      </c>
      <c r="I6" s="66">
        <f t="shared" si="3"/>
        <v>7.7586753530531427E-3</v>
      </c>
      <c r="J6">
        <f>'results and SN plots'!AR28</f>
        <v>-2.7335427975908826</v>
      </c>
      <c r="K6">
        <f t="shared" si="4"/>
        <v>13.334865869426123</v>
      </c>
    </row>
    <row r="7" spans="1:17" x14ac:dyDescent="0.3">
      <c r="A7" s="20" t="s">
        <v>31</v>
      </c>
      <c r="B7" s="21">
        <f>'results and SN plots'!AH29</f>
        <v>25.826488835848401</v>
      </c>
      <c r="C7" s="21">
        <f t="shared" si="0"/>
        <v>0.21565705862740653</v>
      </c>
      <c r="D7" s="66">
        <f>'results and SN plots'!AL29</f>
        <v>56.150700561377064</v>
      </c>
      <c r="E7" s="66">
        <f t="shared" si="1"/>
        <v>7.5950826127980098E-2</v>
      </c>
      <c r="F7" s="66">
        <f>'results and SN plots'!AN29</f>
        <v>-13.979400086720377</v>
      </c>
      <c r="G7" s="66">
        <f t="shared" si="2"/>
        <v>18.573838710494169</v>
      </c>
      <c r="H7" s="66">
        <f>'results and SN plots'!AO29</f>
        <v>-16.901960800285135</v>
      </c>
      <c r="I7" s="66">
        <f t="shared" si="3"/>
        <v>17.841438189430946</v>
      </c>
      <c r="J7">
        <f>'results and SN plots'!AR29</f>
        <v>-1.723722952325667</v>
      </c>
      <c r="K7">
        <f t="shared" si="4"/>
        <v>21.729707244420517</v>
      </c>
    </row>
    <row r="8" spans="1:17" x14ac:dyDescent="0.3">
      <c r="A8" s="20" t="s">
        <v>32</v>
      </c>
      <c r="B8" s="21">
        <f>'results and SN plots'!AH30</f>
        <v>24.085113569603024</v>
      </c>
      <c r="C8" s="21">
        <f t="shared" si="0"/>
        <v>1.6306941570714977</v>
      </c>
      <c r="D8" s="66">
        <f>'results and SN plots'!AL30</f>
        <v>57.604835517909606</v>
      </c>
      <c r="E8" s="66">
        <f t="shared" si="1"/>
        <v>2.9919545637718672</v>
      </c>
      <c r="F8" s="66">
        <f>'results and SN plots'!AN30</f>
        <v>-11.549835996744505</v>
      </c>
      <c r="G8" s="66">
        <f t="shared" si="2"/>
        <v>45.418188096730617</v>
      </c>
      <c r="H8" s="66">
        <f>'results and SN plots'!AO30</f>
        <v>-19.084850188786497</v>
      </c>
      <c r="I8" s="66">
        <f t="shared" si="3"/>
        <v>4.1657760093544818</v>
      </c>
      <c r="J8">
        <f>'results and SN plots'!AR30</f>
        <v>-1.4937581700070108</v>
      </c>
      <c r="K8">
        <f t="shared" si="4"/>
        <v>23.926558877398353</v>
      </c>
    </row>
    <row r="9" spans="1:17" x14ac:dyDescent="0.3">
      <c r="A9" s="20" t="s">
        <v>33</v>
      </c>
      <c r="B9" s="21">
        <f>'results and SN plots'!AH31</f>
        <v>25.103519689870588</v>
      </c>
      <c r="C9" s="21">
        <f t="shared" si="0"/>
        <v>6.6863739052836282E-2</v>
      </c>
      <c r="D9" s="66">
        <f>'results and SN plots'!AL31</f>
        <v>55.903691793648484</v>
      </c>
      <c r="E9" s="66">
        <f t="shared" si="1"/>
        <v>8.1698827152339149E-4</v>
      </c>
      <c r="F9" s="66">
        <f>'results and SN plots'!AN31</f>
        <v>-18.889653443003375</v>
      </c>
      <c r="G9" s="66">
        <f t="shared" si="2"/>
        <v>0.36061909974443002</v>
      </c>
      <c r="H9" s="66">
        <f>'results and SN plots'!AO31</f>
        <v>-19.554472105776956</v>
      </c>
      <c r="I9" s="66">
        <f t="shared" si="3"/>
        <v>2.4693022281565282</v>
      </c>
      <c r="J9">
        <f>'results and SN plots'!AR31</f>
        <v>-1.8840823926426293</v>
      </c>
      <c r="K9">
        <f t="shared" si="4"/>
        <v>20.260387032539384</v>
      </c>
    </row>
    <row r="10" spans="1:17" x14ac:dyDescent="0.3">
      <c r="A10" s="20" t="s">
        <v>34</v>
      </c>
      <c r="B10" s="21">
        <f>'results and SN plots'!AH32</f>
        <v>22.490736566025546</v>
      </c>
      <c r="C10" s="21">
        <f t="shared" si="0"/>
        <v>8.2447275509567497</v>
      </c>
      <c r="D10" s="66">
        <f>'results and SN plots'!AL32</f>
        <v>57.388154987644036</v>
      </c>
      <c r="E10" s="66">
        <f t="shared" si="1"/>
        <v>2.2893088054133668</v>
      </c>
      <c r="F10" s="66">
        <f>'results and SN plots'!AN32</f>
        <v>-18.381561847521478</v>
      </c>
      <c r="G10" s="66">
        <f t="shared" si="2"/>
        <v>8.5422141414272824E-3</v>
      </c>
      <c r="H10" s="66">
        <f>'results and SN plots'!AO32</f>
        <v>-19.369658971078703</v>
      </c>
      <c r="I10" s="66">
        <f t="shared" si="3"/>
        <v>3.0842893446229844</v>
      </c>
      <c r="J10">
        <f>'results and SN plots'!AR32</f>
        <v>-1.2096149476276297</v>
      </c>
      <c r="K10">
        <f t="shared" si="4"/>
        <v>26.787056998092947</v>
      </c>
    </row>
    <row r="11" spans="1:17" x14ac:dyDescent="0.3">
      <c r="A11" s="20" t="s">
        <v>35</v>
      </c>
      <c r="B11" s="21">
        <f>'results and SN plots'!AH33</f>
        <v>26.739195702414079</v>
      </c>
      <c r="C11" s="21">
        <f t="shared" si="0"/>
        <v>1.896392774562474</v>
      </c>
      <c r="D11" s="66">
        <f>'results and SN plots'!AL33</f>
        <v>57.919494647181295</v>
      </c>
      <c r="E11" s="66">
        <f t="shared" si="1"/>
        <v>4.1795135454848875</v>
      </c>
      <c r="F11" s="66">
        <f>'results and SN plots'!AN33</f>
        <v>-20.984360453403635</v>
      </c>
      <c r="G11" s="66">
        <f t="shared" si="2"/>
        <v>7.2642254308213596</v>
      </c>
      <c r="H11" s="66">
        <f>'results and SN plots'!AO33</f>
        <v>-22.278867046136735</v>
      </c>
      <c r="I11" s="66">
        <f t="shared" si="3"/>
        <v>1.3293942007924024</v>
      </c>
      <c r="J11">
        <f>'results and SN plots'!AR33</f>
        <v>-2.0474581741911706</v>
      </c>
      <c r="K11">
        <f t="shared" si="4"/>
        <v>18.816319584154339</v>
      </c>
    </row>
    <row r="12" spans="1:17" x14ac:dyDescent="0.3">
      <c r="A12" s="20" t="s">
        <v>36</v>
      </c>
      <c r="B12" s="21">
        <f>'results and SN plots'!AH34</f>
        <v>26.615172733565132</v>
      </c>
      <c r="C12" s="21">
        <f t="shared" si="0"/>
        <v>1.570191458461266</v>
      </c>
      <c r="D12" s="66">
        <f>'results and SN plots'!AL34</f>
        <v>55.071661177858132</v>
      </c>
      <c r="E12" s="66">
        <f t="shared" si="1"/>
        <v>0.64552806056674383</v>
      </c>
      <c r="F12" s="66">
        <f>'results and SN plots'!AN34</f>
        <v>-20.120759099946348</v>
      </c>
      <c r="G12" s="66">
        <f t="shared" si="2"/>
        <v>3.3548367762928315</v>
      </c>
      <c r="H12" s="66">
        <f>'results and SN plots'!AO34</f>
        <v>-22.278867046136735</v>
      </c>
      <c r="I12" s="66">
        <f t="shared" si="3"/>
        <v>1.3293942007924024</v>
      </c>
      <c r="J12">
        <f>'results and SN plots'!AR34</f>
        <v>-3.478503945983471</v>
      </c>
      <c r="K12">
        <f t="shared" si="4"/>
        <v>8.449093323260378</v>
      </c>
    </row>
    <row r="13" spans="1:17" x14ac:dyDescent="0.3">
      <c r="A13" s="20" t="s">
        <v>37</v>
      </c>
      <c r="B13" s="21">
        <f>'results and SN plots'!AH35</f>
        <v>30.297593104455871</v>
      </c>
      <c r="C13" s="21">
        <f t="shared" si="0"/>
        <v>24.359092904352071</v>
      </c>
      <c r="D13" s="66">
        <f>'results and SN plots'!AL35</f>
        <v>54.647875196459374</v>
      </c>
      <c r="E13" s="66">
        <f t="shared" si="1"/>
        <v>1.5061022856457817</v>
      </c>
      <c r="F13" s="66">
        <f>'results and SN plots'!AN35</f>
        <v>-23.806633963405829</v>
      </c>
      <c r="G13" s="66">
        <f t="shared" si="2"/>
        <v>30.442764485171274</v>
      </c>
      <c r="H13" s="66">
        <f>'results and SN plots'!AO35</f>
        <v>-26.848453616444125</v>
      </c>
      <c r="I13" s="66">
        <f t="shared" si="3"/>
        <v>32.747923602854293</v>
      </c>
      <c r="J13">
        <f>'results and SN plots'!AR35</f>
        <v>-10.172766123314547</v>
      </c>
      <c r="K13">
        <f t="shared" si="4"/>
        <v>14.345381712468093</v>
      </c>
    </row>
    <row r="14" spans="1:17" x14ac:dyDescent="0.3">
      <c r="A14" s="20" t="s">
        <v>38</v>
      </c>
      <c r="B14" s="21">
        <f>'results and SN plots'!AH36</f>
        <v>28.43536802413848</v>
      </c>
      <c r="C14" s="21">
        <f t="shared" si="0"/>
        <v>9.4449767966641502</v>
      </c>
      <c r="D14" s="66">
        <f>'results and SN plots'!AL36</f>
        <v>55.147920575860489</v>
      </c>
      <c r="E14" s="66">
        <f t="shared" si="1"/>
        <v>0.52880269435779537</v>
      </c>
      <c r="F14" s="66">
        <f>'results and SN plots'!AN36</f>
        <v>-25.343434568060275</v>
      </c>
      <c r="G14" s="66">
        <f t="shared" si="2"/>
        <v>49.763103623151849</v>
      </c>
      <c r="H14" s="66">
        <f>'results and SN plots'!AO36</f>
        <v>-29.24795995797912</v>
      </c>
      <c r="I14" s="66">
        <f t="shared" si="3"/>
        <v>65.968289018100592</v>
      </c>
      <c r="J14">
        <f>'results and SN plots'!AR36</f>
        <v>-12.39577516576788</v>
      </c>
      <c r="K14">
        <f t="shared" si="4"/>
        <v>36.126576742742351</v>
      </c>
    </row>
    <row r="15" spans="1:17" x14ac:dyDescent="0.3">
      <c r="A15" s="20" t="s">
        <v>39</v>
      </c>
      <c r="B15" s="21">
        <f>'results and SN plots'!AH37</f>
        <v>23.781380187986475</v>
      </c>
      <c r="C15" s="21">
        <f t="shared" si="0"/>
        <v>2.4986748934227272</v>
      </c>
      <c r="D15" s="66">
        <f>'results and SN plots'!AL37</f>
        <v>57.025166974381506</v>
      </c>
      <c r="E15" s="66">
        <f t="shared" si="1"/>
        <v>1.3226338344620578</v>
      </c>
      <c r="F15" s="66">
        <f>'results and SN plots'!AN37</f>
        <v>-17.000665153795381</v>
      </c>
      <c r="G15" s="66">
        <f t="shared" si="2"/>
        <v>1.6601616264475549</v>
      </c>
      <c r="H15" s="66">
        <f>'results and SN plots'!AO37</f>
        <v>-19.554472105776956</v>
      </c>
      <c r="I15" s="66">
        <f t="shared" si="3"/>
        <v>2.4693022281565282</v>
      </c>
      <c r="J15">
        <f>'results and SN plots'!AR37</f>
        <v>-1.5144142787623673</v>
      </c>
      <c r="K15">
        <f t="shared" si="4"/>
        <v>23.724907741317772</v>
      </c>
    </row>
    <row r="16" spans="1:17" x14ac:dyDescent="0.3">
      <c r="A16" s="20" t="s">
        <v>40</v>
      </c>
      <c r="B16" s="21">
        <f>'results and SN plots'!AH38</f>
        <v>27.561050172252905</v>
      </c>
      <c r="C16" s="21">
        <f t="shared" si="0"/>
        <v>4.8353821809368052</v>
      </c>
      <c r="D16" s="66">
        <f>'results and SN plots'!AL38</f>
        <v>56.462961196213882</v>
      </c>
      <c r="E16" s="66">
        <f t="shared" si="1"/>
        <v>0.34557045506907941</v>
      </c>
      <c r="F16" s="66">
        <f>'results and SN plots'!AN38</f>
        <v>-12.669369111591731</v>
      </c>
      <c r="G16" s="66">
        <f t="shared" si="2"/>
        <v>31.581799528638658</v>
      </c>
      <c r="H16" s="66">
        <f>'results and SN plots'!AO38</f>
        <v>-16.901960800285135</v>
      </c>
      <c r="I16" s="66">
        <f t="shared" si="3"/>
        <v>17.841438189430946</v>
      </c>
      <c r="J16">
        <f>'results and SN plots'!AR38</f>
        <v>-4.0131890109283654</v>
      </c>
      <c r="K16">
        <f t="shared" si="4"/>
        <v>5.6266086234354598</v>
      </c>
    </row>
    <row r="17" spans="1:42" x14ac:dyDescent="0.3">
      <c r="A17" s="20" t="s">
        <v>41</v>
      </c>
      <c r="B17" s="21">
        <f>'results and SN plots'!AH39</f>
        <v>26.199413140821367</v>
      </c>
      <c r="C17" s="21">
        <f t="shared" si="0"/>
        <v>0.70109341797855818</v>
      </c>
      <c r="D17" s="66">
        <f>'results and SN plots'!AL39</f>
        <v>57.025166974381506</v>
      </c>
      <c r="E17" s="66">
        <f t="shared" si="1"/>
        <v>1.3226338344620578</v>
      </c>
      <c r="F17" s="66">
        <f>'results and SN plots'!AN39</f>
        <v>-13.803921600570275</v>
      </c>
      <c r="G17" s="66">
        <f t="shared" si="2"/>
        <v>20.117163890665278</v>
      </c>
      <c r="H17" s="66">
        <f>'results and SN plots'!AO39</f>
        <v>-19.084850188786497</v>
      </c>
      <c r="I17" s="66">
        <f t="shared" si="3"/>
        <v>4.1657760093544818</v>
      </c>
      <c r="J17">
        <f>'results and SN plots'!AR39</f>
        <v>-1.9382002601611275</v>
      </c>
      <c r="K17">
        <f t="shared" si="4"/>
        <v>19.776130068016453</v>
      </c>
    </row>
    <row r="18" spans="1:42" x14ac:dyDescent="0.3">
      <c r="A18" s="20" t="s">
        <v>42</v>
      </c>
      <c r="B18" s="21">
        <f>'results and SN plots'!AH40</f>
        <v>27.084090227406264</v>
      </c>
      <c r="C18" s="21">
        <f t="shared" si="0"/>
        <v>2.9652505945671725</v>
      </c>
      <c r="D18" s="66">
        <f>'results and SN plots'!AL40</f>
        <v>54.550825140571121</v>
      </c>
      <c r="E18" s="66">
        <f t="shared" si="1"/>
        <v>1.7537271760851749</v>
      </c>
      <c r="F18" s="66">
        <f>'results and SN plots'!AN40</f>
        <v>-18.588378514285854</v>
      </c>
      <c r="G18" s="66">
        <f t="shared" si="2"/>
        <v>8.954503610720671E-2</v>
      </c>
      <c r="H18" s="66">
        <f>'results and SN plots'!AO40</f>
        <v>-19.554472105776956</v>
      </c>
      <c r="I18" s="66">
        <f t="shared" si="3"/>
        <v>2.4693022281565282</v>
      </c>
      <c r="J18">
        <f>'results and SN plots'!AR40</f>
        <v>-12.39577516576788</v>
      </c>
      <c r="K18">
        <f t="shared" si="4"/>
        <v>36.126576742742351</v>
      </c>
    </row>
    <row r="19" spans="1:42" x14ac:dyDescent="0.3">
      <c r="A19" s="20" t="s">
        <v>43</v>
      </c>
      <c r="B19" s="21">
        <f>'results and SN plots'!AH41</f>
        <v>25.411247753946519</v>
      </c>
      <c r="C19" s="21">
        <f t="shared" si="0"/>
        <v>2.4155088899663795E-3</v>
      </c>
      <c r="D19" s="66">
        <f>'results and SN plots'!AL41</f>
        <v>54.031359701118546</v>
      </c>
      <c r="E19" s="66">
        <f t="shared" si="1"/>
        <v>3.3994106915302642</v>
      </c>
      <c r="F19" s="66">
        <f>'results and SN plots'!AN41</f>
        <v>-22.841529221465695</v>
      </c>
      <c r="G19" s="66">
        <f t="shared" si="2"/>
        <v>20.724268126159746</v>
      </c>
      <c r="H19" s="66">
        <f>'results and SN plots'!AO41</f>
        <v>-24.608978427565479</v>
      </c>
      <c r="I19" s="66">
        <f t="shared" si="3"/>
        <v>12.132020188253376</v>
      </c>
      <c r="J19">
        <f>'results and SN plots'!AR41</f>
        <v>-21.938200260161128</v>
      </c>
      <c r="K19">
        <f t="shared" si="4"/>
        <v>241.89468609808938</v>
      </c>
    </row>
    <row r="20" spans="1:42" x14ac:dyDescent="0.3">
      <c r="A20" s="20" t="s">
        <v>44</v>
      </c>
      <c r="B20" s="21">
        <f>'results and SN plots'!AH42</f>
        <v>27.640701254378609</v>
      </c>
      <c r="C20" s="21">
        <f t="shared" si="0"/>
        <v>5.1920240089647196</v>
      </c>
      <c r="D20" s="66">
        <f>'results and SN plots'!AL42</f>
        <v>56.751768764710221</v>
      </c>
      <c r="E20" s="66">
        <f t="shared" si="1"/>
        <v>0.76853271659421507</v>
      </c>
      <c r="F20" s="66">
        <f>'results and SN plots'!AN42</f>
        <v>-16.877108452463222</v>
      </c>
      <c r="G20" s="66">
        <f t="shared" si="2"/>
        <v>1.9938267319266112</v>
      </c>
      <c r="H20" s="66">
        <f>'results and SN plots'!AO42</f>
        <v>-18.061799739838872</v>
      </c>
      <c r="I20" s="66">
        <f t="shared" si="3"/>
        <v>9.3885477861807285</v>
      </c>
      <c r="J20">
        <f>'results and SN plots'!AR42</f>
        <v>-1.4116214857141456</v>
      </c>
      <c r="K20">
        <f t="shared" si="4"/>
        <v>24.736844911841725</v>
      </c>
    </row>
    <row r="22" spans="1:42" s="26" customFormat="1" x14ac:dyDescent="0.3">
      <c r="A22" s="26" t="s">
        <v>131</v>
      </c>
      <c r="B22" s="34">
        <f>AVERAGE(B3:B20)</f>
        <v>25.36209992703661</v>
      </c>
      <c r="C22" s="34"/>
      <c r="D22" s="34">
        <f t="shared" ref="D22" si="5">AVERAGE(D3:D20)</f>
        <v>55.875108786957036</v>
      </c>
      <c r="F22" s="34">
        <f>AVERAGE(F3:F20)</f>
        <v>-18.28913774816732</v>
      </c>
      <c r="H22" s="34">
        <f>AVERAGE(H3:H20)</f>
        <v>-21.125873463850866</v>
      </c>
      <c r="J22" s="26">
        <f>AVERAGE(J3:J20)</f>
        <v>-6.3852363594093058</v>
      </c>
    </row>
    <row r="23" spans="1:42" x14ac:dyDescent="0.3">
      <c r="B23" s="33"/>
      <c r="C23" s="33"/>
      <c r="D23" s="33"/>
      <c r="E23" s="33"/>
      <c r="F23" s="33"/>
    </row>
    <row r="24" spans="1:42" s="26" customFormat="1" x14ac:dyDescent="0.3">
      <c r="A24" s="26" t="s">
        <v>136</v>
      </c>
      <c r="B24" s="34"/>
      <c r="C24" s="34">
        <f>SUM(C3:C20)</f>
        <v>123.28758616248969</v>
      </c>
      <c r="D24" s="34"/>
      <c r="E24" s="34">
        <f>SUM(E3:E20)</f>
        <v>41.210095240041078</v>
      </c>
      <c r="F24" s="34"/>
      <c r="G24" s="34">
        <f>SUM(G3:G20)</f>
        <v>371.76795166992957</v>
      </c>
      <c r="I24" s="53">
        <f>SUM(I3:I20)</f>
        <v>248.89933124693221</v>
      </c>
      <c r="K24" s="26">
        <f>SUM(K3:K20)</f>
        <v>1029.6630317312508</v>
      </c>
    </row>
    <row r="25" spans="1:42" x14ac:dyDescent="0.3">
      <c r="B25" s="33"/>
      <c r="C25" s="33"/>
      <c r="D25" s="33"/>
      <c r="E25" s="33"/>
      <c r="F25" s="33"/>
    </row>
    <row r="26" spans="1:42" x14ac:dyDescent="0.3">
      <c r="B26" s="33"/>
      <c r="C26" s="33"/>
      <c r="D26" s="33"/>
      <c r="E26" s="33"/>
      <c r="F26" s="33"/>
    </row>
    <row r="27" spans="1:42" x14ac:dyDescent="0.3">
      <c r="B27" s="33"/>
      <c r="C27" s="33"/>
      <c r="D27" s="33"/>
      <c r="E27" s="33"/>
      <c r="F27" s="33"/>
    </row>
    <row r="30" spans="1:42" s="48" customFormat="1" x14ac:dyDescent="0.3">
      <c r="A30" s="47" t="s">
        <v>135</v>
      </c>
      <c r="J30" s="47" t="s">
        <v>143</v>
      </c>
      <c r="S30" s="47" t="s">
        <v>146</v>
      </c>
      <c r="AB30" s="47" t="s">
        <v>147</v>
      </c>
      <c r="AJ30" s="47" t="s">
        <v>203</v>
      </c>
    </row>
    <row r="31" spans="1:42" s="48" customFormat="1" x14ac:dyDescent="0.3">
      <c r="A31" s="48" t="str">
        <f>'results and SN plots'!W51</f>
        <v>Parameter</v>
      </c>
      <c r="B31" s="48" t="s">
        <v>95</v>
      </c>
      <c r="D31" s="48" t="s">
        <v>133</v>
      </c>
      <c r="E31" s="48" t="s">
        <v>137</v>
      </c>
      <c r="F31" s="48" t="s">
        <v>144</v>
      </c>
      <c r="G31" s="48" t="s">
        <v>138</v>
      </c>
      <c r="H31" s="48" t="s">
        <v>145</v>
      </c>
      <c r="J31" s="48" t="str">
        <f>A31</f>
        <v>Parameter</v>
      </c>
      <c r="K31" s="48" t="s">
        <v>95</v>
      </c>
      <c r="L31" s="48" t="str">
        <f>'results and SN plots'!Y51</f>
        <v>Mean S/N for slump flow</v>
      </c>
      <c r="M31" s="48" t="s">
        <v>137</v>
      </c>
      <c r="N31" s="48" t="s">
        <v>144</v>
      </c>
      <c r="O31" s="48" t="s">
        <v>138</v>
      </c>
      <c r="S31" s="48" t="str">
        <f>J31</f>
        <v>Parameter</v>
      </c>
      <c r="T31" s="48" t="s">
        <v>95</v>
      </c>
      <c r="U31" s="48" t="str">
        <f>'results and SN plots'!AA51</f>
        <v>Mean S/N for T500</v>
      </c>
      <c r="V31" s="48" t="s">
        <v>137</v>
      </c>
      <c r="W31" s="48" t="s">
        <v>144</v>
      </c>
      <c r="X31" s="48" t="s">
        <v>138</v>
      </c>
      <c r="AB31" s="48" t="str">
        <f>S31</f>
        <v>Parameter</v>
      </c>
      <c r="AC31" s="48" t="s">
        <v>95</v>
      </c>
      <c r="AD31" s="48" t="str">
        <f>'results and SN plots'!AG51</f>
        <v>Mean S/N for VF</v>
      </c>
      <c r="AE31" s="48" t="s">
        <v>137</v>
      </c>
      <c r="AF31" s="48" t="s">
        <v>144</v>
      </c>
      <c r="AG31" s="48" t="s">
        <v>138</v>
      </c>
      <c r="AJ31" s="48" t="s">
        <v>94</v>
      </c>
      <c r="AK31" s="48" t="s">
        <v>95</v>
      </c>
      <c r="AL31" s="48" t="s">
        <v>131</v>
      </c>
      <c r="AM31" s="48" t="s">
        <v>137</v>
      </c>
      <c r="AN31" s="48" t="s">
        <v>144</v>
      </c>
      <c r="AO31" s="48" t="s">
        <v>138</v>
      </c>
    </row>
    <row r="32" spans="1:42" x14ac:dyDescent="0.3">
      <c r="A32" s="36" t="str">
        <f>'results and SN plots'!W52</f>
        <v>Precursor type</v>
      </c>
      <c r="B32" t="str">
        <f>'results and SN plots'!X52</f>
        <v>FA</v>
      </c>
      <c r="D32" s="33">
        <f>'results and SN plots'!AC52</f>
        <v>25.788424529437076</v>
      </c>
      <c r="E32" s="49">
        <f>(D32-$B$22)^2</f>
        <v>0.18175266661191589</v>
      </c>
      <c r="F32" s="78">
        <f>6*(E32+E33+E34)</f>
        <v>5.8980452121744102</v>
      </c>
      <c r="G32" s="79">
        <f>F32*100/$C$24</f>
        <v>4.7839733064454251</v>
      </c>
      <c r="H32" s="79">
        <f>G32*100/$G$55</f>
        <v>5.2684766374698828</v>
      </c>
      <c r="I32" s="50"/>
      <c r="J32" s="50" t="str">
        <f>A32</f>
        <v>Precursor type</v>
      </c>
      <c r="K32" t="str">
        <f>B32</f>
        <v>FA</v>
      </c>
      <c r="L32" s="33">
        <f>'results and SN plots'!Y52</f>
        <v>55.091867694402488</v>
      </c>
      <c r="M32" s="49">
        <f>(L32-$D$22)^2</f>
        <v>0.61346660906604111</v>
      </c>
      <c r="N32" s="78">
        <f>6*(M32+M33+M34)</f>
        <v>5.8922647621670974</v>
      </c>
      <c r="O32" s="79">
        <f>N32*100/$E$24</f>
        <v>14.298110033101745</v>
      </c>
      <c r="P32" s="79">
        <f>O32*100/$O$55</f>
        <v>17.97537210323766</v>
      </c>
      <c r="S32" s="50" t="str">
        <f>J32</f>
        <v>Precursor type</v>
      </c>
      <c r="T32" t="str">
        <f>K32</f>
        <v>FA</v>
      </c>
      <c r="U32" s="33">
        <f>'results and SN plots'!AA52</f>
        <v>-20.512733428506994</v>
      </c>
      <c r="V32" s="49">
        <f>(U32-$F$22)^2</f>
        <v>4.9443777496252572</v>
      </c>
      <c r="W32" s="78">
        <f>6*(V32+V33+V34)</f>
        <v>141.57438271418971</v>
      </c>
      <c r="X32" s="79">
        <f>W32*100/$G$24</f>
        <v>38.081384389982354</v>
      </c>
      <c r="Y32" s="79">
        <f>X32*100/$X$55</f>
        <v>43.664350478327663</v>
      </c>
      <c r="AB32" s="50" t="str">
        <f>S32</f>
        <v>Precursor type</v>
      </c>
      <c r="AC32" t="str">
        <f>T32</f>
        <v>FA</v>
      </c>
      <c r="AD32" s="33">
        <f>'results and SN plots'!AG52</f>
        <v>-24.015903843691575</v>
      </c>
      <c r="AE32" s="49">
        <f>(AD32-$H$22)^2</f>
        <v>8.3522755964022348</v>
      </c>
      <c r="AF32" s="78">
        <f>6*(AE32+AE33+AE34)</f>
        <v>84.686715127598546</v>
      </c>
      <c r="AG32" s="79">
        <f>AF32*100/$I$24</f>
        <v>34.024484800074106</v>
      </c>
      <c r="AH32" s="79">
        <f>AG32*100/$AG$55</f>
        <v>42.392204003322966</v>
      </c>
      <c r="AJ32" s="50" t="s">
        <v>45</v>
      </c>
      <c r="AK32" t="s">
        <v>185</v>
      </c>
      <c r="AL32" s="33">
        <f>'results and SN plots'!AK52</f>
        <v>-10.105112428914582</v>
      </c>
      <c r="AM32" s="49">
        <f>(AL32-$J$22)^2</f>
        <v>13.837477972478023</v>
      </c>
      <c r="AN32" s="78">
        <f>6*(AM32+AM33+AM34)</f>
        <v>187.42036651116524</v>
      </c>
      <c r="AO32" s="79">
        <f>AN32*100/$K$24</f>
        <v>18.202106974360447</v>
      </c>
      <c r="AP32" s="79">
        <f>AO32*100/$AO$55</f>
        <v>23.079026297947152</v>
      </c>
    </row>
    <row r="33" spans="1:42" x14ac:dyDescent="0.3">
      <c r="B33" t="str">
        <f>'results and SN plots'!X53</f>
        <v>BA</v>
      </c>
      <c r="D33" s="33">
        <f>'results and SN plots'!AC53</f>
        <v>24.552960052665821</v>
      </c>
      <c r="E33" s="49">
        <f t="shared" ref="E33:E54" si="6">(D33-$B$22)^2</f>
        <v>0.65470733629677647</v>
      </c>
      <c r="F33" s="78"/>
      <c r="G33" s="79"/>
      <c r="H33" s="79"/>
      <c r="I33" s="50"/>
      <c r="J33" s="50"/>
      <c r="K33" t="str">
        <f t="shared" ref="K33:K54" si="7">B33</f>
        <v>BA</v>
      </c>
      <c r="L33" s="33">
        <f>'results and SN plots'!Y53</f>
        <v>56.442576160656337</v>
      </c>
      <c r="M33" s="49">
        <f t="shared" ref="M33:M54" si="8">(L33-$D$22)^2</f>
        <v>0.32201922021318263</v>
      </c>
      <c r="N33" s="78"/>
      <c r="O33" s="79"/>
      <c r="P33" s="79"/>
      <c r="S33" s="50"/>
      <c r="T33" t="str">
        <f t="shared" ref="T33:T54" si="9">K33</f>
        <v>BA</v>
      </c>
      <c r="U33" s="33">
        <f>'results and SN plots'!AA53</f>
        <v>-14.123036732055581</v>
      </c>
      <c r="V33" s="49">
        <f t="shared" ref="V33:V54" si="10">(U33-$F$22)^2</f>
        <v>17.356397676447262</v>
      </c>
      <c r="W33" s="78"/>
      <c r="X33" s="79"/>
      <c r="Y33" s="79"/>
      <c r="AB33" s="50"/>
      <c r="AC33" t="str">
        <f t="shared" ref="AC33:AC54" si="11">T33</f>
        <v>BA</v>
      </c>
      <c r="AD33" s="33">
        <f>'results and SN plots'!AG53</f>
        <v>-18.790341815165409</v>
      </c>
      <c r="AE33" s="49">
        <f t="shared" ref="AE33:AE54" si="12">(AD33-$H$22)^2</f>
        <v>5.4547080820114084</v>
      </c>
      <c r="AF33" s="78"/>
      <c r="AG33" s="79"/>
      <c r="AH33" s="79"/>
      <c r="AJ33" s="50"/>
      <c r="AK33" t="s">
        <v>186</v>
      </c>
      <c r="AL33" s="33">
        <f>'results and SN plots'!AK53</f>
        <v>-2.2361379116292368</v>
      </c>
      <c r="AM33" s="49">
        <f t="shared" ref="AM33:AM54" si="13">(AL33-$J$22)^2</f>
        <v>17.21501792937098</v>
      </c>
      <c r="AN33" s="78"/>
      <c r="AO33" s="79"/>
      <c r="AP33" s="79"/>
    </row>
    <row r="34" spans="1:42" x14ac:dyDescent="0.3">
      <c r="B34" t="str">
        <f>'results and SN plots'!X54</f>
        <v>RHA</v>
      </c>
      <c r="D34" s="33">
        <f>'results and SN plots'!AC54</f>
        <v>25.744915199006929</v>
      </c>
      <c r="E34" s="49">
        <f t="shared" si="6"/>
        <v>0.14654753245370936</v>
      </c>
      <c r="F34" s="78"/>
      <c r="G34" s="79"/>
      <c r="H34" s="79"/>
      <c r="I34" s="50"/>
      <c r="J34" s="50"/>
      <c r="K34" t="str">
        <f t="shared" si="7"/>
        <v>RHA</v>
      </c>
      <c r="L34" s="33">
        <f>'results and SN plots'!Y54</f>
        <v>56.090882505812289</v>
      </c>
      <c r="M34" s="49">
        <f t="shared" si="8"/>
        <v>4.6558297748625806E-2</v>
      </c>
      <c r="N34" s="78"/>
      <c r="O34" s="79"/>
      <c r="P34" s="79"/>
      <c r="S34" s="50"/>
      <c r="T34" t="str">
        <f t="shared" si="9"/>
        <v>RHA</v>
      </c>
      <c r="U34" s="33">
        <f>'results and SN plots'!AA54</f>
        <v>-19.427098655357209</v>
      </c>
      <c r="V34" s="49">
        <f t="shared" si="10"/>
        <v>1.2949550262924354</v>
      </c>
      <c r="W34" s="78"/>
      <c r="X34" s="79"/>
      <c r="Y34" s="79"/>
      <c r="AB34" s="50"/>
      <c r="AC34" t="str">
        <f t="shared" si="11"/>
        <v>RHA</v>
      </c>
      <c r="AD34" s="33">
        <f>'results and SN plots'!AG54</f>
        <v>-20.571374732695617</v>
      </c>
      <c r="AE34" s="49">
        <f t="shared" si="12"/>
        <v>0.30746884285278103</v>
      </c>
      <c r="AF34" s="78"/>
      <c r="AG34" s="79"/>
      <c r="AH34" s="79"/>
      <c r="AJ34" s="50"/>
      <c r="AK34" t="s">
        <v>187</v>
      </c>
      <c r="AL34" s="33">
        <f>'results and SN plots'!AK54</f>
        <v>-6.8144587376840979</v>
      </c>
      <c r="AM34" s="49">
        <f t="shared" si="13"/>
        <v>0.18423185001186876</v>
      </c>
      <c r="AN34" s="78"/>
      <c r="AO34" s="79"/>
      <c r="AP34" s="79"/>
    </row>
    <row r="35" spans="1:42" x14ac:dyDescent="0.3">
      <c r="A35" s="36" t="str">
        <f>'results and SN plots'!W55</f>
        <v>Precursor content</v>
      </c>
      <c r="B35">
        <f>'results and SN plots'!X55</f>
        <v>400</v>
      </c>
      <c r="D35" s="33">
        <f>'results and SN plots'!AC55</f>
        <v>23.75553076258343</v>
      </c>
      <c r="E35" s="49">
        <f t="shared" si="6"/>
        <v>2.5810644801717899</v>
      </c>
      <c r="F35" s="78">
        <f>6*(E35+E36+E37)</f>
        <v>23.784520979252125</v>
      </c>
      <c r="G35" s="79">
        <f>F35*100/$C$24</f>
        <v>19.291902550435832</v>
      </c>
      <c r="H35" s="79">
        <f>G35*100/$G$55</f>
        <v>21.245715928719573</v>
      </c>
      <c r="I35" s="50"/>
      <c r="J35" s="50" t="str">
        <f>A35</f>
        <v>Precursor content</v>
      </c>
      <c r="K35">
        <f t="shared" si="7"/>
        <v>400</v>
      </c>
      <c r="L35" s="33">
        <f>'results and SN plots'!Y55</f>
        <v>54.840678624826005</v>
      </c>
      <c r="M35" s="49">
        <f t="shared" si="8"/>
        <v>1.0700457603264306</v>
      </c>
      <c r="N35" s="78">
        <f>6*(M35+M36+M37)</f>
        <v>14.651849726449672</v>
      </c>
      <c r="O35" s="79">
        <f>N35*100/$E$24</f>
        <v>35.554030246970783</v>
      </c>
      <c r="P35" s="79">
        <f>O35*100/$O$55</f>
        <v>44.698000083891145</v>
      </c>
      <c r="S35" s="50" t="str">
        <f>J35</f>
        <v>Precursor content</v>
      </c>
      <c r="T35">
        <f t="shared" si="9"/>
        <v>400</v>
      </c>
      <c r="U35" s="33">
        <f>'results and SN plots'!AA55</f>
        <v>-18.066896930788435</v>
      </c>
      <c r="V35" s="49">
        <f t="shared" si="10"/>
        <v>4.9390980909235216E-2</v>
      </c>
      <c r="W35" s="78">
        <f>6*(V35+V36+V37)</f>
        <v>23.704240056713662</v>
      </c>
      <c r="X35" s="79">
        <f>W35*100/$G$24</f>
        <v>6.3760848535323005</v>
      </c>
      <c r="Y35" s="79">
        <f>X35*100/$X$55</f>
        <v>7.3108582627428973</v>
      </c>
      <c r="AB35" s="50" t="str">
        <f>S35</f>
        <v>Precursor content</v>
      </c>
      <c r="AC35">
        <f t="shared" si="11"/>
        <v>400</v>
      </c>
      <c r="AD35" s="33">
        <f>'results and SN plots'!AG55</f>
        <v>-21.565132815148615</v>
      </c>
      <c r="AE35" s="49">
        <f t="shared" si="12"/>
        <v>0.19294877770252</v>
      </c>
      <c r="AF35" s="78">
        <f>6*(AE35+AE36+AE37)</f>
        <v>3.2291803564828276</v>
      </c>
      <c r="AG35" s="79">
        <f>AF35*100/$I$24</f>
        <v>1.2973841031654554</v>
      </c>
      <c r="AH35" s="79">
        <f>AG35*100/$AG$55</f>
        <v>1.6164527367638024</v>
      </c>
      <c r="AJ35" s="50" t="s">
        <v>46</v>
      </c>
      <c r="AK35">
        <v>400</v>
      </c>
      <c r="AL35" s="33">
        <f>'results and SN plots'!AK55</f>
        <v>-8.3275197923646633</v>
      </c>
      <c r="AM35" s="49">
        <f t="shared" si="13"/>
        <v>3.7724649339328491</v>
      </c>
      <c r="AN35" s="78">
        <f>6*(AM35+AM36+AM37)</f>
        <v>82.653995485505803</v>
      </c>
      <c r="AO35" s="79">
        <f>AN35*100/$K$24</f>
        <v>8.0272859118320827</v>
      </c>
      <c r="AP35" s="79">
        <f>AO35*100/$AO$55</f>
        <v>10.178049328095588</v>
      </c>
    </row>
    <row r="36" spans="1:42" x14ac:dyDescent="0.3">
      <c r="A36" t="str">
        <f>'results and SN plots'!W56</f>
        <v>(kg/cum)</v>
      </c>
      <c r="B36">
        <f>'results and SN plots'!X56</f>
        <v>450</v>
      </c>
      <c r="D36" s="33">
        <f>'results and SN plots'!AC56</f>
        <v>25.950337875230414</v>
      </c>
      <c r="E36" s="49">
        <f t="shared" si="6"/>
        <v>0.34602388369525622</v>
      </c>
      <c r="F36" s="78"/>
      <c r="G36" s="79"/>
      <c r="H36" s="79"/>
      <c r="I36" s="50"/>
      <c r="J36" s="50" t="str">
        <f>A36</f>
        <v>(kg/cum)</v>
      </c>
      <c r="K36">
        <f t="shared" si="7"/>
        <v>450</v>
      </c>
      <c r="L36" s="33">
        <f>'results and SN plots'!Y56</f>
        <v>55.745444314350237</v>
      </c>
      <c r="M36" s="49">
        <f t="shared" si="8"/>
        <v>1.6812875456399107E-2</v>
      </c>
      <c r="N36" s="78"/>
      <c r="O36" s="79"/>
      <c r="P36" s="79"/>
      <c r="S36" s="50" t="str">
        <f>J36</f>
        <v>(kg/cum)</v>
      </c>
      <c r="T36">
        <f t="shared" si="9"/>
        <v>450</v>
      </c>
      <c r="U36" s="33">
        <f>'results and SN plots'!AA56</f>
        <v>-19.100175824044978</v>
      </c>
      <c r="V36" s="49">
        <f t="shared" si="10"/>
        <v>0.65778276052333351</v>
      </c>
      <c r="W36" s="78"/>
      <c r="X36" s="79"/>
      <c r="Y36" s="79"/>
      <c r="AB36" s="50" t="str">
        <f>S36</f>
        <v>(kg/cum)</v>
      </c>
      <c r="AC36">
        <f t="shared" si="11"/>
        <v>450</v>
      </c>
      <c r="AD36" s="33">
        <f>'results and SN plots'!AG56</f>
        <v>-21.25892888820389</v>
      </c>
      <c r="AE36" s="49">
        <f t="shared" si="12"/>
        <v>1.7703745949763403E-2</v>
      </c>
      <c r="AF36" s="78"/>
      <c r="AG36" s="79"/>
      <c r="AH36" s="79"/>
      <c r="AJ36" s="50" t="s">
        <v>97</v>
      </c>
      <c r="AK36">
        <v>450</v>
      </c>
      <c r="AL36" s="33">
        <f>'results and SN plots'!AK56</f>
        <v>-7.4286626503902582</v>
      </c>
      <c r="AM36" s="49">
        <f t="shared" si="13"/>
        <v>1.0887384247102672</v>
      </c>
      <c r="AN36" s="78"/>
      <c r="AO36" s="79"/>
      <c r="AP36" s="79"/>
    </row>
    <row r="37" spans="1:42" x14ac:dyDescent="0.3">
      <c r="B37">
        <f>'results and SN plots'!X57</f>
        <v>500</v>
      </c>
      <c r="D37" s="33">
        <f>'results and SN plots'!AC57</f>
        <v>26.38043114329599</v>
      </c>
      <c r="E37" s="49">
        <f t="shared" si="6"/>
        <v>1.0369984660083083</v>
      </c>
      <c r="F37" s="78"/>
      <c r="G37" s="79"/>
      <c r="H37" s="79"/>
      <c r="I37" s="50"/>
      <c r="J37" s="50"/>
      <c r="K37">
        <f t="shared" si="7"/>
        <v>500</v>
      </c>
      <c r="L37" s="33">
        <f>'results and SN plots'!Y57</f>
        <v>57.039203421694886</v>
      </c>
      <c r="M37" s="49">
        <f t="shared" si="8"/>
        <v>1.3551163186254489</v>
      </c>
      <c r="N37" s="78"/>
      <c r="O37" s="79"/>
      <c r="P37" s="79"/>
      <c r="S37" s="50"/>
      <c r="T37">
        <f t="shared" si="9"/>
        <v>500</v>
      </c>
      <c r="U37" s="33">
        <f>'results and SN plots'!AA57</f>
        <v>-16.488156644799943</v>
      </c>
      <c r="V37" s="49">
        <f t="shared" si="10"/>
        <v>3.243532934686375</v>
      </c>
      <c r="W37" s="78"/>
      <c r="X37" s="79"/>
      <c r="Y37" s="79"/>
      <c r="AB37" s="50"/>
      <c r="AC37">
        <f t="shared" si="11"/>
        <v>500</v>
      </c>
      <c r="AD37" s="33">
        <f>'results and SN plots'!AG57</f>
        <v>-20.553558688200098</v>
      </c>
      <c r="AE37" s="49">
        <f t="shared" si="12"/>
        <v>0.32754420242818794</v>
      </c>
      <c r="AF37" s="78"/>
      <c r="AG37" s="79"/>
      <c r="AH37" s="79"/>
      <c r="AJ37" s="50"/>
      <c r="AK37">
        <v>500</v>
      </c>
      <c r="AL37" s="33">
        <f>'results and SN plots'!AK57</f>
        <v>-3.3995266354729936</v>
      </c>
      <c r="AM37" s="49">
        <f t="shared" si="13"/>
        <v>8.9144625556078498</v>
      </c>
      <c r="AN37" s="78"/>
      <c r="AO37" s="79"/>
      <c r="AP37" s="79"/>
    </row>
    <row r="38" spans="1:42" x14ac:dyDescent="0.3">
      <c r="A38" s="36" t="str">
        <f>'results and SN plots'!W58</f>
        <v>GGBS/Pr</v>
      </c>
      <c r="B38">
        <f>'results and SN plots'!X58</f>
        <v>0.2</v>
      </c>
      <c r="D38" s="33">
        <f>'results and SN plots'!AC58</f>
        <v>23.721309120856372</v>
      </c>
      <c r="E38" s="49">
        <f t="shared" si="6"/>
        <v>2.6921944696455955</v>
      </c>
      <c r="F38" s="78">
        <f>9*(E38+E39)</f>
        <v>48.459500453620613</v>
      </c>
      <c r="G38" s="79">
        <f>F38*100/$C$24</f>
        <v>39.306066378615206</v>
      </c>
      <c r="H38" s="79">
        <f>G38*100/G55</f>
        <v>43.286841117523068</v>
      </c>
      <c r="I38" s="50"/>
      <c r="J38" s="50" t="str">
        <f>A38</f>
        <v>GGBS/Pr</v>
      </c>
      <c r="K38">
        <f t="shared" si="7"/>
        <v>0.2</v>
      </c>
      <c r="L38" s="33">
        <f>'results and SN plots'!Y58</f>
        <v>56.115250273741331</v>
      </c>
      <c r="M38" s="49">
        <f t="shared" si="8"/>
        <v>5.7667933674972173E-2</v>
      </c>
      <c r="N38" s="78">
        <f>9*(M38+M39)</f>
        <v>1.0380228061494376</v>
      </c>
      <c r="O38" s="79">
        <f>N38*100/$E$24</f>
        <v>2.5188556350164917</v>
      </c>
      <c r="P38" s="79">
        <f>O38*100/$O$55</f>
        <v>3.1666679868133754</v>
      </c>
      <c r="S38" s="50" t="str">
        <f>J38</f>
        <v>GGBS/Pr</v>
      </c>
      <c r="T38">
        <f t="shared" si="9"/>
        <v>0.2</v>
      </c>
      <c r="U38" s="33">
        <f>'results and SN plots'!AA58</f>
        <v>-16.601584972678388</v>
      </c>
      <c r="V38" s="49">
        <f t="shared" si="10"/>
        <v>2.8478343700603972</v>
      </c>
      <c r="W38" s="78">
        <f>9*(V38+V39)</f>
        <v>30.252378616705577</v>
      </c>
      <c r="X38" s="79">
        <f>W38*100/$G$24</f>
        <v>8.1374358604113475</v>
      </c>
      <c r="Y38" s="79">
        <f>X38*100/$X$55</f>
        <v>9.3304342028432643</v>
      </c>
      <c r="AB38" s="50" t="str">
        <f>S38</f>
        <v>GGBS/Pr</v>
      </c>
      <c r="AC38">
        <f t="shared" si="11"/>
        <v>0.2</v>
      </c>
      <c r="AD38" s="33">
        <f>'results and SN plots'!AG58</f>
        <v>-20.458212040080639</v>
      </c>
      <c r="AE38" s="49">
        <f t="shared" si="12"/>
        <v>0.44577177679088631</v>
      </c>
      <c r="AF38" s="78">
        <f>9*(AE38+AE39)</f>
        <v>8.0238919822360391</v>
      </c>
      <c r="AG38" s="79">
        <f>AF38*100/$I$24</f>
        <v>3.2237499160958221</v>
      </c>
      <c r="AH38" s="79">
        <f>AG38*100/$AG$55</f>
        <v>4.0165740907421972</v>
      </c>
      <c r="AJ38" s="50" t="s">
        <v>59</v>
      </c>
      <c r="AK38">
        <v>0.2</v>
      </c>
      <c r="AL38" s="33">
        <f>'results and SN plots'!AK58</f>
        <v>-5.0750898636451769</v>
      </c>
      <c r="AM38" s="49">
        <f t="shared" si="13"/>
        <v>1.7164838403630267</v>
      </c>
      <c r="AN38" s="78">
        <f>9*(AM38+AM39)</f>
        <v>30.896709126534482</v>
      </c>
      <c r="AO38" s="79">
        <f>AN38*100/$K$24</f>
        <v>3.0006621753318163</v>
      </c>
      <c r="AP38" s="79">
        <f>AO38*100/$AO$55</f>
        <v>3.8046343400402729</v>
      </c>
    </row>
    <row r="39" spans="1:42" x14ac:dyDescent="0.3">
      <c r="A39" t="str">
        <f>'results and SN plots'!W59</f>
        <v>%age</v>
      </c>
      <c r="B39">
        <f>'results and SN plots'!X59</f>
        <v>0.3</v>
      </c>
      <c r="D39" s="33">
        <f>'results and SN plots'!AC59</f>
        <v>27.002890733216844</v>
      </c>
      <c r="E39" s="49">
        <f t="shared" si="6"/>
        <v>2.692194469645584</v>
      </c>
      <c r="F39" s="78"/>
      <c r="G39" s="79"/>
      <c r="H39" s="79"/>
      <c r="I39" s="50"/>
      <c r="J39" s="50" t="str">
        <f>A39</f>
        <v>%age</v>
      </c>
      <c r="K39">
        <f t="shared" si="7"/>
        <v>0.3</v>
      </c>
      <c r="L39" s="33">
        <f>'results and SN plots'!Y59</f>
        <v>55.634967300172754</v>
      </c>
      <c r="M39" s="49">
        <f t="shared" si="8"/>
        <v>5.7667933674965345E-2</v>
      </c>
      <c r="N39" s="78"/>
      <c r="O39" s="79"/>
      <c r="P39" s="79"/>
      <c r="S39" s="50" t="str">
        <f>J39</f>
        <v>%age</v>
      </c>
      <c r="T39">
        <f t="shared" si="9"/>
        <v>0.3</v>
      </c>
      <c r="U39" s="33">
        <f>'results and SN plots'!AA59</f>
        <v>-19.005755520620514</v>
      </c>
      <c r="V39" s="49">
        <f t="shared" si="10"/>
        <v>0.51354103179577792</v>
      </c>
      <c r="W39" s="78"/>
      <c r="X39" s="79"/>
      <c r="Y39" s="79"/>
      <c r="AB39" s="50" t="str">
        <f>S39</f>
        <v>%age</v>
      </c>
      <c r="AC39">
        <f t="shared" si="11"/>
        <v>0.3</v>
      </c>
      <c r="AD39" s="33">
        <f>'results and SN plots'!AG59</f>
        <v>-21.793534887621099</v>
      </c>
      <c r="AE39" s="49">
        <f t="shared" si="12"/>
        <v>0.4457717767908958</v>
      </c>
      <c r="AF39" s="78"/>
      <c r="AG39" s="79"/>
      <c r="AH39" s="79"/>
      <c r="AJ39" s="50" t="s">
        <v>98</v>
      </c>
      <c r="AK39">
        <v>0.3</v>
      </c>
      <c r="AL39" s="33">
        <f>'results and SN plots'!AK59</f>
        <v>-7.6953828551734347</v>
      </c>
      <c r="AM39" s="49">
        <f t="shared" si="13"/>
        <v>1.7164838403630267</v>
      </c>
      <c r="AN39" s="78"/>
      <c r="AO39" s="79"/>
      <c r="AP39" s="79"/>
    </row>
    <row r="40" spans="1:42" x14ac:dyDescent="0.3">
      <c r="A40" s="36" t="str">
        <f>'results and SN plots'!W60</f>
        <v>Act/Pr</v>
      </c>
      <c r="B40">
        <f>'results and SN plots'!X60</f>
        <v>0.45</v>
      </c>
      <c r="D40" s="33">
        <f>'results and SN plots'!AC60</f>
        <v>25.137654156457003</v>
      </c>
      <c r="E40" s="49">
        <f t="shared" si="6"/>
        <v>5.0375903931073385E-2</v>
      </c>
      <c r="F40" s="78">
        <f>6*(E40+E41+E42)</f>
        <v>0.46336195583695006</v>
      </c>
      <c r="G40" s="79">
        <f>F40*100/$C$24</f>
        <v>0.37583829017971981</v>
      </c>
      <c r="H40" s="79">
        <f>G40*100/$G$55</f>
        <v>0.41390181851782215</v>
      </c>
      <c r="I40" s="50"/>
      <c r="J40" s="50" t="str">
        <f>A40</f>
        <v>Act/Pr</v>
      </c>
      <c r="K40">
        <f t="shared" si="7"/>
        <v>0.45</v>
      </c>
      <c r="L40" s="33">
        <f>'results and SN plots'!Y60</f>
        <v>55.472838707538187</v>
      </c>
      <c r="M40" s="49">
        <f t="shared" si="8"/>
        <v>0.16182121679564634</v>
      </c>
      <c r="N40" s="78">
        <f>6*(M40+M41+M42)</f>
        <v>3.387621903555428</v>
      </c>
      <c r="O40" s="79">
        <f>N40*100/$E$24</f>
        <v>8.2203690232288125</v>
      </c>
      <c r="P40" s="79">
        <f>O40*100/$O$55</f>
        <v>10.334526149006782</v>
      </c>
      <c r="S40" s="50" t="str">
        <f>J40</f>
        <v>Act/Pr</v>
      </c>
      <c r="T40">
        <f t="shared" si="9"/>
        <v>0.45</v>
      </c>
      <c r="U40" s="33">
        <f>'results and SN plots'!AA60</f>
        <v>-19.43429473635133</v>
      </c>
      <c r="V40" s="49">
        <f t="shared" si="10"/>
        <v>1.3113845275866713</v>
      </c>
      <c r="W40" s="78">
        <f>6*(V40+V41+V42)</f>
        <v>66.839537042502016</v>
      </c>
      <c r="X40" s="79">
        <f>W40*100/$G$24</f>
        <v>17.978832425513865</v>
      </c>
      <c r="Y40" s="79">
        <f>X40*100/$X$55</f>
        <v>20.614640270936931</v>
      </c>
      <c r="AB40" s="50" t="str">
        <f>S40</f>
        <v>Act/Pr</v>
      </c>
      <c r="AC40">
        <f t="shared" si="11"/>
        <v>0.45</v>
      </c>
      <c r="AD40" s="33">
        <f>'results and SN plots'!AG60</f>
        <v>-22.453747353105054</v>
      </c>
      <c r="AE40" s="49">
        <f t="shared" si="12"/>
        <v>1.7632490657630457</v>
      </c>
      <c r="AF40" s="78">
        <f>6*(AE40+AE41+AE42)</f>
        <v>49.327925854592344</v>
      </c>
      <c r="AG40" s="79">
        <f>AF40*100/$I$24</f>
        <v>19.818424423830319</v>
      </c>
      <c r="AH40" s="79">
        <f>AG40*100/$AG$55</f>
        <v>24.692414775303913</v>
      </c>
      <c r="AJ40" s="50" t="s">
        <v>191</v>
      </c>
      <c r="AK40">
        <v>0.45</v>
      </c>
      <c r="AL40" s="33">
        <f>'results and SN plots'!AK60</f>
        <v>-7.7103981690687702</v>
      </c>
      <c r="AM40" s="49">
        <f t="shared" si="13"/>
        <v>1.7560538217799466</v>
      </c>
      <c r="AN40" s="78">
        <f>6*(AM40+AM41+AM42)</f>
        <v>53.503750972586538</v>
      </c>
      <c r="AO40" s="79">
        <f>AN40*100/$K$24</f>
        <v>5.1962388979457304</v>
      </c>
      <c r="AP40" s="79">
        <f>AO40*100/$AO$55</f>
        <v>6.5884754080959427</v>
      </c>
    </row>
    <row r="41" spans="1:42" x14ac:dyDescent="0.3">
      <c r="B41">
        <f>'results and SN plots'!X61</f>
        <v>0.55000000000000004</v>
      </c>
      <c r="D41" s="33">
        <f>'results and SN plots'!AC61</f>
        <v>25.445485885107285</v>
      </c>
      <c r="E41" s="49">
        <f t="shared" si="6"/>
        <v>6.9532180033643788E-3</v>
      </c>
      <c r="F41" s="78"/>
      <c r="G41" s="79"/>
      <c r="H41" s="79"/>
      <c r="I41" s="50"/>
      <c r="J41" s="50"/>
      <c r="K41">
        <f t="shared" si="7"/>
        <v>0.55000000000000004</v>
      </c>
      <c r="L41" s="33">
        <f>'results and SN plots'!Y61</f>
        <v>55.675075641612437</v>
      </c>
      <c r="M41" s="49">
        <f t="shared" si="8"/>
        <v>4.0013259236453082E-2</v>
      </c>
      <c r="N41" s="78"/>
      <c r="O41" s="79"/>
      <c r="P41" s="79"/>
      <c r="S41" s="50"/>
      <c r="T41">
        <f t="shared" si="9"/>
        <v>0.55000000000000004</v>
      </c>
      <c r="U41" s="33">
        <f>'results and SN plots'!AA61</f>
        <v>-19.168803736267897</v>
      </c>
      <c r="V41" s="49">
        <f t="shared" si="10"/>
        <v>0.77381225062096382</v>
      </c>
      <c r="W41" s="78"/>
      <c r="X41" s="79"/>
      <c r="Y41" s="79"/>
      <c r="AB41" s="50"/>
      <c r="AC41">
        <f t="shared" si="11"/>
        <v>0.55000000000000004</v>
      </c>
      <c r="AD41" s="33">
        <f>'results and SN plots'!AG61</f>
        <v>-22.1317340184914</v>
      </c>
      <c r="AE41" s="49">
        <f t="shared" si="12"/>
        <v>1.0117554553817638</v>
      </c>
      <c r="AF41" s="78"/>
      <c r="AG41" s="79"/>
      <c r="AH41" s="79"/>
      <c r="AJ41" s="50"/>
      <c r="AK41">
        <v>0.55000000000000004</v>
      </c>
      <c r="AL41" s="33">
        <f>'results and SN plots'!AK61</f>
        <v>-7.495112942940648</v>
      </c>
      <c r="AM41" s="49">
        <f t="shared" si="13"/>
        <v>1.2318260306712046</v>
      </c>
      <c r="AN41" s="78"/>
      <c r="AO41" s="79"/>
      <c r="AP41" s="79"/>
    </row>
    <row r="42" spans="1:42" x14ac:dyDescent="0.3">
      <c r="B42">
        <f>'results and SN plots'!X62</f>
        <v>0.65</v>
      </c>
      <c r="D42" s="33">
        <f>'results and SN plots'!AC62</f>
        <v>25.503159739545538</v>
      </c>
      <c r="E42" s="49">
        <f t="shared" si="6"/>
        <v>1.9897870705053909E-2</v>
      </c>
      <c r="F42" s="78"/>
      <c r="G42" s="79"/>
      <c r="H42" s="79"/>
      <c r="I42" s="50"/>
      <c r="J42" s="50"/>
      <c r="K42">
        <f t="shared" si="7"/>
        <v>0.65</v>
      </c>
      <c r="L42" s="33">
        <f>'results and SN plots'!Y62</f>
        <v>56.477412011720503</v>
      </c>
      <c r="M42" s="49">
        <f t="shared" si="8"/>
        <v>0.36276917456047197</v>
      </c>
      <c r="N42" s="78"/>
      <c r="O42" s="79"/>
      <c r="P42" s="79"/>
      <c r="S42" s="50"/>
      <c r="T42">
        <f t="shared" si="9"/>
        <v>0.65</v>
      </c>
      <c r="U42" s="33">
        <f>'results and SN plots'!AA62</f>
        <v>-15.280030561274609</v>
      </c>
      <c r="V42" s="49">
        <f t="shared" si="10"/>
        <v>9.054726062209367</v>
      </c>
      <c r="W42" s="78"/>
      <c r="X42" s="79"/>
      <c r="Y42" s="79"/>
      <c r="AB42" s="50"/>
      <c r="AC42">
        <f t="shared" si="11"/>
        <v>0.65</v>
      </c>
      <c r="AD42" s="33">
        <f>'results and SN plots'!AG62</f>
        <v>-18.792139019956149</v>
      </c>
      <c r="AE42" s="49">
        <f t="shared" si="12"/>
        <v>5.4463164546205807</v>
      </c>
      <c r="AF42" s="78"/>
      <c r="AG42" s="79"/>
      <c r="AH42" s="79"/>
      <c r="AJ42" s="50"/>
      <c r="AK42">
        <v>0.65</v>
      </c>
      <c r="AL42" s="33">
        <f>'results and SN plots'!AK62</f>
        <v>-3.9501979662184978</v>
      </c>
      <c r="AM42" s="49">
        <f t="shared" si="13"/>
        <v>5.929411976313272</v>
      </c>
      <c r="AN42" s="78"/>
      <c r="AO42" s="79"/>
      <c r="AP42" s="79"/>
    </row>
    <row r="43" spans="1:42" x14ac:dyDescent="0.3">
      <c r="A43" s="36" t="str">
        <f>'results and SN plots'!W63</f>
        <v>SS/SH</v>
      </c>
      <c r="B43">
        <f>'results and SN plots'!X63</f>
        <v>2</v>
      </c>
      <c r="D43" s="33">
        <f>'results and SN plots'!AC63</f>
        <v>25.795447519625057</v>
      </c>
      <c r="E43" s="49">
        <f t="shared" si="6"/>
        <v>0.18779013600220276</v>
      </c>
      <c r="F43" s="78">
        <f t="shared" ref="F43" si="14">6*(E43+E44+E45)</f>
        <v>4.0909020070181743</v>
      </c>
      <c r="G43" s="79">
        <f t="shared" ref="G43" si="15">F43*100/$C$24</f>
        <v>3.3181783619532275</v>
      </c>
      <c r="H43" s="79">
        <f t="shared" ref="H43" si="16">G43*100/$G$55</f>
        <v>3.6542313384891982</v>
      </c>
      <c r="I43" s="50"/>
      <c r="J43" s="50" t="str">
        <f>A43</f>
        <v>SS/SH</v>
      </c>
      <c r="K43">
        <f t="shared" si="7"/>
        <v>2</v>
      </c>
      <c r="L43" s="33">
        <f>'results and SN plots'!Y63</f>
        <v>55.579538898627298</v>
      </c>
      <c r="M43" s="49">
        <f t="shared" si="8"/>
        <v>8.7361558887253374E-2</v>
      </c>
      <c r="N43" s="78">
        <f t="shared" ref="N43" si="17">6*(M43+M44+M45)</f>
        <v>1.9234577494168907</v>
      </c>
      <c r="O43" s="79">
        <f>N43*100/$E$24</f>
        <v>4.6674431063871857</v>
      </c>
      <c r="P43" s="79">
        <f t="shared" ref="P43" si="18">O43*100/$O$55</f>
        <v>5.8678403239145167</v>
      </c>
      <c r="S43" s="50" t="str">
        <f>J43</f>
        <v>SS/SH</v>
      </c>
      <c r="T43">
        <f t="shared" si="9"/>
        <v>2</v>
      </c>
      <c r="U43" s="33">
        <f>'results and SN plots'!AA63</f>
        <v>-16.758520193441733</v>
      </c>
      <c r="V43" s="49">
        <f t="shared" si="10"/>
        <v>2.3427900988341372</v>
      </c>
      <c r="W43" s="78">
        <f t="shared" ref="W43" si="19">6*(V43+V44+V45)</f>
        <v>21.572834668887257</v>
      </c>
      <c r="X43" s="79">
        <f>W43*100/$G$24</f>
        <v>5.8027687895056861</v>
      </c>
      <c r="Y43" s="79">
        <f>X43*100/$X$55</f>
        <v>6.653490523740774</v>
      </c>
      <c r="AB43" s="50" t="str">
        <f>S43</f>
        <v>SS/SH</v>
      </c>
      <c r="AC43">
        <f t="shared" si="11"/>
        <v>2</v>
      </c>
      <c r="AD43" s="33">
        <f>'results and SN plots'!AG63</f>
        <v>-21.281015528580571</v>
      </c>
      <c r="AE43" s="49">
        <f t="shared" si="12"/>
        <v>2.4069060248596195E-2</v>
      </c>
      <c r="AF43" s="78">
        <f t="shared" ref="AF43" si="20">6*(AE43+AE44+AE45)</f>
        <v>8.8990160970235213</v>
      </c>
      <c r="AG43" s="79">
        <f>AF43*100/$I$24</f>
        <v>3.5753475320489461</v>
      </c>
      <c r="AH43" s="79">
        <f>AG43*100/$AG$55</f>
        <v>4.4546409108615244</v>
      </c>
      <c r="AJ43" s="50" t="s">
        <v>192</v>
      </c>
      <c r="AK43">
        <v>2</v>
      </c>
      <c r="AL43" s="33">
        <f>'results and SN plots'!AK63</f>
        <v>-7.822369559341241</v>
      </c>
      <c r="AM43" s="49">
        <f t="shared" si="13"/>
        <v>2.0653518343466035</v>
      </c>
      <c r="AN43" s="78">
        <f t="shared" ref="AN43" si="21">6*(AM43+AM44+AM45)</f>
        <v>20.1830324973971</v>
      </c>
      <c r="AO43" s="79">
        <f>AN43*100/$K$24</f>
        <v>1.9601589913801054</v>
      </c>
      <c r="AP43" s="79">
        <f>AO43*100/$AO$55</f>
        <v>2.4853474915811793</v>
      </c>
    </row>
    <row r="44" spans="1:42" x14ac:dyDescent="0.3">
      <c r="B44">
        <f>'results and SN plots'!X64</f>
        <v>2.5</v>
      </c>
      <c r="D44" s="33">
        <f>'results and SN plots'!AC64</f>
        <v>24.698138864454606</v>
      </c>
      <c r="E44" s="49">
        <f t="shared" si="6"/>
        <v>0.44084429262502389</v>
      </c>
      <c r="F44" s="78"/>
      <c r="G44" s="79"/>
      <c r="H44" s="79"/>
      <c r="I44" s="50"/>
      <c r="J44" s="50"/>
      <c r="K44">
        <f t="shared" si="7"/>
        <v>2.5</v>
      </c>
      <c r="L44" s="33">
        <f>'results and SN plots'!Y64</f>
        <v>55.715051276903374</v>
      </c>
      <c r="M44" s="49">
        <f t="shared" si="8"/>
        <v>2.5618406524577999E-2</v>
      </c>
      <c r="N44" s="78"/>
      <c r="O44" s="79"/>
      <c r="P44" s="79"/>
      <c r="S44" s="50"/>
      <c r="T44">
        <f t="shared" si="9"/>
        <v>2.5</v>
      </c>
      <c r="U44" s="33">
        <f>'results and SN plots'!AA64</f>
        <v>-19.129147614485642</v>
      </c>
      <c r="V44" s="49">
        <f t="shared" si="10"/>
        <v>0.70561657551212553</v>
      </c>
      <c r="W44" s="78"/>
      <c r="X44" s="79"/>
      <c r="Y44" s="79"/>
      <c r="AB44" s="50"/>
      <c r="AC44">
        <f t="shared" si="11"/>
        <v>2.5</v>
      </c>
      <c r="AD44" s="33">
        <f>'results and SN plots'!AG64</f>
        <v>-21.898909790709713</v>
      </c>
      <c r="AE44" s="49">
        <f t="shared" si="12"/>
        <v>0.59758516264341799</v>
      </c>
      <c r="AF44" s="78"/>
      <c r="AG44" s="79"/>
      <c r="AH44" s="79"/>
      <c r="AJ44" s="50"/>
      <c r="AK44">
        <v>2.5</v>
      </c>
      <c r="AL44" s="33">
        <f>'results and SN plots'!AK64</f>
        <v>-6.0312318241499367</v>
      </c>
      <c r="AM44" s="49">
        <f t="shared" si="13"/>
        <v>0.12531921098420185</v>
      </c>
      <c r="AN44" s="78"/>
      <c r="AO44" s="79"/>
      <c r="AP44" s="79"/>
    </row>
    <row r="45" spans="1:42" x14ac:dyDescent="0.3">
      <c r="B45">
        <f>'results and SN plots'!X65</f>
        <v>3</v>
      </c>
      <c r="D45" s="33">
        <f>'results and SN plots'!AC65</f>
        <v>25.592713397030167</v>
      </c>
      <c r="E45" s="49">
        <f t="shared" si="6"/>
        <v>5.3182572542469178E-2</v>
      </c>
      <c r="F45" s="78"/>
      <c r="G45" s="79"/>
      <c r="H45" s="79"/>
      <c r="I45" s="50"/>
      <c r="J45" s="50"/>
      <c r="K45">
        <f t="shared" si="7"/>
        <v>3</v>
      </c>
      <c r="L45" s="33">
        <f>'results and SN plots'!Y65</f>
        <v>56.330736185340463</v>
      </c>
      <c r="M45" s="49">
        <f t="shared" si="8"/>
        <v>0.20759632615765042</v>
      </c>
      <c r="N45" s="78"/>
      <c r="O45" s="79"/>
      <c r="P45" s="79"/>
      <c r="S45" s="50"/>
      <c r="T45">
        <f t="shared" si="9"/>
        <v>3</v>
      </c>
      <c r="U45" s="33">
        <f>'results and SN plots'!AA65</f>
        <v>-17.549498802148197</v>
      </c>
      <c r="V45" s="49">
        <f t="shared" si="10"/>
        <v>0.5470657704682802</v>
      </c>
      <c r="W45" s="78"/>
      <c r="X45" s="79"/>
      <c r="Y45" s="79"/>
      <c r="AB45" s="50"/>
      <c r="AC45">
        <f t="shared" si="11"/>
        <v>3</v>
      </c>
      <c r="AD45" s="33">
        <f>'results and SN plots'!AG65</f>
        <v>-20.197695072262317</v>
      </c>
      <c r="AE45" s="49">
        <f t="shared" si="12"/>
        <v>0.86151512661190599</v>
      </c>
      <c r="AF45" s="78"/>
      <c r="AG45" s="79"/>
      <c r="AH45" s="79"/>
      <c r="AJ45" s="50"/>
      <c r="AK45">
        <v>3</v>
      </c>
      <c r="AL45" s="33">
        <f>'results and SN plots'!AK65</f>
        <v>-5.3021076947367387</v>
      </c>
      <c r="AM45" s="49">
        <f t="shared" si="13"/>
        <v>1.1731677042353783</v>
      </c>
      <c r="AN45" s="78"/>
      <c r="AO45" s="79"/>
      <c r="AP45" s="79"/>
    </row>
    <row r="46" spans="1:42" x14ac:dyDescent="0.3">
      <c r="A46" s="36" t="str">
        <f>'results and SN plots'!W66</f>
        <v>SH Molarity</v>
      </c>
      <c r="B46">
        <f>'results and SN plots'!X66</f>
        <v>8</v>
      </c>
      <c r="D46" s="33">
        <f>'results and SN plots'!AC66</f>
        <v>24.048092238148232</v>
      </c>
      <c r="E46" s="49">
        <f t="shared" si="6"/>
        <v>1.7266162064577752</v>
      </c>
      <c r="F46" s="78">
        <f t="shared" ref="F46" si="22">6*(E46+E47+E48)</f>
        <v>19.809955089315963</v>
      </c>
      <c r="G46" s="79">
        <f t="shared" ref="G46" si="23">F46*100/$C$24</f>
        <v>16.068085770782293</v>
      </c>
      <c r="H46" s="79">
        <f t="shared" ref="H46" si="24">G46*100/$G$55</f>
        <v>17.695402768693203</v>
      </c>
      <c r="I46" s="50"/>
      <c r="J46" s="50" t="str">
        <f>A46</f>
        <v>SH Molarity</v>
      </c>
      <c r="K46">
        <f t="shared" si="7"/>
        <v>8</v>
      </c>
      <c r="L46" s="33">
        <f>'results and SN plots'!Y66</f>
        <v>55.550589779956063</v>
      </c>
      <c r="M46" s="49">
        <f t="shared" si="8"/>
        <v>0.10531258590489737</v>
      </c>
      <c r="N46" s="78">
        <f t="shared" ref="N46" si="25">6*(M46+M47+M48)</f>
        <v>0.95633765162065487</v>
      </c>
      <c r="O46" s="79">
        <f>N46*100/$E$24</f>
        <v>2.3206392658162214</v>
      </c>
      <c r="P46" s="79">
        <f t="shared" ref="P46" si="26">O46*100/$O$55</f>
        <v>2.9174733040840626</v>
      </c>
      <c r="S46" s="50" t="str">
        <f>J46</f>
        <v>SH Molarity</v>
      </c>
      <c r="T46">
        <f t="shared" si="9"/>
        <v>8</v>
      </c>
      <c r="U46" s="33">
        <f>'results and SN plots'!AA66</f>
        <v>-17.830521203716973</v>
      </c>
      <c r="V46" s="49">
        <f t="shared" si="10"/>
        <v>0.21032913484357726</v>
      </c>
      <c r="W46" s="78">
        <f t="shared" ref="W46" si="27">6*(V46+V47+V48)</f>
        <v>7.3793025560692254</v>
      </c>
      <c r="X46" s="79">
        <f>W46*100/$G$24</f>
        <v>1.9849216488194938</v>
      </c>
      <c r="Y46" s="79">
        <f>X46*100/$X$55</f>
        <v>2.2759234186053852</v>
      </c>
      <c r="AB46" s="50" t="str">
        <f>S46</f>
        <v>SH Molarity</v>
      </c>
      <c r="AC46">
        <f t="shared" si="11"/>
        <v>8</v>
      </c>
      <c r="AD46" s="33">
        <f>'results and SN plots'!AG66</f>
        <v>-23.183412728589769</v>
      </c>
      <c r="AE46" s="49">
        <f t="shared" si="12"/>
        <v>4.2334678259423058</v>
      </c>
      <c r="AF46" s="78">
        <f t="shared" ref="AF46" si="28">6*(AE46+AE47+AE48)</f>
        <v>29.930519084966711</v>
      </c>
      <c r="AG46" s="79">
        <f>AF46*100/$I$24</f>
        <v>12.025150463450922</v>
      </c>
      <c r="AH46" s="79">
        <f>AG46*100/$AG$55</f>
        <v>14.98252316273588</v>
      </c>
      <c r="AJ46" s="50" t="s">
        <v>193</v>
      </c>
      <c r="AK46">
        <v>8</v>
      </c>
      <c r="AL46" s="33">
        <f>'results and SN plots'!AK66</f>
        <v>-11.085093832627793</v>
      </c>
      <c r="AM46" s="49">
        <f t="shared" si="13"/>
        <v>22.088660268567665</v>
      </c>
      <c r="AN46" s="78">
        <f t="shared" ref="AN46" si="29">6*(AM46+AM47+AM48)</f>
        <v>207.17482487941982</v>
      </c>
      <c r="AO46" s="79">
        <f>AN46*100/$K$24</f>
        <v>20.120643209952</v>
      </c>
      <c r="AP46" s="79">
        <f>AO46*100/$AO$55</f>
        <v>25.511598982919946</v>
      </c>
    </row>
    <row r="47" spans="1:42" x14ac:dyDescent="0.3">
      <c r="B47">
        <f>'results and SN plots'!X67</f>
        <v>12</v>
      </c>
      <c r="D47" s="33">
        <f>'results and SN plots'!AC67</f>
        <v>25.422557515157781</v>
      </c>
      <c r="E47" s="49">
        <f t="shared" si="6"/>
        <v>3.6551199614291395E-3</v>
      </c>
      <c r="F47" s="78"/>
      <c r="G47" s="79"/>
      <c r="H47" s="79"/>
      <c r="I47" s="50"/>
      <c r="J47" s="50"/>
      <c r="K47">
        <f t="shared" si="7"/>
        <v>12</v>
      </c>
      <c r="L47" s="33">
        <f>'results and SN plots'!Y67</f>
        <v>56.064020961487763</v>
      </c>
      <c r="M47" s="49">
        <f t="shared" si="8"/>
        <v>3.5687809685928176E-2</v>
      </c>
      <c r="N47" s="78"/>
      <c r="O47" s="79"/>
      <c r="P47" s="79"/>
      <c r="S47" s="50"/>
      <c r="T47">
        <f t="shared" si="9"/>
        <v>12</v>
      </c>
      <c r="U47" s="33">
        <f>'results and SN plots'!AA67</f>
        <v>-18.218197712313486</v>
      </c>
      <c r="V47" s="49">
        <f t="shared" si="10"/>
        <v>5.03248868694324E-3</v>
      </c>
      <c r="W47" s="78"/>
      <c r="X47" s="79"/>
      <c r="Y47" s="79"/>
      <c r="AB47" s="50"/>
      <c r="AC47">
        <f t="shared" si="11"/>
        <v>12</v>
      </c>
      <c r="AD47" s="33">
        <f>'results and SN plots'!AG67</f>
        <v>-20.609668692172413</v>
      </c>
      <c r="AE47" s="49">
        <f t="shared" si="12"/>
        <v>0.26646736630360357</v>
      </c>
      <c r="AF47" s="78"/>
      <c r="AG47" s="79"/>
      <c r="AH47" s="79"/>
      <c r="AJ47" s="50"/>
      <c r="AK47">
        <v>12</v>
      </c>
      <c r="AL47" s="33">
        <f>'results and SN plots'!AK67</f>
        <v>-3.1997996703987091</v>
      </c>
      <c r="AM47" s="49">
        <f t="shared" si="13"/>
        <v>10.147006899694793</v>
      </c>
      <c r="AN47" s="78"/>
      <c r="AO47" s="79"/>
      <c r="AP47" s="79"/>
    </row>
    <row r="48" spans="1:42" x14ac:dyDescent="0.3">
      <c r="B48">
        <f>'results and SN plots'!X68</f>
        <v>16</v>
      </c>
      <c r="D48" s="33">
        <f>'results and SN plots'!AC68</f>
        <v>26.61565002780381</v>
      </c>
      <c r="E48" s="49">
        <f t="shared" si="6"/>
        <v>1.5713878551334564</v>
      </c>
      <c r="F48" s="78"/>
      <c r="G48" s="79"/>
      <c r="H48" s="79"/>
      <c r="I48" s="50"/>
      <c r="J48" s="50"/>
      <c r="K48">
        <f t="shared" si="7"/>
        <v>16</v>
      </c>
      <c r="L48" s="33">
        <f>'results and SN plots'!Y68</f>
        <v>56.010715619427295</v>
      </c>
      <c r="M48" s="49">
        <f t="shared" si="8"/>
        <v>1.8389213012616909E-2</v>
      </c>
      <c r="N48" s="78"/>
      <c r="O48" s="79"/>
      <c r="P48" s="79"/>
      <c r="S48" s="50"/>
      <c r="T48">
        <f t="shared" si="9"/>
        <v>16</v>
      </c>
      <c r="U48" s="33">
        <f>'results and SN plots'!AA68</f>
        <v>-17.281902852120549</v>
      </c>
      <c r="V48" s="49">
        <f t="shared" si="10"/>
        <v>1.0145221358143504</v>
      </c>
      <c r="W48" s="78"/>
      <c r="X48" s="79"/>
      <c r="Y48" s="79"/>
      <c r="AB48" s="50"/>
      <c r="AC48">
        <f t="shared" si="11"/>
        <v>16</v>
      </c>
      <c r="AD48" s="33">
        <f>'results and SN plots'!AG68</f>
        <v>-20.426956691088513</v>
      </c>
      <c r="AE48" s="49">
        <f t="shared" si="12"/>
        <v>0.48848465524854179</v>
      </c>
      <c r="AF48" s="78"/>
      <c r="AG48" s="79"/>
      <c r="AH48" s="79"/>
      <c r="AJ48" s="50"/>
      <c r="AK48">
        <v>16</v>
      </c>
      <c r="AL48" s="33">
        <f>'results and SN plots'!AK68</f>
        <v>-4.8708155752014131</v>
      </c>
      <c r="AM48" s="49">
        <f t="shared" si="13"/>
        <v>2.2934703116408488</v>
      </c>
      <c r="AN48" s="78"/>
      <c r="AO48" s="79"/>
      <c r="AP48" s="79"/>
    </row>
    <row r="49" spans="1:42" x14ac:dyDescent="0.3">
      <c r="A49" s="36" t="str">
        <f>'results and SN plots'!W69</f>
        <v>W/S</v>
      </c>
      <c r="B49">
        <f>'results and SN plots'!X69</f>
        <v>0.34</v>
      </c>
      <c r="D49" s="33">
        <f>'results and SN plots'!AC69</f>
        <v>25.955150048208242</v>
      </c>
      <c r="E49" s="49">
        <f t="shared" si="6"/>
        <v>0.35170844622168806</v>
      </c>
      <c r="F49" s="78">
        <f t="shared" ref="F49" si="30">6*(E49+E50+E51)</f>
        <v>4.9748531039342128</v>
      </c>
      <c r="G49" s="79">
        <f t="shared" ref="G49" si="31">F49*100/$C$24</f>
        <v>4.03516141307</v>
      </c>
      <c r="H49" s="79">
        <f t="shared" ref="H49" si="32">G49*100/$G$55</f>
        <v>4.4438278124455444</v>
      </c>
      <c r="I49" s="50"/>
      <c r="J49" s="50" t="str">
        <f>A49</f>
        <v>W/S</v>
      </c>
      <c r="K49">
        <f t="shared" si="7"/>
        <v>0.34</v>
      </c>
      <c r="L49" s="33">
        <f>'results and SN plots'!Y69</f>
        <v>55.389667174004337</v>
      </c>
      <c r="M49" s="49">
        <f t="shared" si="8"/>
        <v>0.23565355958611722</v>
      </c>
      <c r="N49" s="78">
        <f t="shared" ref="N49" si="33">6*(M49+M50+M51)</f>
        <v>3.569990108508041</v>
      </c>
      <c r="O49" s="79">
        <f>N49*100/$E$24</f>
        <v>8.6629018635203785</v>
      </c>
      <c r="P49" s="79">
        <f t="shared" ref="P49" si="34">O49*100/$O$55</f>
        <v>10.890871879577293</v>
      </c>
      <c r="S49" s="50" t="str">
        <f>J49</f>
        <v>W/S</v>
      </c>
      <c r="T49">
        <f t="shared" si="9"/>
        <v>0.34</v>
      </c>
      <c r="U49" s="33">
        <f>'results and SN plots'!AA69</f>
        <v>-18.312988546812374</v>
      </c>
      <c r="V49" s="49">
        <f t="shared" si="10"/>
        <v>5.6886059600688937E-4</v>
      </c>
      <c r="W49" s="78">
        <f t="shared" ref="W49" si="35">6*(V49+V50+V51)</f>
        <v>9.5637591699297175</v>
      </c>
      <c r="X49" s="79">
        <f>W49*100/$G$24</f>
        <v>2.5725076965270004</v>
      </c>
      <c r="Y49" s="79">
        <f>X49*100/$X$55</f>
        <v>2.9496532090072574</v>
      </c>
      <c r="AB49" s="50" t="str">
        <f>S49</f>
        <v>W/S</v>
      </c>
      <c r="AC49">
        <f t="shared" si="11"/>
        <v>0.34</v>
      </c>
      <c r="AD49" s="33">
        <f>'results and SN plots'!AG69</f>
        <v>-22.019962905135824</v>
      </c>
      <c r="AE49" s="49">
        <f t="shared" si="12"/>
        <v>0.79939592901724843</v>
      </c>
      <c r="AF49" s="78">
        <f t="shared" ref="AF49" si="36">6*(AE49+AE50+AE51)</f>
        <v>11.188802548679083</v>
      </c>
      <c r="AG49" s="79">
        <f>AF49*100/$I$24</f>
        <v>4.4953124191316975</v>
      </c>
      <c r="AH49" s="79">
        <f>AG49*100/$AG$55</f>
        <v>5.6008548623221808</v>
      </c>
      <c r="AJ49" s="50" t="s">
        <v>194</v>
      </c>
      <c r="AK49">
        <v>0.34</v>
      </c>
      <c r="AL49" s="33">
        <f>'results and SN plots'!AK69</f>
        <v>-10.089120107070286</v>
      </c>
      <c r="AM49" s="49">
        <f t="shared" si="13"/>
        <v>13.71875481618715</v>
      </c>
      <c r="AN49" s="78">
        <f t="shared" ref="AN49" si="37">6*(AM49+AM50+AM51)</f>
        <v>220.19370332586158</v>
      </c>
      <c r="AO49" s="79">
        <f>AN49*100/$K$24</f>
        <v>21.385025638497783</v>
      </c>
      <c r="AP49" s="79">
        <f>AO49*100/$AO$55</f>
        <v>27.114749396230582</v>
      </c>
    </row>
    <row r="50" spans="1:42" x14ac:dyDescent="0.3">
      <c r="B50">
        <f>'results and SN plots'!X70</f>
        <v>0.36</v>
      </c>
      <c r="D50" s="33">
        <f>'results and SN plots'!AC70</f>
        <v>25.853411373087251</v>
      </c>
      <c r="E50" s="49">
        <f t="shared" si="6"/>
        <v>0.24138693702037228</v>
      </c>
      <c r="F50" s="78"/>
      <c r="G50" s="79"/>
      <c r="H50" s="79"/>
      <c r="I50" s="50"/>
      <c r="J50" s="50"/>
      <c r="K50">
        <f t="shared" si="7"/>
        <v>0.36</v>
      </c>
      <c r="L50" s="33">
        <f>'results and SN plots'!Y70</f>
        <v>56.264422115604809</v>
      </c>
      <c r="M50" s="49">
        <f t="shared" si="8"/>
        <v>0.15156486786280926</v>
      </c>
      <c r="N50" s="78"/>
      <c r="O50" s="79"/>
      <c r="P50" s="79"/>
      <c r="S50" s="50"/>
      <c r="T50">
        <f t="shared" si="9"/>
        <v>0.36</v>
      </c>
      <c r="U50" s="33">
        <f>'results and SN plots'!AA70</f>
        <v>-18.354710012549159</v>
      </c>
      <c r="V50" s="49">
        <f t="shared" si="10"/>
        <v>4.2997218561617399E-3</v>
      </c>
      <c r="W50" s="78"/>
      <c r="X50" s="79"/>
      <c r="Y50" s="79"/>
      <c r="AB50" s="50"/>
      <c r="AC50">
        <f t="shared" si="11"/>
        <v>0.36</v>
      </c>
      <c r="AD50" s="33">
        <f>'results and SN plots'!AG70</f>
        <v>-21.255763111769486</v>
      </c>
      <c r="AE50" s="49">
        <f t="shared" si="12"/>
        <v>1.6871320636423184E-2</v>
      </c>
      <c r="AF50" s="78"/>
      <c r="AG50" s="79"/>
      <c r="AH50" s="79"/>
      <c r="AJ50" s="50"/>
      <c r="AK50">
        <v>0.36</v>
      </c>
      <c r="AL50" s="33">
        <f>'results and SN plots'!AK70</f>
        <v>-2.9659396022099735</v>
      </c>
      <c r="AM50" s="49">
        <f t="shared" si="13"/>
        <v>11.691590313793869</v>
      </c>
      <c r="AN50" s="78"/>
      <c r="AO50" s="79"/>
      <c r="AP50" s="79"/>
    </row>
    <row r="51" spans="1:42" x14ac:dyDescent="0.3">
      <c r="B51">
        <f>'results and SN plots'!X71</f>
        <v>0.38</v>
      </c>
      <c r="D51" s="33">
        <f>'results and SN plots'!AC71</f>
        <v>24.876253448458268</v>
      </c>
      <c r="E51" s="49">
        <f t="shared" si="6"/>
        <v>0.23604680074697518</v>
      </c>
      <c r="F51" s="78"/>
      <c r="G51" s="79"/>
      <c r="H51" s="79"/>
      <c r="I51" s="50"/>
      <c r="J51" s="50"/>
      <c r="K51">
        <f t="shared" si="7"/>
        <v>0.38</v>
      </c>
      <c r="L51" s="33">
        <f>'results and SN plots'!Y71</f>
        <v>56.330937618832642</v>
      </c>
      <c r="M51" s="49">
        <f t="shared" si="8"/>
        <v>0.20777992396908035</v>
      </c>
      <c r="N51" s="78"/>
      <c r="O51" s="79"/>
      <c r="P51" s="79"/>
      <c r="S51" s="50"/>
      <c r="T51">
        <f t="shared" si="9"/>
        <v>0.38</v>
      </c>
      <c r="U51" s="33">
        <f>'results and SN plots'!AA71</f>
        <v>-17.028546109609145</v>
      </c>
      <c r="V51" s="49">
        <f t="shared" si="10"/>
        <v>1.5890912792027845</v>
      </c>
      <c r="W51" s="78"/>
      <c r="X51" s="79"/>
      <c r="Y51" s="79"/>
      <c r="AB51" s="50"/>
      <c r="AC51">
        <f t="shared" si="11"/>
        <v>0.38</v>
      </c>
      <c r="AD51" s="33">
        <f>'results and SN plots'!AG71</f>
        <v>-20.101894374647294</v>
      </c>
      <c r="AE51" s="49">
        <f t="shared" si="12"/>
        <v>1.0485331751261757</v>
      </c>
      <c r="AF51" s="78"/>
      <c r="AG51" s="79"/>
      <c r="AH51" s="79"/>
      <c r="AJ51" s="50"/>
      <c r="AK51">
        <v>0.38</v>
      </c>
      <c r="AL51" s="33">
        <f>'results and SN plots'!AK71</f>
        <v>-3.0253843650010332</v>
      </c>
      <c r="AM51" s="49">
        <f t="shared" si="13"/>
        <v>11.288605424329246</v>
      </c>
      <c r="AN51" s="78"/>
      <c r="AO51" s="79"/>
      <c r="AP51" s="79"/>
    </row>
    <row r="52" spans="1:42" x14ac:dyDescent="0.3">
      <c r="A52" s="36" t="str">
        <f>'results and SN plots'!W72</f>
        <v>FAgg/CAgg</v>
      </c>
      <c r="B52">
        <f>'results and SN plots'!X72</f>
        <v>0.7</v>
      </c>
      <c r="D52" s="33">
        <f>'results and SN plots'!AC72</f>
        <v>24.809536642971398</v>
      </c>
      <c r="E52" s="49">
        <f t="shared" si="6"/>
        <v>0.30532618289693159</v>
      </c>
      <c r="F52" s="78">
        <f t="shared" ref="F52" si="38">6*(E52+E53+E54)</f>
        <v>4.4685881887516139</v>
      </c>
      <c r="G52" s="79">
        <f t="shared" ref="G52" si="39">F52*100/$C$24</f>
        <v>3.6245240318535688</v>
      </c>
      <c r="H52" s="79">
        <f t="shared" ref="H52" si="40">G52*100/$G$55</f>
        <v>3.9916025781417082</v>
      </c>
      <c r="I52" s="50"/>
      <c r="J52" s="50" t="str">
        <f>A52</f>
        <v>FAgg/CAgg</v>
      </c>
      <c r="K52">
        <f t="shared" si="7"/>
        <v>0.7</v>
      </c>
      <c r="L52" s="33">
        <f>'results and SN plots'!Y72</f>
        <v>55.74892556479886</v>
      </c>
      <c r="M52" s="49">
        <f t="shared" si="8"/>
        <v>1.5922205554219488E-2</v>
      </c>
      <c r="N52" s="78">
        <f t="shared" ref="N52" si="41">6*(M52+M53+M54)</f>
        <v>1.3601091892880051</v>
      </c>
      <c r="O52" s="79">
        <f>N52*100/$E$24</f>
        <v>3.3004271923314517</v>
      </c>
      <c r="P52" s="79">
        <f t="shared" ref="P52" si="42">O52*100/$O$55</f>
        <v>4.1492481694751557</v>
      </c>
      <c r="S52" s="50" t="str">
        <f>J52</f>
        <v>FAgg/CAgg</v>
      </c>
      <c r="T52">
        <f t="shared" si="9"/>
        <v>0.7</v>
      </c>
      <c r="U52" s="33">
        <f>'results and SN plots'!AA72</f>
        <v>-16.63255021744434</v>
      </c>
      <c r="V52" s="49">
        <f t="shared" si="10"/>
        <v>2.7442822469468613</v>
      </c>
      <c r="W52" s="78">
        <f t="shared" ref="W52" si="43">6*(V52+V53+V54)</f>
        <v>23.346906936169447</v>
      </c>
      <c r="X52" s="79">
        <f>W52*100/$G$24</f>
        <v>6.2799676064863608</v>
      </c>
      <c r="Y52" s="79">
        <f>X52*100/$X$55</f>
        <v>7.2006496337958366</v>
      </c>
      <c r="AB52" s="50" t="str">
        <f>S52</f>
        <v>FAgg/CAgg</v>
      </c>
      <c r="AC52">
        <f t="shared" si="11"/>
        <v>0.7</v>
      </c>
      <c r="AD52" s="33">
        <f>'results and SN plots'!AG72</f>
        <v>-20.488615577746302</v>
      </c>
      <c r="AE52" s="49">
        <f t="shared" si="12"/>
        <v>0.40609761340245737</v>
      </c>
      <c r="AF52" s="78">
        <f t="shared" ref="AF52" si="44">6*(AE52+AE53+AE54)</f>
        <v>4.4834988424540008</v>
      </c>
      <c r="AG52" s="79">
        <f>AF52*100/$I$24</f>
        <v>1.8013302084793215</v>
      </c>
      <c r="AH52" s="79">
        <f>AG52*100/$AG$55</f>
        <v>2.2443354579475474</v>
      </c>
      <c r="AJ52" s="50" t="s">
        <v>195</v>
      </c>
      <c r="AK52">
        <v>0.7</v>
      </c>
      <c r="AL52" s="33">
        <f>'results and SN plots'!AK72</f>
        <v>-6.2867439608754649</v>
      </c>
      <c r="AM52" s="49">
        <f t="shared" si="13"/>
        <v>9.7007525689489331E-3</v>
      </c>
      <c r="AN52" s="78">
        <f t="shared" ref="AN52" si="45">6*(AM52+AM53+AM54)</f>
        <v>10.054526038814497</v>
      </c>
      <c r="AO52" s="79">
        <f>AN52*100/$K$24</f>
        <v>0.97648703789132418</v>
      </c>
      <c r="AP52" s="79">
        <f>AO52*100/$AO$55</f>
        <v>1.2381187550893531</v>
      </c>
    </row>
    <row r="53" spans="1:42" x14ac:dyDescent="0.3">
      <c r="B53">
        <f>'results and SN plots'!X73</f>
        <v>0.9</v>
      </c>
      <c r="D53" s="33">
        <f>'results and SN plots'!AC73</f>
        <v>26.017047268453165</v>
      </c>
      <c r="E53" s="49">
        <f t="shared" si="6"/>
        <v>0.42895602002861399</v>
      </c>
      <c r="F53" s="78"/>
      <c r="G53" s="79"/>
      <c r="H53" s="79"/>
      <c r="I53" s="50"/>
      <c r="J53" s="50"/>
      <c r="K53">
        <f t="shared" si="7"/>
        <v>0.9</v>
      </c>
      <c r="L53" s="33">
        <f>'results and SN plots'!Y73</f>
        <v>56.256635286631905</v>
      </c>
      <c r="M53" s="49">
        <f t="shared" si="8"/>
        <v>0.1455624699541582</v>
      </c>
      <c r="N53" s="78"/>
      <c r="O53" s="79"/>
      <c r="P53" s="79"/>
      <c r="S53" s="50"/>
      <c r="T53">
        <f t="shared" si="9"/>
        <v>0.9</v>
      </c>
      <c r="U53" s="33">
        <f>'results and SN plots'!AA73</f>
        <v>-19.142072465866661</v>
      </c>
      <c r="V53" s="49">
        <f t="shared" si="10"/>
        <v>0.72749763265685474</v>
      </c>
      <c r="W53" s="78"/>
      <c r="X53" s="79"/>
      <c r="Y53" s="79"/>
      <c r="AB53" s="50"/>
      <c r="AC53">
        <f t="shared" si="11"/>
        <v>0.9</v>
      </c>
      <c r="AD53" s="33">
        <f>'results and SN plots'!AG73</f>
        <v>-21.707279296081001</v>
      </c>
      <c r="AE53" s="49">
        <f t="shared" si="12"/>
        <v>0.33803274175121661</v>
      </c>
      <c r="AF53" s="78"/>
      <c r="AG53" s="79"/>
      <c r="AH53" s="79"/>
      <c r="AJ53" s="50"/>
      <c r="AK53">
        <v>0.9</v>
      </c>
      <c r="AL53" s="33">
        <f>'results and SN plots'!AK73</f>
        <v>-5.5231090866711989</v>
      </c>
      <c r="AM53" s="49">
        <f t="shared" si="13"/>
        <v>0.74326343439884612</v>
      </c>
      <c r="AN53" s="78"/>
      <c r="AO53" s="79"/>
      <c r="AP53" s="79"/>
    </row>
    <row r="54" spans="1:42" x14ac:dyDescent="0.3">
      <c r="B54">
        <f>'results and SN plots'!X74</f>
        <v>1.1000000000000001</v>
      </c>
      <c r="D54" s="33">
        <f>'results and SN plots'!AC74</f>
        <v>25.259715869685266</v>
      </c>
      <c r="E54" s="49">
        <f t="shared" si="6"/>
        <v>1.0482495199723283E-2</v>
      </c>
      <c r="F54" s="78"/>
      <c r="G54" s="79"/>
      <c r="H54" s="79"/>
      <c r="I54" s="50"/>
      <c r="J54" s="50"/>
      <c r="K54">
        <f t="shared" si="7"/>
        <v>1.1000000000000001</v>
      </c>
      <c r="L54" s="33">
        <f>'results and SN plots'!Y74</f>
        <v>55.619765509440363</v>
      </c>
      <c r="M54" s="49">
        <f t="shared" si="8"/>
        <v>6.5200189372956491E-2</v>
      </c>
      <c r="N54" s="78"/>
      <c r="O54" s="79"/>
      <c r="P54" s="79"/>
      <c r="S54" s="50"/>
      <c r="T54">
        <f t="shared" si="9"/>
        <v>1.1000000000000001</v>
      </c>
      <c r="U54" s="33">
        <f>'results and SN plots'!AA74</f>
        <v>-17.641548930765008</v>
      </c>
      <c r="V54" s="49">
        <f t="shared" si="10"/>
        <v>0.41937127642452487</v>
      </c>
      <c r="W54" s="78"/>
      <c r="X54" s="79"/>
      <c r="Y54" s="79"/>
      <c r="AB54" s="50"/>
      <c r="AC54">
        <f t="shared" si="11"/>
        <v>1.1000000000000001</v>
      </c>
      <c r="AD54" s="33">
        <f>'results and SN plots'!AG74</f>
        <v>-21.181725517725301</v>
      </c>
      <c r="AE54" s="49">
        <f t="shared" si="12"/>
        <v>3.1194519219928311E-3</v>
      </c>
      <c r="AF54" s="78"/>
      <c r="AG54" s="79"/>
      <c r="AH54" s="79"/>
      <c r="AJ54" s="50"/>
      <c r="AK54">
        <v>1.1000000000000001</v>
      </c>
      <c r="AL54" s="33">
        <f>'results and SN plots'!AK74</f>
        <v>-7.3458560306812517</v>
      </c>
      <c r="AM54" s="49">
        <f t="shared" si="13"/>
        <v>0.9227901528346214</v>
      </c>
      <c r="AN54" s="78"/>
      <c r="AO54" s="79"/>
      <c r="AP54" s="79"/>
    </row>
    <row r="55" spans="1:42" x14ac:dyDescent="0.3">
      <c r="F55" t="s">
        <v>139</v>
      </c>
      <c r="G55" s="33">
        <f>SUM(G32:G54)</f>
        <v>90.803730103335269</v>
      </c>
      <c r="H55" s="33">
        <f>SUM(H32:H54)</f>
        <v>100</v>
      </c>
      <c r="I55" s="33"/>
      <c r="J55" s="33"/>
      <c r="N55" t="s">
        <v>139</v>
      </c>
      <c r="O55" s="33">
        <f>SUM(O32:O54)</f>
        <v>79.542776366373076</v>
      </c>
      <c r="P55" s="33">
        <f>SUM(P32:P54)</f>
        <v>100</v>
      </c>
      <c r="S55" s="33"/>
      <c r="W55" t="s">
        <v>139</v>
      </c>
      <c r="X55" s="33">
        <f>SUM(X32:X54)</f>
        <v>87.213903270778403</v>
      </c>
      <c r="Y55" s="33">
        <f>SUM(Y32:Y54)</f>
        <v>100</v>
      </c>
      <c r="AB55" s="33"/>
      <c r="AF55" t="s">
        <v>139</v>
      </c>
      <c r="AG55" s="33">
        <f>SUM(AG32:AG54)</f>
        <v>80.261183866276582</v>
      </c>
      <c r="AH55" s="33">
        <f>SUM(AH32:AH54)</f>
        <v>100</v>
      </c>
      <c r="AJ55" s="33"/>
      <c r="AN55" t="s">
        <v>139</v>
      </c>
      <c r="AO55" s="33">
        <f>SUM(AO32:AO54)</f>
        <v>78.868608837191275</v>
      </c>
      <c r="AP55" s="33">
        <f>SUM(AP32:AP54)</f>
        <v>100.00000000000003</v>
      </c>
    </row>
    <row r="57" spans="1:42" x14ac:dyDescent="0.3">
      <c r="AN57" s="26" t="s">
        <v>140</v>
      </c>
      <c r="AO57" s="26"/>
    </row>
    <row r="58" spans="1:42" x14ac:dyDescent="0.3">
      <c r="A58" s="26" t="s">
        <v>140</v>
      </c>
      <c r="B58" s="26"/>
      <c r="C58" s="26"/>
      <c r="D58" s="26"/>
      <c r="E58" s="26"/>
      <c r="J58" s="26" t="s">
        <v>140</v>
      </c>
      <c r="K58" s="26"/>
      <c r="S58" s="26" t="s">
        <v>140</v>
      </c>
      <c r="T58" s="26"/>
      <c r="AB58" s="26" t="s">
        <v>140</v>
      </c>
      <c r="AC58" s="26"/>
      <c r="AN58" s="26" t="s">
        <v>94</v>
      </c>
      <c r="AO58" s="26" t="s">
        <v>142</v>
      </c>
    </row>
    <row r="59" spans="1:42" x14ac:dyDescent="0.3">
      <c r="A59" s="26" t="s">
        <v>94</v>
      </c>
      <c r="B59" s="26" t="s">
        <v>142</v>
      </c>
      <c r="C59" s="26"/>
      <c r="D59" s="26"/>
      <c r="E59" s="26"/>
      <c r="J59" s="26" t="s">
        <v>94</v>
      </c>
      <c r="K59" s="26" t="s">
        <v>149</v>
      </c>
      <c r="S59" s="26" t="s">
        <v>94</v>
      </c>
      <c r="T59" s="26" t="s">
        <v>148</v>
      </c>
      <c r="AB59" s="26" t="s">
        <v>94</v>
      </c>
      <c r="AC59" s="26" t="s">
        <v>142</v>
      </c>
      <c r="AN59" t="s">
        <v>45</v>
      </c>
      <c r="AO59" s="51">
        <f>AP32/100</f>
        <v>0.23079026297947153</v>
      </c>
    </row>
    <row r="60" spans="1:42" x14ac:dyDescent="0.3">
      <c r="A60" t="s">
        <v>45</v>
      </c>
      <c r="B60" s="51">
        <f>H32/100</f>
        <v>5.2684766374698828E-2</v>
      </c>
      <c r="J60" t="s">
        <v>45</v>
      </c>
      <c r="K60" s="51">
        <f>P32/100</f>
        <v>0.17975372103237661</v>
      </c>
      <c r="S60" t="s">
        <v>45</v>
      </c>
      <c r="T60" s="51">
        <f>Y32/100</f>
        <v>0.43664350478327663</v>
      </c>
      <c r="AB60" t="s">
        <v>45</v>
      </c>
      <c r="AC60" s="51">
        <f>AH32/100</f>
        <v>0.42392204003322964</v>
      </c>
      <c r="AN60" t="s">
        <v>46</v>
      </c>
      <c r="AO60" s="51">
        <f>AP35/100</f>
        <v>0.10178049328095588</v>
      </c>
    </row>
    <row r="61" spans="1:42" x14ac:dyDescent="0.3">
      <c r="A61" t="str">
        <f>A35</f>
        <v>Precursor content</v>
      </c>
      <c r="B61" s="51">
        <f>H35/100</f>
        <v>0.21245715928719572</v>
      </c>
      <c r="J61" t="str">
        <f>J35</f>
        <v>Precursor content</v>
      </c>
      <c r="K61" s="51">
        <f>P35/100</f>
        <v>0.44698000083891143</v>
      </c>
      <c r="S61" t="str">
        <f>S35</f>
        <v>Precursor content</v>
      </c>
      <c r="T61" s="51">
        <f>Y35/100</f>
        <v>7.3108582627428975E-2</v>
      </c>
      <c r="AB61" t="str">
        <f>AB35</f>
        <v>Precursor content</v>
      </c>
      <c r="AC61" s="51">
        <f>AH35/100</f>
        <v>1.6164527367638026E-2</v>
      </c>
      <c r="AN61" t="s">
        <v>59</v>
      </c>
      <c r="AO61" s="51">
        <f>AP38/100</f>
        <v>3.8046343400402728E-2</v>
      </c>
    </row>
    <row r="62" spans="1:42" x14ac:dyDescent="0.3">
      <c r="A62" t="str">
        <f>A38</f>
        <v>GGBS/Pr</v>
      </c>
      <c r="B62" s="51">
        <f>H38/100</f>
        <v>0.43286841117523067</v>
      </c>
      <c r="J62" t="str">
        <f>J38</f>
        <v>GGBS/Pr</v>
      </c>
      <c r="K62" s="51">
        <f>P38/100</f>
        <v>3.1666679868133756E-2</v>
      </c>
      <c r="S62" t="str">
        <f>S38</f>
        <v>GGBS/Pr</v>
      </c>
      <c r="T62" s="51">
        <f>Y38/100</f>
        <v>9.3304342028432644E-2</v>
      </c>
      <c r="AB62" t="str">
        <f>AB38</f>
        <v>GGBS/Pr</v>
      </c>
      <c r="AC62" s="51">
        <f>AH38/100</f>
        <v>4.0165740907421969E-2</v>
      </c>
      <c r="AN62" t="s">
        <v>191</v>
      </c>
      <c r="AO62" s="51">
        <f>AP40/100</f>
        <v>6.5884754080959423E-2</v>
      </c>
    </row>
    <row r="63" spans="1:42" x14ac:dyDescent="0.3">
      <c r="A63" t="str">
        <f>A40</f>
        <v>Act/Pr</v>
      </c>
      <c r="B63" s="51">
        <f>H40/100</f>
        <v>4.1390181851782212E-3</v>
      </c>
      <c r="J63" t="str">
        <f>J40</f>
        <v>Act/Pr</v>
      </c>
      <c r="K63" s="51">
        <f>P40/100</f>
        <v>0.10334526149006783</v>
      </c>
      <c r="S63" t="str">
        <f>S40</f>
        <v>Act/Pr</v>
      </c>
      <c r="T63" s="51">
        <f>Y40/100</f>
        <v>0.20614640270936932</v>
      </c>
      <c r="AB63" t="str">
        <f>AB40</f>
        <v>Act/Pr</v>
      </c>
      <c r="AC63" s="51">
        <f>AH40/100</f>
        <v>0.24692414775303914</v>
      </c>
      <c r="AN63" t="s">
        <v>192</v>
      </c>
      <c r="AO63" s="51">
        <f>AP43/100</f>
        <v>2.4853474915811791E-2</v>
      </c>
    </row>
    <row r="64" spans="1:42" x14ac:dyDescent="0.3">
      <c r="A64" t="str">
        <f>A43</f>
        <v>SS/SH</v>
      </c>
      <c r="B64" s="51">
        <f>H43/100</f>
        <v>3.6542313384891979E-2</v>
      </c>
      <c r="J64" t="str">
        <f>J43</f>
        <v>SS/SH</v>
      </c>
      <c r="K64" s="51">
        <f>P43/100</f>
        <v>5.8678403239145166E-2</v>
      </c>
      <c r="S64" t="str">
        <f>S43</f>
        <v>SS/SH</v>
      </c>
      <c r="T64" s="51">
        <f>Y43/100</f>
        <v>6.6534905237407738E-2</v>
      </c>
      <c r="AB64" t="str">
        <f>AB43</f>
        <v>SS/SH</v>
      </c>
      <c r="AC64" s="51">
        <f>AH43/100</f>
        <v>4.4546409108615244E-2</v>
      </c>
      <c r="AN64" t="s">
        <v>193</v>
      </c>
      <c r="AO64" s="51">
        <f>AP46/100</f>
        <v>0.25511598982919947</v>
      </c>
    </row>
    <row r="65" spans="1:41" x14ac:dyDescent="0.3">
      <c r="A65" t="str">
        <f>A46</f>
        <v>SH Molarity</v>
      </c>
      <c r="B65" s="51">
        <f>H46/100</f>
        <v>0.17695402768693202</v>
      </c>
      <c r="J65" t="str">
        <f>J46</f>
        <v>SH Molarity</v>
      </c>
      <c r="K65" s="51">
        <f>P46/100</f>
        <v>2.9174733040840627E-2</v>
      </c>
      <c r="S65" t="str">
        <f>S46</f>
        <v>SH Molarity</v>
      </c>
      <c r="T65" s="51">
        <f>Y46/100</f>
        <v>2.2759234186053853E-2</v>
      </c>
      <c r="AB65" t="str">
        <f>AB46</f>
        <v>SH Molarity</v>
      </c>
      <c r="AC65" s="51">
        <f>AH46/100</f>
        <v>0.14982523162735881</v>
      </c>
      <c r="AN65" t="s">
        <v>194</v>
      </c>
      <c r="AO65" s="51">
        <f>AP49/100</f>
        <v>0.27114749396230581</v>
      </c>
    </row>
    <row r="66" spans="1:41" x14ac:dyDescent="0.3">
      <c r="A66" t="str">
        <f>A49</f>
        <v>W/S</v>
      </c>
      <c r="B66" s="51">
        <f>H49/100</f>
        <v>4.4438278124455444E-2</v>
      </c>
      <c r="J66" t="str">
        <f>J49</f>
        <v>W/S</v>
      </c>
      <c r="K66" s="51">
        <f>P49/100</f>
        <v>0.10890871879577294</v>
      </c>
      <c r="S66" t="str">
        <f>S49</f>
        <v>W/S</v>
      </c>
      <c r="T66" s="51">
        <f>Y49/100</f>
        <v>2.9496532090072573E-2</v>
      </c>
      <c r="AB66" t="str">
        <f>AB49</f>
        <v>W/S</v>
      </c>
      <c r="AC66" s="51">
        <f>AH49/100</f>
        <v>5.6008548623221806E-2</v>
      </c>
      <c r="AN66" t="s">
        <v>195</v>
      </c>
      <c r="AO66" s="51">
        <f>AP52/100</f>
        <v>1.2381187550893531E-2</v>
      </c>
    </row>
    <row r="67" spans="1:41" x14ac:dyDescent="0.3">
      <c r="A67" t="str">
        <f>A52</f>
        <v>FAgg/CAgg</v>
      </c>
      <c r="B67" s="51">
        <f>H52/100</f>
        <v>3.9916025781417085E-2</v>
      </c>
      <c r="J67" t="str">
        <f>J52</f>
        <v>FAgg/CAgg</v>
      </c>
      <c r="K67" s="51">
        <f>P52/100</f>
        <v>4.149248169475156E-2</v>
      </c>
      <c r="S67" t="str">
        <f>S52</f>
        <v>FAgg/CAgg</v>
      </c>
      <c r="T67" s="51">
        <f>Y52/100</f>
        <v>7.2006496337958359E-2</v>
      </c>
      <c r="AB67" t="str">
        <f>AB52</f>
        <v>FAgg/CAgg</v>
      </c>
      <c r="AC67" s="51">
        <f>AH52/100</f>
        <v>2.2443354579475473E-2</v>
      </c>
    </row>
    <row r="68" spans="1:41" x14ac:dyDescent="0.3">
      <c r="A68" t="s">
        <v>141</v>
      </c>
      <c r="B68" s="51">
        <f>(100-H55)/100</f>
        <v>0</v>
      </c>
    </row>
  </sheetData>
  <mergeCells count="120">
    <mergeCell ref="AO49:AO51"/>
    <mergeCell ref="AP49:AP51"/>
    <mergeCell ref="AN52:AN54"/>
    <mergeCell ref="AO52:AO54"/>
    <mergeCell ref="AP52:AP54"/>
    <mergeCell ref="AN43:AN45"/>
    <mergeCell ref="AO43:AO45"/>
    <mergeCell ref="AP43:AP45"/>
    <mergeCell ref="AN46:AN48"/>
    <mergeCell ref="AO46:AO48"/>
    <mergeCell ref="AP46:AP48"/>
    <mergeCell ref="AO38:AO39"/>
    <mergeCell ref="AP38:AP39"/>
    <mergeCell ref="AN40:AN42"/>
    <mergeCell ref="AO40:AO42"/>
    <mergeCell ref="AP40:AP42"/>
    <mergeCell ref="AN32:AN34"/>
    <mergeCell ref="AO32:AO34"/>
    <mergeCell ref="AP32:AP34"/>
    <mergeCell ref="AN35:AN37"/>
    <mergeCell ref="AO35:AO37"/>
    <mergeCell ref="AP35:AP37"/>
    <mergeCell ref="AH52:AH54"/>
    <mergeCell ref="AH40:AH42"/>
    <mergeCell ref="AF43:AF45"/>
    <mergeCell ref="AG43:AG45"/>
    <mergeCell ref="AH43:AH45"/>
    <mergeCell ref="AF46:AF48"/>
    <mergeCell ref="AG46:AG48"/>
    <mergeCell ref="AH46:AH48"/>
    <mergeCell ref="AN38:AN39"/>
    <mergeCell ref="AN49:AN51"/>
    <mergeCell ref="AH32:AH34"/>
    <mergeCell ref="AF35:AF37"/>
    <mergeCell ref="AG35:AG37"/>
    <mergeCell ref="AH35:AH37"/>
    <mergeCell ref="AF38:AF39"/>
    <mergeCell ref="AG38:AG39"/>
    <mergeCell ref="AH38:AH39"/>
    <mergeCell ref="Y46:Y48"/>
    <mergeCell ref="Y49:Y51"/>
    <mergeCell ref="AH49:AH51"/>
    <mergeCell ref="Y52:Y54"/>
    <mergeCell ref="AF32:AF34"/>
    <mergeCell ref="AG32:AG34"/>
    <mergeCell ref="AF40:AF42"/>
    <mergeCell ref="AG40:AG42"/>
    <mergeCell ref="AF49:AF51"/>
    <mergeCell ref="AG49:AG51"/>
    <mergeCell ref="Y32:Y34"/>
    <mergeCell ref="Y35:Y37"/>
    <mergeCell ref="Y38:Y39"/>
    <mergeCell ref="Y40:Y42"/>
    <mergeCell ref="Y43:Y45"/>
    <mergeCell ref="AF52:AF54"/>
    <mergeCell ref="AG52:AG54"/>
    <mergeCell ref="W52:W54"/>
    <mergeCell ref="X52:X54"/>
    <mergeCell ref="W43:W45"/>
    <mergeCell ref="X43:X45"/>
    <mergeCell ref="W46:W48"/>
    <mergeCell ref="X46:X48"/>
    <mergeCell ref="W38:W39"/>
    <mergeCell ref="X38:X39"/>
    <mergeCell ref="W40:W42"/>
    <mergeCell ref="X40:X42"/>
    <mergeCell ref="W32:W34"/>
    <mergeCell ref="X32:X34"/>
    <mergeCell ref="W35:W37"/>
    <mergeCell ref="X35:X37"/>
    <mergeCell ref="P49:P51"/>
    <mergeCell ref="N52:N54"/>
    <mergeCell ref="O52:O54"/>
    <mergeCell ref="P52:P54"/>
    <mergeCell ref="P40:P42"/>
    <mergeCell ref="N43:N45"/>
    <mergeCell ref="O43:O45"/>
    <mergeCell ref="P43:P45"/>
    <mergeCell ref="N46:N48"/>
    <mergeCell ref="O46:O48"/>
    <mergeCell ref="P46:P48"/>
    <mergeCell ref="P32:P34"/>
    <mergeCell ref="N35:N37"/>
    <mergeCell ref="O35:O37"/>
    <mergeCell ref="P35:P37"/>
    <mergeCell ref="N38:N39"/>
    <mergeCell ref="O38:O39"/>
    <mergeCell ref="P38:P39"/>
    <mergeCell ref="W49:W51"/>
    <mergeCell ref="X49:X51"/>
    <mergeCell ref="H46:H48"/>
    <mergeCell ref="H49:H51"/>
    <mergeCell ref="H52:H54"/>
    <mergeCell ref="N32:N34"/>
    <mergeCell ref="O32:O34"/>
    <mergeCell ref="N40:N42"/>
    <mergeCell ref="O40:O42"/>
    <mergeCell ref="N49:N51"/>
    <mergeCell ref="O49:O51"/>
    <mergeCell ref="H32:H34"/>
    <mergeCell ref="H35:H37"/>
    <mergeCell ref="H38:H39"/>
    <mergeCell ref="H40:H42"/>
    <mergeCell ref="H43:H45"/>
    <mergeCell ref="F49:F51"/>
    <mergeCell ref="F52:F54"/>
    <mergeCell ref="G32:G34"/>
    <mergeCell ref="G35:G37"/>
    <mergeCell ref="G38:G39"/>
    <mergeCell ref="G40:G42"/>
    <mergeCell ref="G43:G45"/>
    <mergeCell ref="G46:G48"/>
    <mergeCell ref="G49:G51"/>
    <mergeCell ref="G52:G54"/>
    <mergeCell ref="F32:F34"/>
    <mergeCell ref="F35:F37"/>
    <mergeCell ref="F38:F39"/>
    <mergeCell ref="F40:F42"/>
    <mergeCell ref="F43:F45"/>
    <mergeCell ref="F46:F48"/>
  </mergeCells>
  <hyperlinks>
    <hyperlink ref="Q2" r:id="rId1" xr:uid="{5B29DABF-9F9E-4175-8E92-5E7E807EF33F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FA28-138E-4F26-A96F-D246DCC14C04}">
  <dimension ref="A1:W45"/>
  <sheetViews>
    <sheetView topLeftCell="C1" zoomScale="90" zoomScaleNormal="90" workbookViewId="0">
      <selection activeCell="T3" sqref="T3:W20"/>
    </sheetView>
  </sheetViews>
  <sheetFormatPr defaultRowHeight="14.4" x14ac:dyDescent="0.3"/>
  <cols>
    <col min="11" max="11" width="18.6640625" bestFit="1" customWidth="1"/>
    <col min="14" max="14" width="13.44140625" bestFit="1" customWidth="1"/>
    <col min="20" max="20" width="20" bestFit="1" customWidth="1"/>
    <col min="22" max="22" width="19.44140625" bestFit="1" customWidth="1"/>
  </cols>
  <sheetData>
    <row r="1" spans="1:23" x14ac:dyDescent="0.3">
      <c r="B1" s="45" t="s">
        <v>114</v>
      </c>
      <c r="C1" s="45"/>
      <c r="D1" s="45"/>
      <c r="E1" s="45"/>
      <c r="O1" s="26" t="s">
        <v>118</v>
      </c>
      <c r="P1" s="26"/>
      <c r="Q1" s="26"/>
      <c r="R1" s="26"/>
      <c r="S1" s="26"/>
      <c r="T1" t="s">
        <v>110</v>
      </c>
      <c r="V1" t="s">
        <v>113</v>
      </c>
    </row>
    <row r="2" spans="1:23" x14ac:dyDescent="0.3">
      <c r="A2" t="s">
        <v>26</v>
      </c>
      <c r="B2" s="45" t="s">
        <v>85</v>
      </c>
      <c r="C2" s="45" t="s">
        <v>93</v>
      </c>
      <c r="D2" s="45" t="s">
        <v>74</v>
      </c>
      <c r="E2" s="45" t="s">
        <v>103</v>
      </c>
      <c r="F2" s="70" t="s">
        <v>204</v>
      </c>
      <c r="K2" t="s">
        <v>109</v>
      </c>
      <c r="O2" s="45" t="s">
        <v>85</v>
      </c>
      <c r="P2" s="45" t="s">
        <v>93</v>
      </c>
      <c r="Q2" s="45" t="s">
        <v>74</v>
      </c>
      <c r="R2" s="45" t="s">
        <v>103</v>
      </c>
      <c r="S2" s="45" t="s">
        <v>202</v>
      </c>
      <c r="T2" s="45" t="s">
        <v>111</v>
      </c>
      <c r="U2" s="45" t="s">
        <v>112</v>
      </c>
      <c r="V2" s="45" t="s">
        <v>111</v>
      </c>
      <c r="W2" s="45" t="s">
        <v>112</v>
      </c>
    </row>
    <row r="3" spans="1:23" x14ac:dyDescent="0.3">
      <c r="A3" t="s">
        <v>27</v>
      </c>
      <c r="B3" s="33">
        <f>'results and SN plots'!AH25</f>
        <v>20.084707327189353</v>
      </c>
      <c r="C3" s="33">
        <f>'results and SN plots'!AL25</f>
        <v>52.106100922822193</v>
      </c>
      <c r="D3">
        <v>-25.34</v>
      </c>
      <c r="E3">
        <f>'results and SN plots'!AO25</f>
        <v>-27.234556720351858</v>
      </c>
      <c r="F3">
        <f>'results and SN plots'!AR25</f>
        <v>-27.958800173440753</v>
      </c>
      <c r="K3">
        <v>0.5</v>
      </c>
      <c r="N3" t="s">
        <v>27</v>
      </c>
      <c r="O3" s="21">
        <f>($K$3*(MAX(B$28:B$45)+MIN(B$28:B$45)))/($K$3*MAX(B$28:B$45)+(MAX(B$28:B$45)-B28))</f>
        <v>0.33809461440376287</v>
      </c>
      <c r="P3" s="21">
        <f>($K$3*(MAX(C$28:C$45)+MIN(C$28:C$45)))/($K$3*MAX(C$28:C$45)+(MAX(C$28:C$45)-C28))</f>
        <v>0.33333333333333331</v>
      </c>
      <c r="Q3" s="21">
        <f>($K$3*(MAX(D$28:D$45)+MIN(D$28:D$45)))/($K$3*MAX(D$28:D$45)+(MAX(D$28:D$45)-D28))</f>
        <v>0.3333843148426025</v>
      </c>
      <c r="R3" s="21" cm="1">
        <f t="array" ref="R3">($K$3*(MAX(E$28:E$45)+MIN(E$28:E$45)))/($K$3*MAX(E$28:E$45)+(MAX(E$28:E$45-E28)))</f>
        <v>0.36958343822604112</v>
      </c>
      <c r="S3" s="21" cm="1">
        <f t="array" ref="S3">($K$3*(MAX(F$28:F$45)+MIN(F$28:F$45)))/($K$3*MAX(F$28:F$45)+(MAX(F$28:F$45-F28)))</f>
        <v>0.35958875249207878</v>
      </c>
      <c r="T3" s="77">
        <f>$O$22*O3+$P$22*P3+$Q$22*Q3+$R$22*R3+$S$22*S3</f>
        <v>0.34679689065956376</v>
      </c>
      <c r="U3" s="14">
        <f>RANK(T3,$T$3:$T$20)</f>
        <v>18</v>
      </c>
      <c r="V3" s="77">
        <f>$O$23*O3+$P$23*P3+$Q$23*Q3+$R$23*R3+$S$23*S3</f>
        <v>0.34545926229587398</v>
      </c>
      <c r="W3" s="14">
        <f>RANK(V3,$V$3:$V$20)</f>
        <v>18</v>
      </c>
    </row>
    <row r="4" spans="1:23" x14ac:dyDescent="0.3">
      <c r="A4" t="s">
        <v>28</v>
      </c>
      <c r="B4" s="33">
        <f>'results and SN plots'!AH26</f>
        <v>24.11491081885324</v>
      </c>
      <c r="C4" s="33">
        <f>'results and SN plots'!AL26</f>
        <v>55.791614243288514</v>
      </c>
      <c r="D4">
        <f>'results and SN plots'!AN26</f>
        <v>-22.92256071356476</v>
      </c>
      <c r="E4">
        <f>'results and SN plots'!AO26</f>
        <v>-22.92256071356476</v>
      </c>
      <c r="F4">
        <f>'results and SN plots'!AR26</f>
        <v>-5.5144826079842186</v>
      </c>
      <c r="N4" t="s">
        <v>28</v>
      </c>
      <c r="O4" s="21">
        <f t="shared" ref="O4:O20" si="0">($K$3*(MAX(B$28:B$45)+MIN(B$28:B$45)))/($K$3*MAX(B$28:B$45)+(MAX(B$28:B$45)-B29))</f>
        <v>0.45762717426483079</v>
      </c>
      <c r="P4" s="21">
        <f t="shared" ref="P4:P20" si="1">($K$3*(MAX(C$28:C$45)+MIN(C$28:C$45)))/($K$3*MAX(C$28:C$45)+(MAX(C$28:C$45)-C29))</f>
        <v>0.57734675794283263</v>
      </c>
      <c r="Q4" s="21">
        <f t="shared" ref="Q4:Q20" si="2">($K$3*(MAX(D$28:D$45)+MIN(D$28:D$45)))/($K$3*MAX(D$28:D$45)+(MAX(D$28:D$45)-D29))</f>
        <v>0.37360298737062719</v>
      </c>
      <c r="R4" s="21" cm="1">
        <f t="array" ref="R4">($K$3*(MAX(E$28:E$45)+MIN(E$28:E$45)))/($K$3*MAX(E$28:E$45)+(MAX(E$28:E$45-E29)))</f>
        <v>0.48179594018719563</v>
      </c>
      <c r="S4" s="21" cm="1">
        <f t="array" ref="S4">($K$3*(MAX(F$28:F$45)+MIN(F$28:F$45)))/($K$3*MAX(F$28:F$45)+(MAX(F$28:F$45-F29)))</f>
        <v>0.79648309371729953</v>
      </c>
      <c r="T4" s="77">
        <f t="shared" ref="T4:T20" si="3">$O$22*O4+$P$22*P4+$Q$22*Q4+$R$22*R4+$S$22*S4</f>
        <v>0.53737119069655725</v>
      </c>
      <c r="U4" s="14">
        <f t="shared" ref="U4:U20" si="4">RANK(T4,$T$3:$T$20)</f>
        <v>15</v>
      </c>
      <c r="V4" s="77">
        <f t="shared" ref="V4:V20" si="5">$O$23*O4+$P$23*P4+$Q$23*Q4+$R$23*R4+$S$23*S4</f>
        <v>0.5482597096732621</v>
      </c>
      <c r="W4" s="14">
        <f t="shared" ref="W4:W20" si="6">RANK(V4,$V$3:$V$20)</f>
        <v>15</v>
      </c>
    </row>
    <row r="5" spans="1:23" ht="15.6" x14ac:dyDescent="0.3">
      <c r="A5" t="s">
        <v>29</v>
      </c>
      <c r="B5" s="33">
        <f>'results and SN plots'!AH27</f>
        <v>25.182795168420377</v>
      </c>
      <c r="C5" s="33">
        <f>'results and SN plots'!AL27</f>
        <v>57.786034050126204</v>
      </c>
      <c r="D5">
        <f>'results and SN plots'!AN27</f>
        <v>-10.370278797557749</v>
      </c>
      <c r="E5">
        <f>'results and SN plots'!AO27</f>
        <v>-15.563025007672874</v>
      </c>
      <c r="F5">
        <f>'results and SN plots'!AR27</f>
        <v>-1.1103465569966278</v>
      </c>
      <c r="N5" t="s">
        <v>29</v>
      </c>
      <c r="O5" s="21">
        <f t="shared" si="0"/>
        <v>0.50492871459489475</v>
      </c>
      <c r="P5" s="21">
        <f t="shared" si="1"/>
        <v>0.95610076160703539</v>
      </c>
      <c r="Q5" s="21">
        <f t="shared" si="2"/>
        <v>1</v>
      </c>
      <c r="R5" s="21" cm="1">
        <f t="array" ref="R5">($K$3*(MAX(E$28:E$45)+MIN(E$28:E$45)))/($K$3*MAX(E$28:E$45)+(MAX(E$28:E$45-E30)))</f>
        <v>1</v>
      </c>
      <c r="S5" s="21" cm="1">
        <f t="array" ref="S5">($K$3*(MAX(F$28:F$45)+MIN(F$28:F$45)))/($K$3*MAX(F$28:F$45)+(MAX(F$28:F$45-F30)))</f>
        <v>1.0458162448309618</v>
      </c>
      <c r="T5" s="77">
        <f t="shared" si="3"/>
        <v>0.90136914420657832</v>
      </c>
      <c r="U5" s="54">
        <f t="shared" si="4"/>
        <v>1</v>
      </c>
      <c r="V5" s="77">
        <f t="shared" si="5"/>
        <v>0.81728534781687823</v>
      </c>
      <c r="W5" s="72">
        <f t="shared" si="6"/>
        <v>1</v>
      </c>
    </row>
    <row r="6" spans="1:23" x14ac:dyDescent="0.3">
      <c r="A6" t="s">
        <v>30</v>
      </c>
      <c r="B6" s="33">
        <f>'results and SN plots'!AH28</f>
        <v>19.864314409482741</v>
      </c>
      <c r="C6" s="33">
        <f>'results and SN plots'!AL28</f>
        <v>54.386625739674528</v>
      </c>
      <c r="D6">
        <f>'results and SN plots'!AN28</f>
        <v>-15.735028442911222</v>
      </c>
      <c r="E6">
        <f>'results and SN plots'!AO28</f>
        <v>-21.213956807072233</v>
      </c>
      <c r="F6">
        <f>'results and SN plots'!AR28</f>
        <v>-2.7335427975908826</v>
      </c>
      <c r="N6" t="s">
        <v>30</v>
      </c>
      <c r="O6" s="21">
        <f t="shared" si="0"/>
        <v>0.33333333333333331</v>
      </c>
      <c r="P6" s="21">
        <f t="shared" si="1"/>
        <v>0.45138087972679264</v>
      </c>
      <c r="Q6" s="21">
        <f t="shared" si="2"/>
        <v>0.58255288159315721</v>
      </c>
      <c r="R6" s="21" cm="1">
        <f t="array" ref="R6">($K$3*(MAX(E$28:E$45)+MIN(E$28:E$45)))/($K$3*MAX(E$28:E$45)+(MAX(E$28:E$45-E31)))</f>
        <v>0.54768660832687766</v>
      </c>
      <c r="S6" s="21" cm="1">
        <f t="array" ref="S6">($K$3*(MAX(F$28:F$45)+MIN(F$28:F$45)))/($K$3*MAX(F$28:F$45)+(MAX(F$28:F$45-F31)))</f>
        <v>0.93763598235360934</v>
      </c>
      <c r="T6" s="77">
        <f t="shared" si="3"/>
        <v>0.57051793706675402</v>
      </c>
      <c r="U6" s="14">
        <f t="shared" si="4"/>
        <v>12</v>
      </c>
      <c r="V6" s="77">
        <f t="shared" si="5"/>
        <v>0.53160871649361296</v>
      </c>
      <c r="W6" s="14">
        <f t="shared" si="6"/>
        <v>16</v>
      </c>
    </row>
    <row r="7" spans="1:23" x14ac:dyDescent="0.3">
      <c r="A7" t="s">
        <v>31</v>
      </c>
      <c r="B7" s="33">
        <f>'results and SN plots'!AH29</f>
        <v>25.826488835848401</v>
      </c>
      <c r="C7" s="33">
        <f>'results and SN plots'!AL29</f>
        <v>56.150700561377064</v>
      </c>
      <c r="D7">
        <f>'results and SN plots'!AN29</f>
        <v>-13.979400086720377</v>
      </c>
      <c r="E7">
        <f>'results and SN plots'!AO29</f>
        <v>-16.901960800285135</v>
      </c>
      <c r="F7">
        <f>'results and SN plots'!AR29</f>
        <v>-1.723722952325667</v>
      </c>
      <c r="N7" t="s">
        <v>31</v>
      </c>
      <c r="O7" s="21">
        <f t="shared" si="0"/>
        <v>0.53847826224677098</v>
      </c>
      <c r="P7" s="21">
        <f t="shared" si="1"/>
        <v>0.62168805255264359</v>
      </c>
      <c r="Q7" s="21">
        <f t="shared" si="2"/>
        <v>0.67472790741433619</v>
      </c>
      <c r="R7" s="21" cm="1">
        <f t="array" ref="R7">($K$3*(MAX(E$28:E$45)+MIN(E$28:E$45)))/($K$3*MAX(E$28:E$45)+(MAX(E$28:E$45-E32)))</f>
        <v>0.8363439927368389</v>
      </c>
      <c r="S7" s="21" cm="1">
        <f t="array" ref="S7">($K$3*(MAX(F$28:F$45)+MIN(F$28:F$45)))/($K$3*MAX(F$28:F$45)+(MAX(F$28:F$45-F32)))</f>
        <v>1.0021252627580313</v>
      </c>
      <c r="T7" s="77">
        <f t="shared" si="3"/>
        <v>0.73467269554172421</v>
      </c>
      <c r="U7" s="14">
        <f t="shared" si="4"/>
        <v>4</v>
      </c>
      <c r="V7" s="77">
        <f t="shared" si="5"/>
        <v>0.70284822167366223</v>
      </c>
      <c r="W7" s="14">
        <f t="shared" si="6"/>
        <v>7</v>
      </c>
    </row>
    <row r="8" spans="1:23" x14ac:dyDescent="0.3">
      <c r="A8" t="s">
        <v>32</v>
      </c>
      <c r="B8" s="33">
        <f>'results and SN plots'!AH30</f>
        <v>24.085113569603024</v>
      </c>
      <c r="C8" s="33">
        <f>'results and SN plots'!AL30</f>
        <v>57.604835517909606</v>
      </c>
      <c r="D8">
        <f>'results and SN plots'!AN30</f>
        <v>-11.549835996744505</v>
      </c>
      <c r="E8">
        <f>'results and SN plots'!AO30</f>
        <v>-19.084850188786497</v>
      </c>
      <c r="F8">
        <f>'results and SN plots'!AR30</f>
        <v>-1.4937581700070108</v>
      </c>
      <c r="N8" t="s">
        <v>32</v>
      </c>
      <c r="O8" s="21">
        <f t="shared" si="0"/>
        <v>0.45643407870640484</v>
      </c>
      <c r="P8" s="21">
        <f t="shared" si="1"/>
        <v>0.90232090768399265</v>
      </c>
      <c r="Q8" s="21">
        <f t="shared" si="2"/>
        <v>0.86388889768116883</v>
      </c>
      <c r="R8" s="21" cm="1">
        <f t="array" ref="R8">($K$3*(MAX(E$28:E$45)+MIN(E$28:E$45)))/($K$3*MAX(E$28:E$45)+(MAX(E$28:E$45-E33)))</f>
        <v>0.66019628179988143</v>
      </c>
      <c r="S8" s="21" cm="1">
        <f t="array" ref="S8">($K$3*(MAX(F$28:F$45)+MIN(F$28:F$45)))/($K$3*MAX(F$28:F$45)+(MAX(F$28:F$45-F33)))</f>
        <v>1.0180711551398867</v>
      </c>
      <c r="T8" s="77">
        <f t="shared" si="3"/>
        <v>0.78018226420226688</v>
      </c>
      <c r="U8" s="14">
        <f t="shared" si="4"/>
        <v>2</v>
      </c>
      <c r="V8" s="77">
        <f t="shared" si="5"/>
        <v>0.72486160645913622</v>
      </c>
      <c r="W8" s="14">
        <f t="shared" si="6"/>
        <v>5</v>
      </c>
    </row>
    <row r="9" spans="1:23" x14ac:dyDescent="0.3">
      <c r="A9" t="s">
        <v>33</v>
      </c>
      <c r="B9" s="33">
        <f>'results and SN plots'!AH31</f>
        <v>25.103519689870588</v>
      </c>
      <c r="C9" s="33">
        <f>'results and SN plots'!AL31</f>
        <v>55.903691793648484</v>
      </c>
      <c r="D9">
        <f>'results and SN plots'!AN31</f>
        <v>-18.889653443003375</v>
      </c>
      <c r="E9">
        <f>'results and SN plots'!AO31</f>
        <v>-19.554472105776956</v>
      </c>
      <c r="F9">
        <f>'results and SN plots'!AR31</f>
        <v>-1.8840823926426293</v>
      </c>
      <c r="N9" t="s">
        <v>33</v>
      </c>
      <c r="O9" s="21">
        <f t="shared" si="0"/>
        <v>0.5010837842430681</v>
      </c>
      <c r="P9" s="21">
        <f t="shared" si="1"/>
        <v>0.5904920325137909</v>
      </c>
      <c r="Q9" s="21">
        <f t="shared" si="2"/>
        <v>0.46773710411131042</v>
      </c>
      <c r="R9" s="21" cm="1">
        <f t="array" ref="R9">($K$3*(MAX(E$28:E$45)+MIN(E$28:E$45)))/($K$3*MAX(E$28:E$45)+(MAX(E$28:E$45-E34)))</f>
        <v>0.63157849629378626</v>
      </c>
      <c r="S9" s="21" cm="1">
        <f t="array" ref="S9">($K$3*(MAX(F$28:F$45)+MIN(F$28:F$45)))/($K$3*MAX(F$28:F$45)+(MAX(F$28:F$45-F34)))</f>
        <v>0.99129826018269018</v>
      </c>
      <c r="T9" s="77">
        <f t="shared" si="3"/>
        <v>0.63643793546892924</v>
      </c>
      <c r="U9" s="14">
        <f t="shared" si="4"/>
        <v>10</v>
      </c>
      <c r="V9" s="77">
        <f t="shared" si="5"/>
        <v>0.63531950893994216</v>
      </c>
      <c r="W9" s="14">
        <f t="shared" si="6"/>
        <v>11</v>
      </c>
    </row>
    <row r="10" spans="1:23" x14ac:dyDescent="0.3">
      <c r="A10" t="s">
        <v>34</v>
      </c>
      <c r="B10" s="33">
        <f>'results and SN plots'!AH32</f>
        <v>22.490736566025546</v>
      </c>
      <c r="C10" s="33">
        <f>'results and SN plots'!AL32</f>
        <v>57.388154987644036</v>
      </c>
      <c r="D10">
        <f>'results and SN plots'!AN32</f>
        <v>-18.381561847521478</v>
      </c>
      <c r="E10">
        <f>'results and SN plots'!AO32</f>
        <v>-19.369658971078703</v>
      </c>
      <c r="F10">
        <f>'results and SN plots'!AR32</f>
        <v>-1.2096149476276297</v>
      </c>
      <c r="N10" t="s">
        <v>34</v>
      </c>
      <c r="O10" s="21">
        <f t="shared" si="0"/>
        <v>0.40055599457958441</v>
      </c>
      <c r="P10" s="21">
        <f t="shared" si="1"/>
        <v>0.84545258429310377</v>
      </c>
      <c r="Q10" s="21">
        <f t="shared" si="2"/>
        <v>0.48307169076733009</v>
      </c>
      <c r="R10" s="21" cm="1">
        <f t="array" ref="R10">($K$3*(MAX(E$28:E$45)+MIN(E$28:E$45)))/($K$3*MAX(E$28:E$45)+(MAX(E$28:E$45-E35)))</f>
        <v>0.64253942124895869</v>
      </c>
      <c r="S10" s="21" cm="1">
        <f t="array" ref="S10">($K$3*(MAX(F$28:F$45)+MIN(F$28:F$45)))/($K$3*MAX(F$28:F$45)+(MAX(F$28:F$45-F35)))</f>
        <v>1.0384887501040898</v>
      </c>
      <c r="T10" s="77">
        <f t="shared" si="3"/>
        <v>0.68202168819861342</v>
      </c>
      <c r="U10" s="14">
        <f t="shared" si="4"/>
        <v>8</v>
      </c>
      <c r="V10" s="77">
        <f t="shared" si="5"/>
        <v>0.66298570173561977</v>
      </c>
      <c r="W10" s="14">
        <f t="shared" si="6"/>
        <v>9</v>
      </c>
    </row>
    <row r="11" spans="1:23" x14ac:dyDescent="0.3">
      <c r="A11" t="s">
        <v>35</v>
      </c>
      <c r="B11" s="33">
        <f>'results and SN plots'!AH33</f>
        <v>26.739195702414079</v>
      </c>
      <c r="C11" s="33">
        <f>'results and SN plots'!AL33</f>
        <v>57.919494647181295</v>
      </c>
      <c r="D11">
        <f>'results and SN plots'!AN33</f>
        <v>-20.984360453403635</v>
      </c>
      <c r="E11">
        <f>'results and SN plots'!AO33</f>
        <v>-22.278867046136735</v>
      </c>
      <c r="F11">
        <f>'results and SN plots'!AR33</f>
        <v>-2.0474581741911706</v>
      </c>
      <c r="N11" t="s">
        <v>35</v>
      </c>
      <c r="O11" s="21">
        <f t="shared" si="0"/>
        <v>0.59448632483128361</v>
      </c>
      <c r="P11" s="21">
        <f t="shared" si="1"/>
        <v>1</v>
      </c>
      <c r="Q11" s="21">
        <f t="shared" si="2"/>
        <v>0.41360801623019056</v>
      </c>
      <c r="R11" s="21" cm="1">
        <f t="array" ref="R11">($K$3*(MAX(E$28:E$45)+MIN(E$28:E$45)))/($K$3*MAX(E$28:E$45)+(MAX(E$28:E$45-E36)))</f>
        <v>0.50466966167729421</v>
      </c>
      <c r="S11" s="21" cm="1">
        <f t="array" ref="S11">($K$3*(MAX(F$28:F$45)+MIN(F$28:F$45)))/($K$3*MAX(F$28:F$45)+(MAX(F$28:F$45-F36)))</f>
        <v>0.98050557661768778</v>
      </c>
      <c r="T11" s="77">
        <f t="shared" si="3"/>
        <v>0.69865391587129133</v>
      </c>
      <c r="U11" s="14">
        <f t="shared" si="4"/>
        <v>7</v>
      </c>
      <c r="V11" s="77">
        <f t="shared" si="5"/>
        <v>0.72995971416252137</v>
      </c>
      <c r="W11" s="14">
        <f t="shared" si="6"/>
        <v>4</v>
      </c>
    </row>
    <row r="12" spans="1:23" x14ac:dyDescent="0.3">
      <c r="A12" t="s">
        <v>36</v>
      </c>
      <c r="B12" s="33">
        <f>'results and SN plots'!AH34</f>
        <v>26.615172733565132</v>
      </c>
      <c r="C12" s="33">
        <f>'results and SN plots'!AL34</f>
        <v>55.071661177858132</v>
      </c>
      <c r="D12">
        <f>'results and SN plots'!AN34</f>
        <v>-20.120759099946348</v>
      </c>
      <c r="E12">
        <f>'results and SN plots'!AO34</f>
        <v>-22.278867046136735</v>
      </c>
      <c r="F12">
        <f>'results and SN plots'!AR34</f>
        <v>-3.478503945983471</v>
      </c>
      <c r="N12" t="s">
        <v>36</v>
      </c>
      <c r="O12" s="21">
        <f t="shared" si="0"/>
        <v>0.58620118445927127</v>
      </c>
      <c r="P12" s="21">
        <f t="shared" si="1"/>
        <v>0.50511452624848852</v>
      </c>
      <c r="Q12" s="21">
        <f t="shared" si="2"/>
        <v>0.43433037144468456</v>
      </c>
      <c r="R12" s="21" cm="1">
        <f t="array" ref="R12">($K$3*(MAX(E$28:E$45)+MIN(E$28:E$45)))/($K$3*MAX(E$28:E$45)+(MAX(E$28:E$45-E37)))</f>
        <v>0.50466966167729421</v>
      </c>
      <c r="S12" s="21" cm="1">
        <f t="array" ref="S12">($K$3*(MAX(F$28:F$45)+MIN(F$28:F$45)))/($K$3*MAX(F$28:F$45)+(MAX(F$28:F$45-F37)))</f>
        <v>0.89514015560689919</v>
      </c>
      <c r="T12" s="77">
        <f t="shared" si="3"/>
        <v>0.58509117988732751</v>
      </c>
      <c r="U12" s="14">
        <f t="shared" si="4"/>
        <v>11</v>
      </c>
      <c r="V12" s="77">
        <f t="shared" si="5"/>
        <v>0.60936891854345465</v>
      </c>
      <c r="W12" s="14">
        <f t="shared" si="6"/>
        <v>12</v>
      </c>
    </row>
    <row r="13" spans="1:23" x14ac:dyDescent="0.3">
      <c r="A13" t="s">
        <v>37</v>
      </c>
      <c r="B13" s="33">
        <f>'results and SN plots'!AH35</f>
        <v>30.297593104455871</v>
      </c>
      <c r="C13" s="33">
        <f>'results and SN plots'!AL35</f>
        <v>54.647875196459374</v>
      </c>
      <c r="D13">
        <f>'results and SN plots'!AN35</f>
        <v>-23.806633963405829</v>
      </c>
      <c r="E13">
        <f>'results and SN plots'!AO35</f>
        <v>-26.848453616444125</v>
      </c>
      <c r="F13">
        <f>'results and SN plots'!AR35</f>
        <v>-10.172766123314547</v>
      </c>
      <c r="N13" t="s">
        <v>37</v>
      </c>
      <c r="O13" s="21">
        <f t="shared" si="0"/>
        <v>1</v>
      </c>
      <c r="P13" s="21">
        <f t="shared" si="1"/>
        <v>0.47046747284690293</v>
      </c>
      <c r="Q13" s="21">
        <f t="shared" si="2"/>
        <v>0.35781684465400032</v>
      </c>
      <c r="R13" s="21" cm="1">
        <f t="array" ref="R13">($K$3*(MAX(E$28:E$45)+MIN(E$28:E$45)))/($K$3*MAX(E$28:E$45)+(MAX(E$28:E$45-E38)))</f>
        <v>0.37745513563600747</v>
      </c>
      <c r="S13" s="21" cm="1">
        <f t="array" ref="S13">($K$3*(MAX(F$28:F$45)+MIN(F$28:F$45)))/($K$3*MAX(F$28:F$45)+(MAX(F$28:F$45-F38)))</f>
        <v>0.63608329377126727</v>
      </c>
      <c r="T13" s="77">
        <f t="shared" si="3"/>
        <v>0.56836454938163561</v>
      </c>
      <c r="U13" s="14">
        <f t="shared" si="4"/>
        <v>13</v>
      </c>
      <c r="V13" s="77">
        <f t="shared" si="5"/>
        <v>0.67835224552817297</v>
      </c>
      <c r="W13" s="14">
        <f t="shared" si="6"/>
        <v>8</v>
      </c>
    </row>
    <row r="14" spans="1:23" x14ac:dyDescent="0.3">
      <c r="A14" t="s">
        <v>38</v>
      </c>
      <c r="B14" s="33">
        <f>'results and SN plots'!AH36</f>
        <v>28.43536802413848</v>
      </c>
      <c r="C14" s="33">
        <f>'results and SN plots'!AL36</f>
        <v>55.147920575860489</v>
      </c>
      <c r="D14">
        <f>'results and SN plots'!AN36</f>
        <v>-25.343434568060275</v>
      </c>
      <c r="E14">
        <f>'results and SN plots'!AO36</f>
        <v>-29.24795995797912</v>
      </c>
      <c r="F14">
        <f>'results and SN plots'!AR36</f>
        <v>-12.39577516576788</v>
      </c>
      <c r="N14" t="s">
        <v>38</v>
      </c>
      <c r="O14" s="21">
        <f t="shared" si="0"/>
        <v>0.73693166477337091</v>
      </c>
      <c r="P14" s="21">
        <f t="shared" si="1"/>
        <v>0.51189823384981104</v>
      </c>
      <c r="Q14" s="21">
        <f t="shared" si="2"/>
        <v>0.33333333333333331</v>
      </c>
      <c r="R14" s="21" cm="1">
        <f t="array" ref="R14">($K$3*(MAX(E$28:E$45)+MIN(E$28:E$45)))/($K$3*MAX(E$28:E$45)+(MAX(E$28:E$45-E39)))</f>
        <v>0.33333333333333331</v>
      </c>
      <c r="S14" s="21" cm="1">
        <f t="array" ref="S14">($K$3*(MAX(F$28:F$45)+MIN(F$28:F$45)))/($K$3*MAX(F$28:F$45)+(MAX(F$28:F$45-F39)))</f>
        <v>0.58031277272974124</v>
      </c>
      <c r="T14" s="77">
        <f t="shared" si="3"/>
        <v>0.49916186760391795</v>
      </c>
      <c r="U14" s="14">
        <f t="shared" si="4"/>
        <v>16</v>
      </c>
      <c r="V14" s="77">
        <f t="shared" si="5"/>
        <v>0.57005004631380307</v>
      </c>
      <c r="W14" s="14">
        <f t="shared" si="6"/>
        <v>13</v>
      </c>
    </row>
    <row r="15" spans="1:23" x14ac:dyDescent="0.3">
      <c r="A15" t="s">
        <v>39</v>
      </c>
      <c r="B15" s="33">
        <f>'results and SN plots'!AH37</f>
        <v>23.781380187986475</v>
      </c>
      <c r="C15" s="33">
        <f>'results and SN plots'!AL37</f>
        <v>57.025166974381506</v>
      </c>
      <c r="D15">
        <f>'results and SN plots'!AN37</f>
        <v>-17.000665153795381</v>
      </c>
      <c r="E15">
        <f>'results and SN plots'!AO37</f>
        <v>-19.554472105776956</v>
      </c>
      <c r="F15">
        <f>'results and SN plots'!AR37</f>
        <v>-1.5144142787623673</v>
      </c>
      <c r="N15" t="s">
        <v>39</v>
      </c>
      <c r="O15" s="21">
        <f t="shared" si="0"/>
        <v>0.44461817383590513</v>
      </c>
      <c r="P15" s="21">
        <f t="shared" si="1"/>
        <v>0.76471404891769512</v>
      </c>
      <c r="Q15" s="21">
        <f t="shared" si="2"/>
        <v>0.53032491668773007</v>
      </c>
      <c r="R15" s="21" cm="1">
        <f t="array" ref="R15">($K$3*(MAX(E$28:E$45)+MIN(E$28:E$45)))/($K$3*MAX(E$28:E$45)+(MAX(E$28:E$45-E40)))</f>
        <v>0.63157849629378626</v>
      </c>
      <c r="S15" s="21" cm="1">
        <f t="array" ref="S15">($K$3*(MAX(F$28:F$45)+MIN(F$28:F$45)))/($K$3*MAX(F$28:F$45)+(MAX(F$28:F$45-F40)))</f>
        <v>1.0166181342756331</v>
      </c>
      <c r="T15" s="77">
        <f t="shared" si="3"/>
        <v>0.67757075400214994</v>
      </c>
      <c r="U15" s="14">
        <f t="shared" si="4"/>
        <v>9</v>
      </c>
      <c r="V15" s="77">
        <f t="shared" si="5"/>
        <v>0.66058093019909037</v>
      </c>
      <c r="W15" s="14">
        <f t="shared" si="6"/>
        <v>10</v>
      </c>
    </row>
    <row r="16" spans="1:23" ht="15.6" x14ac:dyDescent="0.3">
      <c r="A16" t="s">
        <v>40</v>
      </c>
      <c r="B16" s="33">
        <f>'results and SN plots'!AH38</f>
        <v>27.561050172252905</v>
      </c>
      <c r="C16" s="33">
        <f>'results and SN plots'!AL38</f>
        <v>56.462961196213882</v>
      </c>
      <c r="D16">
        <f>'results and SN plots'!AN38</f>
        <v>-12.669369111591731</v>
      </c>
      <c r="E16">
        <f>'results and SN plots'!AO38</f>
        <v>-16.901960800285135</v>
      </c>
      <c r="F16">
        <f>'results and SN plots'!AR38</f>
        <v>-4.0131890109283654</v>
      </c>
      <c r="N16" t="s">
        <v>40</v>
      </c>
      <c r="O16" s="21">
        <f t="shared" si="0"/>
        <v>0.65591849451364614</v>
      </c>
      <c r="P16" s="21">
        <f t="shared" si="1"/>
        <v>0.66618002112364005</v>
      </c>
      <c r="Q16" s="21">
        <f t="shared" si="2"/>
        <v>0.76505535777292033</v>
      </c>
      <c r="R16" s="21" cm="1">
        <f t="array" ref="R16">($K$3*(MAX(E$28:E$45)+MIN(E$28:E$45)))/($K$3*MAX(E$28:E$45)+(MAX(E$28:E$45-E41)))</f>
        <v>0.8363439927368389</v>
      </c>
      <c r="S16" s="21" cm="1">
        <f t="array" ref="S16">($K$3*(MAX(F$28:F$45)+MIN(F$28:F$45)))/($K$3*MAX(F$28:F$45)+(MAX(F$28:F$45-F41)))</f>
        <v>0.86693912058192479</v>
      </c>
      <c r="T16" s="77">
        <f t="shared" si="3"/>
        <v>0.758087397345794</v>
      </c>
      <c r="U16" s="14">
        <f t="shared" si="4"/>
        <v>3</v>
      </c>
      <c r="V16" s="77">
        <f t="shared" si="5"/>
        <v>0.73507340481449079</v>
      </c>
      <c r="W16" s="71">
        <f t="shared" si="6"/>
        <v>3</v>
      </c>
    </row>
    <row r="17" spans="1:23" x14ac:dyDescent="0.3">
      <c r="A17" t="s">
        <v>41</v>
      </c>
      <c r="B17" s="33">
        <f>'results and SN plots'!AH39</f>
        <v>26.199413140821367</v>
      </c>
      <c r="C17" s="33">
        <f>'results and SN plots'!AL39</f>
        <v>57.025166974381506</v>
      </c>
      <c r="D17">
        <f>'results and SN plots'!AN39</f>
        <v>-13.803921600570275</v>
      </c>
      <c r="E17">
        <f>'results and SN plots'!AO39</f>
        <v>-19.084850188786497</v>
      </c>
      <c r="F17">
        <f>'results and SN plots'!AR39</f>
        <v>-1.9382002601611275</v>
      </c>
      <c r="N17" t="s">
        <v>41</v>
      </c>
      <c r="O17" s="21">
        <f t="shared" si="0"/>
        <v>0.56003655822484499</v>
      </c>
      <c r="P17" s="21">
        <f t="shared" si="1"/>
        <v>0.76471404891769512</v>
      </c>
      <c r="Q17" s="21">
        <f t="shared" si="2"/>
        <v>0.68557020036209149</v>
      </c>
      <c r="R17" s="21" cm="1">
        <f t="array" ref="R17">($K$3*(MAX(E$28:E$45)+MIN(E$28:E$45)))/($K$3*MAX(E$28:E$45)+(MAX(E$28:E$45-E42)))</f>
        <v>0.66019628179988143</v>
      </c>
      <c r="S17" s="21" cm="1">
        <f t="array" ref="S17">($K$3*(MAX(F$28:F$45)+MIN(F$28:F$45)))/($K$3*MAX(F$28:F$45)+(MAX(F$28:F$45-F42)))</f>
        <v>0.98769698671184447</v>
      </c>
      <c r="T17" s="77">
        <f t="shared" si="3"/>
        <v>0.73164281520327157</v>
      </c>
      <c r="U17" s="14">
        <f t="shared" si="4"/>
        <v>6</v>
      </c>
      <c r="V17" s="77">
        <f t="shared" si="5"/>
        <v>0.71400735105048319</v>
      </c>
      <c r="W17" s="14">
        <f t="shared" si="6"/>
        <v>6</v>
      </c>
    </row>
    <row r="18" spans="1:23" x14ac:dyDescent="0.3">
      <c r="A18" t="s">
        <v>42</v>
      </c>
      <c r="B18" s="33">
        <f>'results and SN plots'!AH40</f>
        <v>27.084090227406264</v>
      </c>
      <c r="C18" s="33">
        <f>'results and SN plots'!AL40</f>
        <v>54.550825140571121</v>
      </c>
      <c r="D18">
        <f>'results and SN plots'!AN40</f>
        <v>-18.588378514285854</v>
      </c>
      <c r="E18">
        <f>'results and SN plots'!AO40</f>
        <v>-19.554472105776956</v>
      </c>
      <c r="F18">
        <f>'results and SN plots'!AR40</f>
        <v>-12.39577516576788</v>
      </c>
      <c r="N18" t="s">
        <v>42</v>
      </c>
      <c r="O18" s="21">
        <f t="shared" si="0"/>
        <v>0.61880798787752189</v>
      </c>
      <c r="P18" s="21">
        <f t="shared" si="1"/>
        <v>0.46319157979937031</v>
      </c>
      <c r="Q18" s="21">
        <f t="shared" si="2"/>
        <v>0.47671006530612753</v>
      </c>
      <c r="R18" s="21" cm="1">
        <f t="array" ref="R18">($K$3*(MAX(E$28:E$45)+MIN(E$28:E$45)))/($K$3*MAX(E$28:E$45)+(MAX(E$28:E$45-E43)))</f>
        <v>0.63157849629378626</v>
      </c>
      <c r="S18" s="21" cm="1">
        <f t="array" ref="S18">($K$3*(MAX(F$28:F$45)+MIN(F$28:F$45)))/($K$3*MAX(F$28:F$45)+(MAX(F$28:F$45-F43)))</f>
        <v>0.58031277272974124</v>
      </c>
      <c r="T18" s="77">
        <f t="shared" si="3"/>
        <v>0.5541201804013095</v>
      </c>
      <c r="U18" s="14">
        <f t="shared" si="4"/>
        <v>14</v>
      </c>
      <c r="V18" s="77">
        <f t="shared" si="5"/>
        <v>0.56899214130690934</v>
      </c>
      <c r="W18" s="14">
        <f t="shared" si="6"/>
        <v>14</v>
      </c>
    </row>
    <row r="19" spans="1:23" x14ac:dyDescent="0.3">
      <c r="A19" t="s">
        <v>43</v>
      </c>
      <c r="B19" s="33">
        <f>'results and SN plots'!AH41</f>
        <v>25.411247753946519</v>
      </c>
      <c r="C19" s="33">
        <f>'results and SN plots'!AL41</f>
        <v>54.031359701118546</v>
      </c>
      <c r="D19">
        <f>'results and SN plots'!AN41</f>
        <v>-22.841529221465695</v>
      </c>
      <c r="E19">
        <f>'results and SN plots'!AO41</f>
        <v>-24.608978427565479</v>
      </c>
      <c r="F19">
        <f>'results and SN plots'!AR41</f>
        <v>-21.938200260161128</v>
      </c>
      <c r="G19" t="s">
        <v>105</v>
      </c>
      <c r="N19" t="s">
        <v>43</v>
      </c>
      <c r="O19" s="21">
        <f t="shared" si="0"/>
        <v>0.51634635738103873</v>
      </c>
      <c r="P19" s="21">
        <f t="shared" si="1"/>
        <v>0.42778054618712641</v>
      </c>
      <c r="Q19" s="21">
        <f t="shared" si="2"/>
        <v>0.37511986621387367</v>
      </c>
      <c r="R19" s="21" cm="1">
        <f t="array" ref="R19">($K$3*(MAX(E$28:E$45)+MIN(E$28:E$45)))/($K$3*MAX(E$28:E$45)+(MAX(E$28:E$45-E44)))</f>
        <v>0.43065749078227894</v>
      </c>
      <c r="S19" s="21" cm="1">
        <f t="array" ref="S19">($K$3*(MAX(F$28:F$45)+MIN(F$28:F$45)))/($K$3*MAX(F$28:F$45)+(MAX(F$28:F$45-F44)))</f>
        <v>0.42162735409543844</v>
      </c>
      <c r="T19" s="77">
        <f t="shared" si="3"/>
        <v>0.43430632293195126</v>
      </c>
      <c r="U19" s="14">
        <f t="shared" si="4"/>
        <v>17</v>
      </c>
      <c r="V19" s="77">
        <f t="shared" si="5"/>
        <v>0.45533923641962393</v>
      </c>
      <c r="W19" s="14">
        <f t="shared" si="6"/>
        <v>17</v>
      </c>
    </row>
    <row r="20" spans="1:23" x14ac:dyDescent="0.3">
      <c r="A20" t="s">
        <v>44</v>
      </c>
      <c r="B20" s="33">
        <f>'results and SN plots'!AH42</f>
        <v>27.640701254378609</v>
      </c>
      <c r="C20" s="33">
        <f>'results and SN plots'!AL42</f>
        <v>56.751768764710221</v>
      </c>
      <c r="D20">
        <f>'results and SN plots'!AN42</f>
        <v>-16.877108452463222</v>
      </c>
      <c r="E20">
        <f>'results and SN plots'!AO42</f>
        <v>-18.061799739838872</v>
      </c>
      <c r="F20">
        <f>'results and SN plots'!AR42</f>
        <v>-1.4116214857141456</v>
      </c>
      <c r="G20" s="46" t="s">
        <v>106</v>
      </c>
      <c r="N20" t="s">
        <v>44</v>
      </c>
      <c r="O20" s="21">
        <f t="shared" si="0"/>
        <v>0.66255396931692612</v>
      </c>
      <c r="P20" s="21">
        <f t="shared" si="1"/>
        <v>0.71340090224947805</v>
      </c>
      <c r="Q20" s="21">
        <f t="shared" si="2"/>
        <v>0.53500749290457728</v>
      </c>
      <c r="R20" s="21" cm="1">
        <f t="array" ref="R20">($K$3*(MAX(E$28:E$45)+MIN(E$28:E$45)))/($K$3*MAX(E$28:E$45)+(MAX(E$28:E$45-E45)))</f>
        <v>0.73250080913134452</v>
      </c>
      <c r="S20" s="21" cm="1">
        <f t="array" ref="S20">($K$3*(MAX(F$28:F$45)+MIN(F$28:F$45)))/($K$3*MAX(F$28:F$45)+(MAX(F$28:F$45-F45)))</f>
        <v>1.0238902584139717</v>
      </c>
      <c r="T20" s="77">
        <f t="shared" si="3"/>
        <v>0.73347068640325963</v>
      </c>
      <c r="U20" s="14">
        <f t="shared" si="4"/>
        <v>5</v>
      </c>
      <c r="V20" s="77">
        <f t="shared" si="5"/>
        <v>0.74634763877054322</v>
      </c>
      <c r="W20" s="14">
        <f t="shared" si="6"/>
        <v>2</v>
      </c>
    </row>
    <row r="22" spans="1:23" x14ac:dyDescent="0.3">
      <c r="B22" s="26" t="s">
        <v>115</v>
      </c>
      <c r="C22" s="26"/>
      <c r="D22" s="26"/>
      <c r="E22" s="26"/>
      <c r="F22" s="26"/>
      <c r="N22" t="s">
        <v>107</v>
      </c>
      <c r="O22">
        <v>0.2</v>
      </c>
      <c r="P22">
        <v>0.2</v>
      </c>
      <c r="Q22">
        <v>0.2</v>
      </c>
      <c r="R22">
        <v>0.2</v>
      </c>
      <c r="S22">
        <v>0.2</v>
      </c>
    </row>
    <row r="23" spans="1:23" x14ac:dyDescent="0.3">
      <c r="B23">
        <f t="shared" ref="B23:E23" si="7">MIN(B3:B20)</f>
        <v>19.864314409482741</v>
      </c>
      <c r="C23">
        <f t="shared" si="7"/>
        <v>52.106100922822193</v>
      </c>
      <c r="D23">
        <f t="shared" si="7"/>
        <v>-25.343434568060275</v>
      </c>
      <c r="E23">
        <f t="shared" si="7"/>
        <v>-29.24795995797912</v>
      </c>
      <c r="F23">
        <f t="shared" ref="F23" si="8">MIN(F3:F20)</f>
        <v>-27.958800173440753</v>
      </c>
      <c r="N23" t="s">
        <v>108</v>
      </c>
      <c r="O23" s="73">
        <v>0.36986301369863006</v>
      </c>
      <c r="P23" s="73">
        <v>0.20547945205479454</v>
      </c>
      <c r="Q23" s="73">
        <v>8.219178082191779E-2</v>
      </c>
      <c r="R23" s="73">
        <v>0.13698630136986301</v>
      </c>
      <c r="S23" s="73">
        <v>0.20547945205479451</v>
      </c>
    </row>
    <row r="24" spans="1:23" x14ac:dyDescent="0.3">
      <c r="B24" s="26" t="s">
        <v>116</v>
      </c>
      <c r="C24" s="26"/>
      <c r="D24" s="26"/>
      <c r="E24" s="26"/>
      <c r="F24" s="26"/>
    </row>
    <row r="25" spans="1:23" x14ac:dyDescent="0.3">
      <c r="B25">
        <f t="shared" ref="B25:E25" si="9">MAX(B3:B20)</f>
        <v>30.297593104455871</v>
      </c>
      <c r="C25">
        <f t="shared" si="9"/>
        <v>57.919494647181295</v>
      </c>
      <c r="D25">
        <f t="shared" si="9"/>
        <v>-10.370278797557749</v>
      </c>
      <c r="E25">
        <f t="shared" si="9"/>
        <v>-15.563025007672874</v>
      </c>
      <c r="F25">
        <f t="shared" ref="F25" si="10">MAX(F3:F20)</f>
        <v>-1.1103465569966278</v>
      </c>
    </row>
    <row r="27" spans="1:23" x14ac:dyDescent="0.3">
      <c r="B27" s="26" t="s">
        <v>117</v>
      </c>
      <c r="C27" s="26"/>
      <c r="D27" s="26"/>
      <c r="E27" s="26"/>
      <c r="F27" s="26"/>
    </row>
    <row r="28" spans="1:23" x14ac:dyDescent="0.3">
      <c r="A28" t="s">
        <v>27</v>
      </c>
      <c r="B28" s="33">
        <f>(B3-$B$23)/($B$25-$B$23)</f>
        <v>2.1124032449435028E-2</v>
      </c>
      <c r="C28" s="33">
        <f>(C3-$C$23)/($C$25-$C$23)</f>
        <v>0</v>
      </c>
      <c r="D28" s="33">
        <f>(D3-$D$23)/($D$25-$D$23)</f>
        <v>2.2938170903430641E-4</v>
      </c>
      <c r="E28" s="33">
        <f>(E3-$E$23)/($E$25-$E$23)</f>
        <v>0.1471255248883887</v>
      </c>
      <c r="F28" s="33">
        <f>(F3-$E$23)/($E$25-$E$23)</f>
        <v>9.4202843434744804E-2</v>
      </c>
    </row>
    <row r="29" spans="1:23" x14ac:dyDescent="0.3">
      <c r="A29" t="s">
        <v>28</v>
      </c>
      <c r="B29" s="33">
        <f t="shared" ref="B29:B45" si="11">(B4-$B$23)/($B$25-$B$23)</f>
        <v>0.40740754020291658</v>
      </c>
      <c r="C29" s="33">
        <f t="shared" ref="C29:C45" si="12">(C4-$C$23)/($C$25-$C$23)</f>
        <v>0.63396932931334016</v>
      </c>
      <c r="D29" s="33">
        <f>(D4-$D$23)/($D$25-$D$23)</f>
        <v>0.16168093697820829</v>
      </c>
      <c r="E29" s="33">
        <f t="shared" ref="E29:F45" si="13">(E4-$E$23)/($E$25-$E$23)</f>
        <v>0.46221624489876056</v>
      </c>
      <c r="F29" s="33">
        <f t="shared" si="13"/>
        <v>1.7342776882884476</v>
      </c>
    </row>
    <row r="30" spans="1:23" x14ac:dyDescent="0.3">
      <c r="A30" t="s">
        <v>29</v>
      </c>
      <c r="B30" s="33">
        <f t="shared" si="11"/>
        <v>0.50976120876557618</v>
      </c>
      <c r="C30" s="33">
        <f t="shared" si="12"/>
        <v>0.97704256697841252</v>
      </c>
      <c r="D30" s="33">
        <f t="shared" ref="D30:D45" si="14">(D5-$D$23)/($D$25-$D$23)</f>
        <v>1</v>
      </c>
      <c r="E30" s="33">
        <f t="shared" si="13"/>
        <v>1</v>
      </c>
      <c r="F30" s="33">
        <f t="shared" si="13"/>
        <v>2.0561013627874658</v>
      </c>
    </row>
    <row r="31" spans="1:23" x14ac:dyDescent="0.3">
      <c r="A31" t="s">
        <v>30</v>
      </c>
      <c r="B31" s="33">
        <f t="shared" si="11"/>
        <v>0</v>
      </c>
      <c r="C31" s="33">
        <f t="shared" si="12"/>
        <v>0.39228803775951909</v>
      </c>
      <c r="D31" s="33">
        <f t="shared" si="14"/>
        <v>0.64170882026605514</v>
      </c>
      <c r="E31" s="33">
        <f t="shared" si="13"/>
        <v>0.58706915159484185</v>
      </c>
      <c r="F31" s="33">
        <f t="shared" si="13"/>
        <v>1.9374894551321846</v>
      </c>
    </row>
    <row r="32" spans="1:23" x14ac:dyDescent="0.3">
      <c r="A32" t="s">
        <v>31</v>
      </c>
      <c r="B32" s="33">
        <f t="shared" si="11"/>
        <v>0.57145741052985599</v>
      </c>
      <c r="C32" s="33">
        <f t="shared" si="12"/>
        <v>0.6957381230876063</v>
      </c>
      <c r="D32" s="33">
        <f t="shared" si="14"/>
        <v>0.7589605461613721</v>
      </c>
      <c r="E32" s="33">
        <f t="shared" si="13"/>
        <v>0.90215987160521371</v>
      </c>
      <c r="F32" s="33">
        <f t="shared" si="13"/>
        <v>2.0112800759083993</v>
      </c>
    </row>
    <row r="33" spans="1:6" x14ac:dyDescent="0.3">
      <c r="A33" t="s">
        <v>32</v>
      </c>
      <c r="B33" s="33">
        <f t="shared" si="11"/>
        <v>0.40455155886460803</v>
      </c>
      <c r="C33" s="33">
        <f t="shared" si="12"/>
        <v>0.94587341848992368</v>
      </c>
      <c r="D33" s="33">
        <f t="shared" si="14"/>
        <v>0.92122187084231688</v>
      </c>
      <c r="E33" s="33">
        <f t="shared" si="13"/>
        <v>0.74264947594545849</v>
      </c>
      <c r="F33" s="33">
        <f t="shared" si="13"/>
        <v>2.0280843050226567</v>
      </c>
    </row>
    <row r="34" spans="1:6" x14ac:dyDescent="0.3">
      <c r="A34" t="s">
        <v>33</v>
      </c>
      <c r="B34" s="33">
        <f t="shared" si="11"/>
        <v>0.50216288029496947</v>
      </c>
      <c r="C34" s="33">
        <f t="shared" si="12"/>
        <v>0.65324852416476509</v>
      </c>
      <c r="D34" s="33">
        <f t="shared" si="14"/>
        <v>0.43102344114865898</v>
      </c>
      <c r="E34" s="33">
        <f t="shared" si="13"/>
        <v>0.70833276792340472</v>
      </c>
      <c r="F34" s="33">
        <f t="shared" si="13"/>
        <v>1.999562121756679</v>
      </c>
    </row>
    <row r="35" spans="1:6" x14ac:dyDescent="0.3">
      <c r="A35" t="s">
        <v>34</v>
      </c>
      <c r="B35" s="33">
        <f t="shared" si="11"/>
        <v>0.25173507133555678</v>
      </c>
      <c r="C35" s="33">
        <f t="shared" si="12"/>
        <v>0.90860077869646838</v>
      </c>
      <c r="D35" s="33">
        <f t="shared" si="14"/>
        <v>0.46495694209325272</v>
      </c>
      <c r="E35" s="33">
        <f t="shared" si="13"/>
        <v>0.7218376282219271</v>
      </c>
      <c r="F35" s="33">
        <f t="shared" si="13"/>
        <v>2.0488475182502817</v>
      </c>
    </row>
    <row r="36" spans="1:6" x14ac:dyDescent="0.3">
      <c r="A36" t="s">
        <v>35</v>
      </c>
      <c r="B36" s="33">
        <f t="shared" si="11"/>
        <v>0.65893776002012994</v>
      </c>
      <c r="C36" s="33">
        <f t="shared" si="12"/>
        <v>1</v>
      </c>
      <c r="D36" s="33">
        <f t="shared" si="14"/>
        <v>0.29112594442142381</v>
      </c>
      <c r="E36" s="33">
        <f t="shared" si="13"/>
        <v>0.50925290745985075</v>
      </c>
      <c r="F36" s="33">
        <f t="shared" si="13"/>
        <v>1.9876237543371915</v>
      </c>
    </row>
    <row r="37" spans="1:6" x14ac:dyDescent="0.3">
      <c r="A37" t="s">
        <v>36</v>
      </c>
      <c r="B37" s="33">
        <f t="shared" si="11"/>
        <v>0.64705051225508137</v>
      </c>
      <c r="C37" s="33">
        <f t="shared" si="12"/>
        <v>0.51012547844639189</v>
      </c>
      <c r="D37" s="33">
        <f t="shared" si="14"/>
        <v>0.34880258698722161</v>
      </c>
      <c r="E37" s="33">
        <f t="shared" si="13"/>
        <v>0.50925290745985075</v>
      </c>
      <c r="F37" s="33">
        <f t="shared" si="13"/>
        <v>1.8830528683966432</v>
      </c>
    </row>
    <row r="38" spans="1:6" x14ac:dyDescent="0.3">
      <c r="A38" t="s">
        <v>37</v>
      </c>
      <c r="B38" s="33">
        <f t="shared" si="11"/>
        <v>1</v>
      </c>
      <c r="C38" s="33">
        <f t="shared" si="12"/>
        <v>0.43722727104939013</v>
      </c>
      <c r="D38" s="33">
        <f t="shared" si="14"/>
        <v>0.10263705448666867</v>
      </c>
      <c r="E38" s="33">
        <f t="shared" si="13"/>
        <v>0.17533925811472692</v>
      </c>
      <c r="F38" s="33">
        <f t="shared" si="13"/>
        <v>1.3938826822291692</v>
      </c>
    </row>
    <row r="39" spans="1:6" x14ac:dyDescent="0.3">
      <c r="A39" t="s">
        <v>38</v>
      </c>
      <c r="B39" s="33">
        <f t="shared" si="11"/>
        <v>0.82151103840304474</v>
      </c>
      <c r="C39" s="33">
        <f t="shared" si="12"/>
        <v>0.52324335788449305</v>
      </c>
      <c r="D39" s="33">
        <f t="shared" si="14"/>
        <v>0</v>
      </c>
      <c r="E39" s="33">
        <f t="shared" si="13"/>
        <v>0</v>
      </c>
      <c r="F39" s="33">
        <f t="shared" si="13"/>
        <v>1.2314406209021926</v>
      </c>
    </row>
    <row r="40" spans="1:6" x14ac:dyDescent="0.3">
      <c r="A40" t="s">
        <v>39</v>
      </c>
      <c r="B40" s="33">
        <f t="shared" si="11"/>
        <v>0.3754395806939404</v>
      </c>
      <c r="C40" s="33">
        <f t="shared" si="12"/>
        <v>0.84616082873375564</v>
      </c>
      <c r="D40" s="33">
        <f t="shared" si="14"/>
        <v>0.55718176863559699</v>
      </c>
      <c r="E40" s="33">
        <f t="shared" si="13"/>
        <v>0.70833276792340472</v>
      </c>
      <c r="F40" s="33">
        <f t="shared" si="13"/>
        <v>2.0265749000579736</v>
      </c>
    </row>
    <row r="41" spans="1:6" x14ac:dyDescent="0.3">
      <c r="A41" t="s">
        <v>40</v>
      </c>
      <c r="B41" s="33">
        <f t="shared" si="11"/>
        <v>0.73771016645788801</v>
      </c>
      <c r="C41" s="33">
        <f t="shared" si="12"/>
        <v>0.749452123831852</v>
      </c>
      <c r="D41" s="33">
        <f t="shared" si="14"/>
        <v>0.8464525214809262</v>
      </c>
      <c r="E41" s="33">
        <f t="shared" si="13"/>
        <v>0.90215987160521371</v>
      </c>
      <c r="F41" s="33">
        <f t="shared" si="13"/>
        <v>1.8439817974060624</v>
      </c>
    </row>
    <row r="42" spans="1:6" x14ac:dyDescent="0.3">
      <c r="A42" t="s">
        <v>41</v>
      </c>
      <c r="B42" s="33">
        <f t="shared" si="11"/>
        <v>0.60720114132395864</v>
      </c>
      <c r="C42" s="33">
        <f t="shared" si="12"/>
        <v>0.84616082873375564</v>
      </c>
      <c r="D42" s="33">
        <f t="shared" si="14"/>
        <v>0.77068008537138943</v>
      </c>
      <c r="E42" s="33">
        <f t="shared" si="13"/>
        <v>0.74264947594545849</v>
      </c>
      <c r="F42" s="33">
        <f t="shared" si="13"/>
        <v>1.9956075638640025</v>
      </c>
    </row>
    <row r="43" spans="1:6" x14ac:dyDescent="0.3">
      <c r="A43" t="s">
        <v>42</v>
      </c>
      <c r="B43" s="33">
        <f t="shared" si="11"/>
        <v>0.69199491636335675</v>
      </c>
      <c r="C43" s="33">
        <f t="shared" si="12"/>
        <v>0.42053305412725095</v>
      </c>
      <c r="D43" s="33">
        <f t="shared" si="14"/>
        <v>0.4511444452532874</v>
      </c>
      <c r="E43" s="33">
        <f t="shared" si="13"/>
        <v>0.70833276792340472</v>
      </c>
      <c r="F43" s="33">
        <f t="shared" si="13"/>
        <v>1.2314406209021926</v>
      </c>
    </row>
    <row r="44" spans="1:6" x14ac:dyDescent="0.3">
      <c r="A44" t="s">
        <v>43</v>
      </c>
      <c r="B44" s="33">
        <f t="shared" si="11"/>
        <v>0.53165773738377686</v>
      </c>
      <c r="C44" s="33">
        <f t="shared" si="12"/>
        <v>0.33117639533499915</v>
      </c>
      <c r="D44" s="33">
        <f t="shared" si="14"/>
        <v>0.16709272146379409</v>
      </c>
      <c r="E44" s="33">
        <f t="shared" si="13"/>
        <v>0.33898455105991049</v>
      </c>
      <c r="F44" s="33">
        <f t="shared" si="13"/>
        <v>0.53414647014119798</v>
      </c>
    </row>
    <row r="45" spans="1:6" x14ac:dyDescent="0.3">
      <c r="A45" t="s">
        <v>44</v>
      </c>
      <c r="B45" s="33">
        <f t="shared" si="11"/>
        <v>0.74534449545976544</v>
      </c>
      <c r="C45" s="33">
        <f t="shared" si="12"/>
        <v>0.79913180874398615</v>
      </c>
      <c r="D45" s="33">
        <f t="shared" si="14"/>
        <v>0.56543364975043653</v>
      </c>
      <c r="E45" s="33">
        <f t="shared" si="13"/>
        <v>0.81740689734808858</v>
      </c>
      <c r="F45" s="33">
        <f t="shared" si="13"/>
        <v>2.0340862834457276</v>
      </c>
    </row>
  </sheetData>
  <phoneticPr fontId="5" type="noConversion"/>
  <hyperlinks>
    <hyperlink ref="G20" r:id="rId1" xr:uid="{66A967DA-90CC-4691-A8C6-F0DCBFDAE245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4469-2F35-40DB-B343-AE8DB9314E0F}">
  <dimension ref="A1:AX181"/>
  <sheetViews>
    <sheetView topLeftCell="A4" workbookViewId="0">
      <selection activeCell="F34" sqref="F34"/>
    </sheetView>
  </sheetViews>
  <sheetFormatPr defaultRowHeight="14.4" x14ac:dyDescent="0.3"/>
  <cols>
    <col min="1" max="1" width="25.109375" bestFit="1" customWidth="1"/>
    <col min="2" max="2" width="8.44140625" bestFit="1" customWidth="1"/>
    <col min="3" max="3" width="15.44140625" bestFit="1" customWidth="1"/>
    <col min="4" max="4" width="17.6640625" bestFit="1" customWidth="1"/>
    <col min="5" max="5" width="8.44140625" bestFit="1" customWidth="1"/>
    <col min="6" max="6" width="12.5546875" bestFit="1" customWidth="1"/>
    <col min="7" max="7" width="31.33203125" bestFit="1" customWidth="1"/>
    <col min="8" max="8" width="5.5546875" bestFit="1" customWidth="1"/>
    <col min="9" max="9" width="4" bestFit="1" customWidth="1"/>
    <col min="10" max="10" width="6" bestFit="1" customWidth="1"/>
    <col min="11" max="11" width="3.33203125" bestFit="1" customWidth="1"/>
    <col min="13" max="13" width="11.5546875" bestFit="1" customWidth="1"/>
  </cols>
  <sheetData>
    <row r="1" spans="1:43" x14ac:dyDescent="0.3">
      <c r="A1" t="s">
        <v>150</v>
      </c>
    </row>
    <row r="2" spans="1:43" x14ac:dyDescent="0.3">
      <c r="A2" t="s">
        <v>151</v>
      </c>
    </row>
    <row r="3" spans="1:43" s="26" customFormat="1" x14ac:dyDescent="0.3">
      <c r="A3" s="26" t="str">
        <f>'results and SN plots'!G3</f>
        <v>Precursor (kg/cum)</v>
      </c>
      <c r="B3" s="26" t="str">
        <f>'results and SN plots'!B3</f>
        <v>GGBS/Pr</v>
      </c>
      <c r="C3" s="26" t="str">
        <f>'results and SN plots'!C3</f>
        <v>Alkali/Precursor</v>
      </c>
      <c r="D3" s="26" t="str">
        <f>'results and SN plots'!E3</f>
        <v>Silicate/Hydroxide</v>
      </c>
      <c r="E3" s="26" t="str">
        <f>'results and SN plots'!F3</f>
        <v>Molarity</v>
      </c>
      <c r="F3" s="26" t="str">
        <f>'results and SN plots'!D3</f>
        <v>Water/Solids</v>
      </c>
      <c r="G3" s="26" t="str">
        <f>'results and SN plots'!H3</f>
        <v>Fine Aggregate/Coarse Aggregate</v>
      </c>
      <c r="H3" s="26" t="s">
        <v>152</v>
      </c>
      <c r="I3" s="26" t="s">
        <v>93</v>
      </c>
      <c r="J3" s="26" t="s">
        <v>74</v>
      </c>
      <c r="K3" s="26" t="s">
        <v>103</v>
      </c>
      <c r="L3" s="26" t="s">
        <v>205</v>
      </c>
      <c r="O3" s="26" t="str">
        <f>A3</f>
        <v>Precursor (kg/cum)</v>
      </c>
      <c r="P3" s="26" t="str">
        <f t="shared" ref="P3:Y3" si="0">B3</f>
        <v>GGBS/Pr</v>
      </c>
      <c r="Q3" s="26" t="str">
        <f t="shared" si="0"/>
        <v>Alkali/Precursor</v>
      </c>
      <c r="R3" s="26" t="str">
        <f t="shared" si="0"/>
        <v>Silicate/Hydroxide</v>
      </c>
      <c r="S3" s="26" t="str">
        <f t="shared" si="0"/>
        <v>Molarity</v>
      </c>
      <c r="T3" s="26" t="str">
        <f t="shared" si="0"/>
        <v>Water/Solids</v>
      </c>
      <c r="U3" s="26" t="str">
        <f t="shared" si="0"/>
        <v>Fine Aggregate/Coarse Aggregate</v>
      </c>
      <c r="V3" s="26" t="str">
        <f t="shared" si="0"/>
        <v>CS28</v>
      </c>
      <c r="W3" s="26" t="str">
        <f t="shared" si="0"/>
        <v>SF</v>
      </c>
      <c r="X3" s="26" t="str">
        <f t="shared" si="0"/>
        <v>T500</v>
      </c>
      <c r="Y3" s="26" t="str">
        <f t="shared" si="0"/>
        <v>VF</v>
      </c>
    </row>
    <row r="4" spans="1:43" x14ac:dyDescent="0.3">
      <c r="A4" s="10">
        <f>'results and SN plots'!G4</f>
        <v>400</v>
      </c>
      <c r="B4" s="10">
        <f>'results and SN plots'!B4</f>
        <v>0.2</v>
      </c>
      <c r="C4" s="10">
        <f>'results and SN plots'!C4</f>
        <v>0.45</v>
      </c>
      <c r="D4" s="10">
        <f>'results and SN plots'!E4</f>
        <v>2</v>
      </c>
      <c r="E4" s="10">
        <f>'results and SN plots'!F4</f>
        <v>8</v>
      </c>
      <c r="F4" s="10">
        <f>'results and SN plots'!D4</f>
        <v>0.34</v>
      </c>
      <c r="G4" s="10">
        <f>'results and SN plots'!H4</f>
        <v>0.7</v>
      </c>
      <c r="H4" s="55">
        <f>'results and SN plots'!AG25</f>
        <v>10.098000000000001</v>
      </c>
      <c r="I4" s="56">
        <f>'results and SN plots'!AK25</f>
        <v>403</v>
      </c>
      <c r="J4" s="10" t="str">
        <f>'results and SN plots'!AM25</f>
        <v>NA</v>
      </c>
      <c r="K4" s="10">
        <f>'results and SN plots'!AP25</f>
        <v>23</v>
      </c>
      <c r="L4">
        <f>'results and SN plots'!AQ25</f>
        <v>0.04</v>
      </c>
      <c r="O4">
        <f>A5</f>
        <v>450</v>
      </c>
      <c r="P4">
        <f t="shared" ref="P4:Y8" si="1">B5</f>
        <v>0.2</v>
      </c>
      <c r="Q4">
        <f t="shared" si="1"/>
        <v>0.55000000000000004</v>
      </c>
      <c r="R4">
        <f t="shared" si="1"/>
        <v>2.5</v>
      </c>
      <c r="S4">
        <f t="shared" si="1"/>
        <v>12</v>
      </c>
      <c r="T4">
        <f t="shared" si="1"/>
        <v>0.36</v>
      </c>
      <c r="U4">
        <f t="shared" si="1"/>
        <v>0.9</v>
      </c>
      <c r="V4">
        <f t="shared" si="1"/>
        <v>16.059999999999999</v>
      </c>
      <c r="W4">
        <f t="shared" si="1"/>
        <v>616</v>
      </c>
      <c r="X4">
        <f t="shared" si="1"/>
        <v>14</v>
      </c>
      <c r="Y4">
        <f t="shared" si="1"/>
        <v>14</v>
      </c>
    </row>
    <row r="5" spans="1:43" x14ac:dyDescent="0.3">
      <c r="A5" s="10">
        <f>'results and SN plots'!G5</f>
        <v>450</v>
      </c>
      <c r="B5" s="10">
        <f>'results and SN plots'!B5</f>
        <v>0.2</v>
      </c>
      <c r="C5" s="10">
        <f>'results and SN plots'!C5</f>
        <v>0.55000000000000004</v>
      </c>
      <c r="D5" s="10">
        <f>'results and SN plots'!E5</f>
        <v>2.5</v>
      </c>
      <c r="E5" s="10">
        <f>'results and SN plots'!F5</f>
        <v>12</v>
      </c>
      <c r="F5" s="10">
        <f>'results and SN plots'!D5</f>
        <v>0.36</v>
      </c>
      <c r="G5" s="10">
        <f>'results and SN plots'!H5</f>
        <v>0.9</v>
      </c>
      <c r="H5" s="55">
        <f>'results and SN plots'!AG26</f>
        <v>16.059999999999999</v>
      </c>
      <c r="I5" s="56">
        <f>'results and SN plots'!AK26</f>
        <v>616</v>
      </c>
      <c r="J5" s="10">
        <f>'results and SN plots'!AM26</f>
        <v>14</v>
      </c>
      <c r="K5" s="10">
        <f>'results and SN plots'!AP26</f>
        <v>14</v>
      </c>
      <c r="L5">
        <f>'results and SN plots'!AQ26</f>
        <v>0.53</v>
      </c>
      <c r="O5">
        <f t="shared" ref="O5:O8" si="2">A6</f>
        <v>500</v>
      </c>
      <c r="P5">
        <f t="shared" si="1"/>
        <v>0.2</v>
      </c>
      <c r="Q5">
        <f t="shared" si="1"/>
        <v>0.65</v>
      </c>
      <c r="R5">
        <f t="shared" si="1"/>
        <v>3</v>
      </c>
      <c r="S5">
        <f t="shared" si="1"/>
        <v>16</v>
      </c>
      <c r="T5">
        <f t="shared" si="1"/>
        <v>0.38</v>
      </c>
      <c r="U5">
        <f t="shared" si="1"/>
        <v>1.1000000000000001</v>
      </c>
      <c r="V5">
        <f t="shared" si="1"/>
        <v>18.161000000000005</v>
      </c>
      <c r="W5">
        <f t="shared" si="1"/>
        <v>775</v>
      </c>
      <c r="X5">
        <f t="shared" si="1"/>
        <v>3.3</v>
      </c>
      <c r="Y5">
        <f t="shared" si="1"/>
        <v>6</v>
      </c>
    </row>
    <row r="6" spans="1:43" x14ac:dyDescent="0.3">
      <c r="A6" s="10">
        <f>'results and SN plots'!G6</f>
        <v>500</v>
      </c>
      <c r="B6" s="10">
        <f>'results and SN plots'!B6</f>
        <v>0.2</v>
      </c>
      <c r="C6" s="10">
        <f>'results and SN plots'!C6</f>
        <v>0.65</v>
      </c>
      <c r="D6" s="10">
        <f>'results and SN plots'!E6</f>
        <v>3</v>
      </c>
      <c r="E6" s="10">
        <f>'results and SN plots'!F6</f>
        <v>16</v>
      </c>
      <c r="F6" s="10">
        <f>'results and SN plots'!D6</f>
        <v>0.38</v>
      </c>
      <c r="G6" s="10">
        <f>'results and SN plots'!H6</f>
        <v>1.1000000000000001</v>
      </c>
      <c r="H6" s="55">
        <f>'results and SN plots'!AG27</f>
        <v>18.161000000000005</v>
      </c>
      <c r="I6" s="56">
        <f>'results and SN plots'!AK27</f>
        <v>775</v>
      </c>
      <c r="J6" s="10">
        <f>'results and SN plots'!AM27</f>
        <v>3.3</v>
      </c>
      <c r="K6" s="10">
        <f>'results and SN plots'!AP27</f>
        <v>6</v>
      </c>
      <c r="L6">
        <f>'results and SN plots'!AQ27</f>
        <v>0.88</v>
      </c>
      <c r="O6">
        <f t="shared" si="2"/>
        <v>400</v>
      </c>
      <c r="P6">
        <f t="shared" si="1"/>
        <v>0.3</v>
      </c>
      <c r="Q6">
        <f t="shared" si="1"/>
        <v>0.65</v>
      </c>
      <c r="R6">
        <f t="shared" si="1"/>
        <v>3</v>
      </c>
      <c r="S6">
        <f t="shared" si="1"/>
        <v>12</v>
      </c>
      <c r="T6">
        <f t="shared" si="1"/>
        <v>0.36</v>
      </c>
      <c r="U6">
        <f t="shared" si="1"/>
        <v>0.7</v>
      </c>
      <c r="V6">
        <f t="shared" si="1"/>
        <v>21.417000000000002</v>
      </c>
      <c r="W6">
        <f t="shared" si="1"/>
        <v>567</v>
      </c>
      <c r="X6">
        <f t="shared" si="1"/>
        <v>10.14</v>
      </c>
      <c r="Y6">
        <f t="shared" si="1"/>
        <v>13</v>
      </c>
    </row>
    <row r="7" spans="1:43" x14ac:dyDescent="0.3">
      <c r="A7" s="10">
        <f>'results and SN plots'!G13</f>
        <v>400</v>
      </c>
      <c r="B7" s="10">
        <f>'results and SN plots'!B13</f>
        <v>0.3</v>
      </c>
      <c r="C7" s="10">
        <f>'results and SN plots'!C13</f>
        <v>0.65</v>
      </c>
      <c r="D7" s="10">
        <f>'results and SN plots'!E13</f>
        <v>3</v>
      </c>
      <c r="E7" s="10">
        <f>'results and SN plots'!F13</f>
        <v>12</v>
      </c>
      <c r="F7" s="10">
        <f>'results and SN plots'!D13</f>
        <v>0.36</v>
      </c>
      <c r="G7" s="10">
        <f>'results and SN plots'!H13</f>
        <v>0.7</v>
      </c>
      <c r="H7" s="55">
        <f>'results and SN plots'!AG34</f>
        <v>21.417000000000002</v>
      </c>
      <c r="I7" s="56">
        <f>'results and SN plots'!AK34</f>
        <v>567</v>
      </c>
      <c r="J7" s="10">
        <f>'results and SN plots'!AM34</f>
        <v>10.14</v>
      </c>
      <c r="K7" s="10">
        <f>'results and SN plots'!AP34</f>
        <v>13</v>
      </c>
      <c r="L7">
        <f>'results and SN plots'!AQ34</f>
        <v>0.67</v>
      </c>
      <c r="O7">
        <f t="shared" si="2"/>
        <v>450</v>
      </c>
      <c r="P7">
        <f t="shared" si="1"/>
        <v>0.3</v>
      </c>
      <c r="Q7">
        <f t="shared" si="1"/>
        <v>0.45</v>
      </c>
      <c r="R7">
        <f t="shared" si="1"/>
        <v>2</v>
      </c>
      <c r="S7">
        <f t="shared" si="1"/>
        <v>16</v>
      </c>
      <c r="T7">
        <f t="shared" si="1"/>
        <v>0.38</v>
      </c>
      <c r="U7">
        <f t="shared" si="1"/>
        <v>0.9</v>
      </c>
      <c r="V7">
        <f t="shared" si="1"/>
        <v>32.725000000000001</v>
      </c>
      <c r="W7">
        <f t="shared" si="1"/>
        <v>540</v>
      </c>
      <c r="X7">
        <f t="shared" si="1"/>
        <v>15.5</v>
      </c>
      <c r="Y7">
        <f t="shared" si="1"/>
        <v>22</v>
      </c>
    </row>
    <row r="8" spans="1:43" x14ac:dyDescent="0.3">
      <c r="A8" s="10">
        <f>'results and SN plots'!G14</f>
        <v>450</v>
      </c>
      <c r="B8" s="10">
        <f>'results and SN plots'!B14</f>
        <v>0.3</v>
      </c>
      <c r="C8" s="10">
        <f>'results and SN plots'!C14</f>
        <v>0.45</v>
      </c>
      <c r="D8" s="10">
        <f>'results and SN plots'!E14</f>
        <v>2</v>
      </c>
      <c r="E8" s="10">
        <f>'results and SN plots'!F14</f>
        <v>16</v>
      </c>
      <c r="F8" s="10">
        <f>'results and SN plots'!D14</f>
        <v>0.38</v>
      </c>
      <c r="G8" s="10">
        <f>'results and SN plots'!H14</f>
        <v>0.9</v>
      </c>
      <c r="H8" s="55">
        <f>'results and SN plots'!AG35</f>
        <v>32.725000000000001</v>
      </c>
      <c r="I8" s="56">
        <f>'results and SN plots'!AK35</f>
        <v>540</v>
      </c>
      <c r="J8" s="10">
        <f>'results and SN plots'!AM35</f>
        <v>15.5</v>
      </c>
      <c r="K8" s="10">
        <f>'results and SN plots'!AP35</f>
        <v>22</v>
      </c>
      <c r="L8">
        <f>'results and SN plots'!AQ35</f>
        <v>0.31</v>
      </c>
      <c r="O8">
        <f t="shared" si="2"/>
        <v>500</v>
      </c>
      <c r="P8">
        <f t="shared" si="1"/>
        <v>0.3</v>
      </c>
      <c r="Q8">
        <f t="shared" si="1"/>
        <v>0.55000000000000004</v>
      </c>
      <c r="R8">
        <f t="shared" si="1"/>
        <v>2.5</v>
      </c>
      <c r="S8">
        <f t="shared" si="1"/>
        <v>8</v>
      </c>
      <c r="T8">
        <f t="shared" si="1"/>
        <v>0.34</v>
      </c>
      <c r="U8">
        <f t="shared" si="1"/>
        <v>1.1000000000000001</v>
      </c>
      <c r="V8">
        <f t="shared" si="1"/>
        <v>26.41</v>
      </c>
      <c r="W8">
        <f t="shared" si="1"/>
        <v>572</v>
      </c>
      <c r="X8">
        <f t="shared" si="1"/>
        <v>18.5</v>
      </c>
      <c r="Y8">
        <f t="shared" si="1"/>
        <v>29</v>
      </c>
    </row>
    <row r="9" spans="1:43" x14ac:dyDescent="0.3">
      <c r="A9" s="10">
        <f>'results and SN plots'!G15</f>
        <v>500</v>
      </c>
      <c r="B9" s="10">
        <f>'results and SN plots'!B15</f>
        <v>0.3</v>
      </c>
      <c r="C9" s="10">
        <f>'results and SN plots'!C15</f>
        <v>0.55000000000000004</v>
      </c>
      <c r="D9" s="10">
        <f>'results and SN plots'!E15</f>
        <v>2.5</v>
      </c>
      <c r="E9" s="10">
        <f>'results and SN plots'!F15</f>
        <v>8</v>
      </c>
      <c r="F9" s="10">
        <f>'results and SN plots'!D15</f>
        <v>0.34</v>
      </c>
      <c r="G9" s="10">
        <f>'results and SN plots'!H15</f>
        <v>1.1000000000000001</v>
      </c>
      <c r="H9" s="55">
        <f>'results and SN plots'!AG36</f>
        <v>26.41</v>
      </c>
      <c r="I9" s="56">
        <f>'results and SN plots'!AK36</f>
        <v>572</v>
      </c>
      <c r="J9" s="10">
        <f>'results and SN plots'!AM36</f>
        <v>18.5</v>
      </c>
      <c r="K9" s="10">
        <f>'results and SN plots'!AP36</f>
        <v>29</v>
      </c>
      <c r="L9">
        <f>'results and SN plots'!AQ36</f>
        <v>0.24</v>
      </c>
    </row>
    <row r="10" spans="1:43" x14ac:dyDescent="0.3">
      <c r="H10" s="33"/>
      <c r="I10" s="37"/>
    </row>
    <row r="11" spans="1:43" s="36" customFormat="1" x14ac:dyDescent="0.3">
      <c r="A11" s="62" t="s">
        <v>99</v>
      </c>
      <c r="H11" s="43"/>
      <c r="I11" s="44"/>
      <c r="L11" s="62" t="s">
        <v>93</v>
      </c>
      <c r="V11" s="62" t="s">
        <v>74</v>
      </c>
      <c r="AF11" s="62" t="s">
        <v>103</v>
      </c>
      <c r="AP11" s="36" t="s">
        <v>205</v>
      </c>
    </row>
    <row r="12" spans="1:43" x14ac:dyDescent="0.3">
      <c r="A12" s="36" t="s">
        <v>153</v>
      </c>
      <c r="L12" t="s">
        <v>153</v>
      </c>
      <c r="V12" t="s">
        <v>153</v>
      </c>
      <c r="AF12" t="s">
        <v>153</v>
      </c>
      <c r="AP12" t="s">
        <v>153</v>
      </c>
    </row>
    <row r="13" spans="1:43" ht="15" thickBot="1" x14ac:dyDescent="0.35"/>
    <row r="14" spans="1:43" x14ac:dyDescent="0.3">
      <c r="A14" s="59" t="s">
        <v>154</v>
      </c>
      <c r="B14" s="59"/>
      <c r="L14" s="59" t="s">
        <v>154</v>
      </c>
      <c r="M14" s="59"/>
      <c r="V14" s="59" t="s">
        <v>154</v>
      </c>
      <c r="W14" s="59"/>
      <c r="AF14" s="59" t="s">
        <v>154</v>
      </c>
      <c r="AG14" s="59"/>
      <c r="AP14" s="59" t="s">
        <v>154</v>
      </c>
      <c r="AQ14" s="59"/>
    </row>
    <row r="15" spans="1:43" x14ac:dyDescent="0.3">
      <c r="A15" t="s">
        <v>155</v>
      </c>
      <c r="B15">
        <v>0.28776255452175376</v>
      </c>
      <c r="L15" t="s">
        <v>155</v>
      </c>
      <c r="M15">
        <v>0.99836820597958897</v>
      </c>
      <c r="V15" t="s">
        <v>155</v>
      </c>
      <c r="W15">
        <v>1</v>
      </c>
      <c r="AF15" t="s">
        <v>155</v>
      </c>
      <c r="AG15">
        <v>0.99914383545947516</v>
      </c>
      <c r="AP15" t="s">
        <v>155</v>
      </c>
      <c r="AQ15">
        <v>0.99652875121395246</v>
      </c>
    </row>
    <row r="16" spans="1:43" x14ac:dyDescent="0.3">
      <c r="A16" t="s">
        <v>156</v>
      </c>
      <c r="B16">
        <v>8.2807287784885303E-2</v>
      </c>
      <c r="L16" t="s">
        <v>156</v>
      </c>
      <c r="M16">
        <v>0.99673907471090295</v>
      </c>
      <c r="V16" t="s">
        <v>156</v>
      </c>
      <c r="W16">
        <v>1</v>
      </c>
      <c r="AF16" t="s">
        <v>156</v>
      </c>
      <c r="AG16">
        <v>0.99828840393667084</v>
      </c>
      <c r="AP16" t="s">
        <v>156</v>
      </c>
      <c r="AQ16">
        <v>0.99306955199603963</v>
      </c>
    </row>
    <row r="17" spans="1:50" x14ac:dyDescent="0.3">
      <c r="A17" t="s">
        <v>157</v>
      </c>
      <c r="B17">
        <v>-0.14649089026889336</v>
      </c>
      <c r="L17" t="s">
        <v>157</v>
      </c>
      <c r="M17">
        <v>-2.0163046264454856</v>
      </c>
      <c r="V17" t="s">
        <v>157</v>
      </c>
      <c r="W17">
        <v>65535</v>
      </c>
      <c r="AF17" t="s">
        <v>157</v>
      </c>
      <c r="AG17">
        <v>-2.0085579803166453</v>
      </c>
      <c r="AP17" t="s">
        <v>157</v>
      </c>
      <c r="AQ17">
        <v>-2.0346522400198017</v>
      </c>
    </row>
    <row r="18" spans="1:50" x14ac:dyDescent="0.3">
      <c r="A18" t="s">
        <v>158</v>
      </c>
      <c r="B18">
        <v>7.4457857305883666</v>
      </c>
      <c r="L18" t="s">
        <v>158</v>
      </c>
      <c r="M18">
        <v>16.37075644760079</v>
      </c>
      <c r="V18" t="s">
        <v>158</v>
      </c>
      <c r="W18">
        <v>0</v>
      </c>
      <c r="AF18" t="s">
        <v>158</v>
      </c>
      <c r="AG18">
        <v>0.81649658092772892</v>
      </c>
      <c r="AP18" t="s">
        <v>158</v>
      </c>
      <c r="AQ18">
        <v>5.7154760664940851E-2</v>
      </c>
    </row>
    <row r="19" spans="1:50" ht="15" thickBot="1" x14ac:dyDescent="0.35">
      <c r="A19" s="57" t="s">
        <v>159</v>
      </c>
      <c r="B19" s="57">
        <v>6</v>
      </c>
      <c r="L19" s="57" t="s">
        <v>159</v>
      </c>
      <c r="M19" s="57">
        <v>6</v>
      </c>
      <c r="V19" s="57" t="s">
        <v>159</v>
      </c>
      <c r="W19" s="57">
        <v>5</v>
      </c>
      <c r="AF19" s="57" t="s">
        <v>159</v>
      </c>
      <c r="AG19" s="57">
        <v>6</v>
      </c>
      <c r="AP19" s="57" t="s">
        <v>159</v>
      </c>
      <c r="AQ19" s="57">
        <v>6</v>
      </c>
    </row>
    <row r="21" spans="1:50" ht="15" thickBot="1" x14ac:dyDescent="0.35">
      <c r="A21" t="s">
        <v>160</v>
      </c>
      <c r="L21" t="s">
        <v>160</v>
      </c>
      <c r="V21" t="s">
        <v>160</v>
      </c>
      <c r="AF21" t="s">
        <v>160</v>
      </c>
      <c r="AP21" t="s">
        <v>160</v>
      </c>
    </row>
    <row r="22" spans="1:50" x14ac:dyDescent="0.3">
      <c r="A22" s="58"/>
      <c r="B22" s="58" t="s">
        <v>165</v>
      </c>
      <c r="C22" s="58" t="s">
        <v>136</v>
      </c>
      <c r="D22" s="58" t="s">
        <v>166</v>
      </c>
      <c r="E22" s="58" t="s">
        <v>167</v>
      </c>
      <c r="F22" s="58" t="s">
        <v>168</v>
      </c>
      <c r="L22" s="58"/>
      <c r="M22" s="58" t="s">
        <v>165</v>
      </c>
      <c r="N22" s="58" t="s">
        <v>136</v>
      </c>
      <c r="O22" s="58" t="s">
        <v>166</v>
      </c>
      <c r="P22" s="58" t="s">
        <v>167</v>
      </c>
      <c r="Q22" s="58" t="s">
        <v>168</v>
      </c>
      <c r="V22" s="58"/>
      <c r="W22" s="58" t="s">
        <v>165</v>
      </c>
      <c r="X22" s="58" t="s">
        <v>136</v>
      </c>
      <c r="Y22" s="58" t="s">
        <v>166</v>
      </c>
      <c r="Z22" s="58" t="s">
        <v>167</v>
      </c>
      <c r="AA22" s="58" t="s">
        <v>168</v>
      </c>
      <c r="AF22" s="58"/>
      <c r="AG22" s="58" t="s">
        <v>165</v>
      </c>
      <c r="AH22" s="58" t="s">
        <v>136</v>
      </c>
      <c r="AI22" s="58" t="s">
        <v>166</v>
      </c>
      <c r="AJ22" s="58" t="s">
        <v>167</v>
      </c>
      <c r="AK22" s="58" t="s">
        <v>168</v>
      </c>
      <c r="AP22" s="58"/>
      <c r="AQ22" s="58" t="s">
        <v>165</v>
      </c>
      <c r="AR22" s="58" t="s">
        <v>136</v>
      </c>
      <c r="AS22" s="58" t="s">
        <v>166</v>
      </c>
      <c r="AT22" s="58" t="s">
        <v>167</v>
      </c>
      <c r="AU22" s="58" t="s">
        <v>168</v>
      </c>
    </row>
    <row r="23" spans="1:50" x14ac:dyDescent="0.3">
      <c r="A23" t="s">
        <v>161</v>
      </c>
      <c r="B23">
        <v>1</v>
      </c>
      <c r="C23">
        <v>20.021150250000034</v>
      </c>
      <c r="D23">
        <v>20.021150250000034</v>
      </c>
      <c r="E23">
        <v>0.36113364915382801</v>
      </c>
      <c r="F23">
        <v>0.58027058655036767</v>
      </c>
      <c r="L23" t="s">
        <v>161</v>
      </c>
      <c r="M23">
        <v>7</v>
      </c>
      <c r="N23">
        <v>81917.771666666726</v>
      </c>
      <c r="O23">
        <v>11702.538809523818</v>
      </c>
      <c r="P23">
        <v>76.415356558729016</v>
      </c>
      <c r="Q23" t="e">
        <v>#NUM!</v>
      </c>
      <c r="V23" t="s">
        <v>161</v>
      </c>
      <c r="W23">
        <v>7</v>
      </c>
      <c r="X23">
        <v>137.23487999999998</v>
      </c>
      <c r="Y23">
        <v>19.604982857142854</v>
      </c>
      <c r="Z23" t="e">
        <v>#NUM!</v>
      </c>
      <c r="AA23" t="e">
        <v>#NUM!</v>
      </c>
      <c r="AF23" t="s">
        <v>161</v>
      </c>
      <c r="AG23">
        <v>7</v>
      </c>
      <c r="AH23">
        <v>388.83333333333331</v>
      </c>
      <c r="AI23">
        <v>55.547619047619044</v>
      </c>
      <c r="AJ23">
        <v>145.81249999999895</v>
      </c>
      <c r="AK23" t="e">
        <v>#NUM!</v>
      </c>
      <c r="AP23" t="s">
        <v>161</v>
      </c>
      <c r="AQ23">
        <v>7</v>
      </c>
      <c r="AR23">
        <v>0.46808333333333335</v>
      </c>
      <c r="AS23">
        <v>6.686904761904762E-2</v>
      </c>
      <c r="AT23">
        <v>35.822704081632622</v>
      </c>
      <c r="AU23" t="e">
        <v>#NUM!</v>
      </c>
    </row>
    <row r="24" spans="1:50" x14ac:dyDescent="0.3">
      <c r="A24" t="s">
        <v>162</v>
      </c>
      <c r="B24">
        <v>4</v>
      </c>
      <c r="C24">
        <v>221.75890058333334</v>
      </c>
      <c r="D24">
        <v>55.439725145833336</v>
      </c>
      <c r="L24" t="s">
        <v>162</v>
      </c>
      <c r="M24">
        <v>1</v>
      </c>
      <c r="N24">
        <v>268.00166666666286</v>
      </c>
      <c r="O24">
        <v>268.00166666666286</v>
      </c>
      <c r="V24" t="s">
        <v>162</v>
      </c>
      <c r="W24">
        <v>0</v>
      </c>
      <c r="X24">
        <v>0</v>
      </c>
      <c r="Y24">
        <v>65535</v>
      </c>
      <c r="AF24" t="s">
        <v>162</v>
      </c>
      <c r="AG24">
        <v>1</v>
      </c>
      <c r="AH24">
        <v>0.6666666666666714</v>
      </c>
      <c r="AI24">
        <v>0.6666666666666714</v>
      </c>
      <c r="AP24" t="s">
        <v>162</v>
      </c>
      <c r="AQ24">
        <v>1</v>
      </c>
      <c r="AR24">
        <v>3.2666666666666699E-3</v>
      </c>
      <c r="AS24">
        <v>3.2666666666666699E-3</v>
      </c>
    </row>
    <row r="25" spans="1:50" ht="15" thickBot="1" x14ac:dyDescent="0.35">
      <c r="A25" s="57" t="s">
        <v>163</v>
      </c>
      <c r="B25" s="57">
        <v>5</v>
      </c>
      <c r="C25" s="57">
        <v>241.78005083333338</v>
      </c>
      <c r="D25" s="57"/>
      <c r="E25" s="57"/>
      <c r="F25" s="57"/>
      <c r="L25" s="57" t="s">
        <v>163</v>
      </c>
      <c r="M25" s="57">
        <v>8</v>
      </c>
      <c r="N25" s="57">
        <v>82185.773333333389</v>
      </c>
      <c r="O25" s="57"/>
      <c r="P25" s="57"/>
      <c r="Q25" s="57"/>
      <c r="V25" s="57" t="s">
        <v>163</v>
      </c>
      <c r="W25" s="57">
        <v>7</v>
      </c>
      <c r="X25" s="57">
        <v>137.23487999999998</v>
      </c>
      <c r="Y25" s="57"/>
      <c r="Z25" s="57"/>
      <c r="AA25" s="57"/>
      <c r="AF25" s="57" t="s">
        <v>163</v>
      </c>
      <c r="AG25" s="57">
        <v>8</v>
      </c>
      <c r="AH25" s="57">
        <v>389.5</v>
      </c>
      <c r="AI25" s="57"/>
      <c r="AJ25" s="57"/>
      <c r="AK25" s="57"/>
      <c r="AP25" s="57" t="s">
        <v>163</v>
      </c>
      <c r="AQ25" s="57">
        <v>8</v>
      </c>
      <c r="AR25" s="57">
        <v>0.47135000000000005</v>
      </c>
      <c r="AS25" s="57"/>
      <c r="AT25" s="57"/>
      <c r="AU25" s="57"/>
    </row>
    <row r="26" spans="1:50" ht="15" thickBot="1" x14ac:dyDescent="0.35"/>
    <row r="27" spans="1:50" x14ac:dyDescent="0.3">
      <c r="A27" s="58"/>
      <c r="B27" s="58" t="s">
        <v>169</v>
      </c>
      <c r="C27" s="58" t="s">
        <v>158</v>
      </c>
      <c r="D27" s="58" t="s">
        <v>170</v>
      </c>
      <c r="E27" s="58" t="s">
        <v>171</v>
      </c>
      <c r="F27" s="58" t="s">
        <v>172</v>
      </c>
      <c r="G27" s="58" t="s">
        <v>173</v>
      </c>
      <c r="H27" s="58" t="s">
        <v>174</v>
      </c>
      <c r="I27" s="58" t="s">
        <v>175</v>
      </c>
      <c r="L27" s="58"/>
      <c r="M27" s="58" t="s">
        <v>169</v>
      </c>
      <c r="N27" s="58" t="s">
        <v>158</v>
      </c>
      <c r="O27" s="58" t="s">
        <v>170</v>
      </c>
      <c r="P27" s="58" t="s">
        <v>171</v>
      </c>
      <c r="Q27" s="58" t="s">
        <v>172</v>
      </c>
      <c r="R27" s="58" t="s">
        <v>173</v>
      </c>
      <c r="S27" s="58" t="s">
        <v>174</v>
      </c>
      <c r="T27" s="58" t="s">
        <v>175</v>
      </c>
      <c r="V27" s="58"/>
      <c r="W27" s="58" t="s">
        <v>169</v>
      </c>
      <c r="X27" s="58" t="s">
        <v>158</v>
      </c>
      <c r="Y27" s="58" t="s">
        <v>170</v>
      </c>
      <c r="Z27" s="58" t="s">
        <v>171</v>
      </c>
      <c r="AA27" s="58" t="s">
        <v>172</v>
      </c>
      <c r="AB27" s="58" t="s">
        <v>173</v>
      </c>
      <c r="AC27" s="58" t="s">
        <v>174</v>
      </c>
      <c r="AD27" s="58" t="s">
        <v>175</v>
      </c>
      <c r="AF27" s="58"/>
      <c r="AG27" s="58" t="s">
        <v>169</v>
      </c>
      <c r="AH27" s="58" t="s">
        <v>158</v>
      </c>
      <c r="AI27" s="58" t="s">
        <v>170</v>
      </c>
      <c r="AJ27" s="58" t="s">
        <v>171</v>
      </c>
      <c r="AK27" s="58" t="s">
        <v>172</v>
      </c>
      <c r="AL27" s="58" t="s">
        <v>173</v>
      </c>
      <c r="AM27" s="58" t="s">
        <v>174</v>
      </c>
      <c r="AN27" s="58" t="s">
        <v>175</v>
      </c>
      <c r="AP27" s="58"/>
      <c r="AQ27" s="58" t="s">
        <v>169</v>
      </c>
      <c r="AR27" s="58" t="s">
        <v>158</v>
      </c>
      <c r="AS27" s="58" t="s">
        <v>170</v>
      </c>
      <c r="AT27" s="58" t="s">
        <v>171</v>
      </c>
      <c r="AU27" s="58" t="s">
        <v>172</v>
      </c>
      <c r="AV27" s="58" t="s">
        <v>173</v>
      </c>
      <c r="AW27" s="58" t="s">
        <v>174</v>
      </c>
      <c r="AX27" s="58" t="s">
        <v>175</v>
      </c>
    </row>
    <row r="28" spans="1:50" x14ac:dyDescent="0.3">
      <c r="A28" s="60" t="s">
        <v>164</v>
      </c>
      <c r="B28" s="60">
        <v>-0.98008333333332587</v>
      </c>
      <c r="C28">
        <v>33.643638156330489</v>
      </c>
      <c r="D28">
        <v>-2.9131312397880797E-2</v>
      </c>
      <c r="E28">
        <v>0.9781553776230969</v>
      </c>
      <c r="F28">
        <v>-94.389797813522833</v>
      </c>
      <c r="G28">
        <v>92.429631146856181</v>
      </c>
      <c r="H28">
        <v>-94.389797813522833</v>
      </c>
      <c r="I28">
        <v>92.429631146856181</v>
      </c>
      <c r="L28" t="s">
        <v>164</v>
      </c>
      <c r="M28">
        <v>-536.88333333333321</v>
      </c>
      <c r="N28">
        <v>84.450116220343503</v>
      </c>
      <c r="O28">
        <v>-6.3574019475890475</v>
      </c>
      <c r="P28">
        <v>9.9324517360869113E-2</v>
      </c>
      <c r="Q28">
        <v>-1609.9238000227663</v>
      </c>
      <c r="R28">
        <v>536.15713335609985</v>
      </c>
      <c r="S28">
        <v>-536.88333333333321</v>
      </c>
      <c r="T28">
        <v>-536.88333333333321</v>
      </c>
      <c r="V28" t="s">
        <v>164</v>
      </c>
      <c r="W28">
        <v>60.059999999999974</v>
      </c>
      <c r="X28">
        <v>0</v>
      </c>
      <c r="Y28">
        <v>65535</v>
      </c>
      <c r="Z28" t="e">
        <v>#NUM!</v>
      </c>
      <c r="AA28">
        <v>60.059999999999974</v>
      </c>
      <c r="AB28">
        <v>60.059999999999974</v>
      </c>
      <c r="AC28">
        <v>60.059999999999974</v>
      </c>
      <c r="AD28">
        <v>60.059999999999974</v>
      </c>
      <c r="AF28" t="s">
        <v>164</v>
      </c>
      <c r="AG28">
        <v>13.999999999999993</v>
      </c>
      <c r="AH28">
        <v>4.2119758713388737</v>
      </c>
      <c r="AI28">
        <v>3.3238556980502763</v>
      </c>
      <c r="AJ28">
        <v>0.1860466522811712</v>
      </c>
      <c r="AK28">
        <v>-39.518227765059592</v>
      </c>
      <c r="AL28">
        <v>67.518227765059578</v>
      </c>
      <c r="AM28">
        <v>13.999999999999993</v>
      </c>
      <c r="AN28">
        <v>13.999999999999993</v>
      </c>
      <c r="AP28" t="s">
        <v>164</v>
      </c>
      <c r="AQ28">
        <v>-1.1233333333333326</v>
      </c>
      <c r="AR28">
        <v>0.29483831099372021</v>
      </c>
      <c r="AS28">
        <v>-3.809997857969206</v>
      </c>
      <c r="AT28">
        <v>0.16340614657040739</v>
      </c>
      <c r="AU28">
        <v>-4.8696092768874912</v>
      </c>
      <c r="AV28">
        <v>2.622942610220826</v>
      </c>
      <c r="AW28">
        <v>-1.1233333333333326</v>
      </c>
      <c r="AX28">
        <v>-1.1233333333333326</v>
      </c>
    </row>
    <row r="29" spans="1:50" ht="15" thickBot="1" x14ac:dyDescent="0.35">
      <c r="A29" s="61" t="s">
        <v>24</v>
      </c>
      <c r="B29" s="61">
        <v>4.4744999999999986E-2</v>
      </c>
      <c r="C29" s="57">
        <v>7.4457857305883654E-2</v>
      </c>
      <c r="D29" s="57">
        <v>0.60094396506981196</v>
      </c>
      <c r="E29" s="57">
        <v>0.58027058655036801</v>
      </c>
      <c r="F29" s="57">
        <v>-0.16198315346043646</v>
      </c>
      <c r="G29" s="57">
        <v>0.25147315346043642</v>
      </c>
      <c r="H29" s="57">
        <v>-0.16198315346043646</v>
      </c>
      <c r="I29" s="57">
        <v>0.25147315346043642</v>
      </c>
      <c r="L29" t="s">
        <v>24</v>
      </c>
      <c r="M29">
        <v>1.5563333333333331</v>
      </c>
      <c r="N29">
        <v>0.17256292464768477</v>
      </c>
      <c r="O29">
        <v>9.0189322909937939</v>
      </c>
      <c r="P29">
        <v>7.0299895956453098E-2</v>
      </c>
      <c r="Q29">
        <v>-0.63628651711323836</v>
      </c>
      <c r="R29">
        <v>3.7489531837799044</v>
      </c>
      <c r="S29">
        <v>1.5563333333333331</v>
      </c>
      <c r="T29">
        <v>1.5563333333333331</v>
      </c>
      <c r="V29" t="s">
        <v>24</v>
      </c>
      <c r="W29">
        <v>-1.5599999999999959E-2</v>
      </c>
      <c r="X29">
        <v>0</v>
      </c>
      <c r="Y29">
        <v>65535</v>
      </c>
      <c r="Z29" t="e">
        <v>#NUM!</v>
      </c>
      <c r="AA29">
        <v>-1.5599999999999959E-2</v>
      </c>
      <c r="AB29">
        <v>-1.5599999999999959E-2</v>
      </c>
      <c r="AC29">
        <v>-1.5599999999999959E-2</v>
      </c>
      <c r="AD29">
        <v>-1.5599999999999959E-2</v>
      </c>
      <c r="AF29" t="s">
        <v>24</v>
      </c>
      <c r="AG29">
        <v>0.08</v>
      </c>
      <c r="AH29">
        <v>8.6066296582387337E-3</v>
      </c>
      <c r="AI29">
        <v>9.2951600308977689</v>
      </c>
      <c r="AJ29">
        <v>6.8226968865840329E-2</v>
      </c>
      <c r="AK29">
        <v>-2.9357598526014689E-2</v>
      </c>
      <c r="AL29">
        <v>0.18935759852601469</v>
      </c>
      <c r="AM29">
        <v>0.08</v>
      </c>
      <c r="AN29">
        <v>0.08</v>
      </c>
      <c r="AP29" t="s">
        <v>24</v>
      </c>
      <c r="AQ29">
        <v>-6.6666666666665694E-5</v>
      </c>
      <c r="AR29">
        <v>6.0246407607670942E-4</v>
      </c>
      <c r="AS29">
        <v>-0.11065666703449599</v>
      </c>
      <c r="AT29">
        <v>0.9298392192183268</v>
      </c>
      <c r="AU29">
        <v>-7.7216985634876696E-3</v>
      </c>
      <c r="AV29">
        <v>7.5883652301543389E-3</v>
      </c>
      <c r="AW29">
        <v>-6.6666666666665694E-5</v>
      </c>
      <c r="AX29">
        <v>-6.6666666666665694E-5</v>
      </c>
    </row>
    <row r="30" spans="1:50" x14ac:dyDescent="0.3">
      <c r="L30" t="s">
        <v>59</v>
      </c>
      <c r="M30">
        <v>-251.3333333333334</v>
      </c>
      <c r="N30">
        <v>133.66666666666572</v>
      </c>
      <c r="O30">
        <v>-1.8802992518703381</v>
      </c>
      <c r="P30">
        <v>0.31117106544226081</v>
      </c>
      <c r="Q30">
        <v>-1949.7293664020071</v>
      </c>
      <c r="R30">
        <v>1447.0626997353402</v>
      </c>
      <c r="S30">
        <v>-251.3333333333334</v>
      </c>
      <c r="T30">
        <v>-251.3333333333334</v>
      </c>
      <c r="V30" t="s">
        <v>59</v>
      </c>
      <c r="W30">
        <v>7.1333333333333382</v>
      </c>
      <c r="X30">
        <v>0</v>
      </c>
      <c r="Y30">
        <v>65535</v>
      </c>
      <c r="Z30" t="e">
        <v>#NUM!</v>
      </c>
      <c r="AA30">
        <v>7.1333333333333382</v>
      </c>
      <c r="AB30">
        <v>7.1333333333333382</v>
      </c>
      <c r="AC30">
        <v>7.1333333333333382</v>
      </c>
      <c r="AD30">
        <v>7.1333333333333382</v>
      </c>
      <c r="AF30" t="s">
        <v>59</v>
      </c>
      <c r="AG30">
        <v>63.33333333333335</v>
      </c>
      <c r="AH30">
        <v>6.6666666666666909</v>
      </c>
      <c r="AI30">
        <v>9.499999999999968</v>
      </c>
      <c r="AJ30">
        <v>6.6766732861050504E-2</v>
      </c>
      <c r="AK30">
        <v>-21.374698241165</v>
      </c>
      <c r="AL30">
        <v>148.04136490783171</v>
      </c>
      <c r="AM30">
        <v>63.33333333333335</v>
      </c>
      <c r="AN30">
        <v>63.33333333333335</v>
      </c>
      <c r="AP30" t="s">
        <v>59</v>
      </c>
      <c r="AQ30">
        <v>-0.7666666666666675</v>
      </c>
      <c r="AR30">
        <v>0.4666666666666669</v>
      </c>
      <c r="AS30">
        <v>-1.6428571428571439</v>
      </c>
      <c r="AT30">
        <v>0.34809658742004612</v>
      </c>
      <c r="AU30">
        <v>-6.6962288768815332</v>
      </c>
      <c r="AV30">
        <v>5.1628955435481982</v>
      </c>
      <c r="AW30">
        <v>-0.7666666666666675</v>
      </c>
      <c r="AX30">
        <v>-0.7666666666666675</v>
      </c>
    </row>
    <row r="31" spans="1:50" x14ac:dyDescent="0.3">
      <c r="A31" s="36" t="s">
        <v>153</v>
      </c>
      <c r="L31" t="s">
        <v>16</v>
      </c>
      <c r="M31">
        <v>0</v>
      </c>
      <c r="N31">
        <v>0</v>
      </c>
      <c r="O31">
        <v>65535</v>
      </c>
      <c r="P31" t="e">
        <v>#NUM!</v>
      </c>
      <c r="Q31">
        <v>0</v>
      </c>
      <c r="R31">
        <v>0</v>
      </c>
      <c r="S31">
        <v>0</v>
      </c>
      <c r="T31">
        <v>0</v>
      </c>
      <c r="V31" t="s">
        <v>16</v>
      </c>
      <c r="W31">
        <v>0</v>
      </c>
      <c r="X31">
        <v>0</v>
      </c>
      <c r="Y31">
        <v>65535</v>
      </c>
      <c r="Z31" t="e">
        <v>#NUM!</v>
      </c>
      <c r="AA31">
        <v>0</v>
      </c>
      <c r="AB31">
        <v>0</v>
      </c>
      <c r="AC31">
        <v>0</v>
      </c>
      <c r="AD31">
        <v>0</v>
      </c>
      <c r="AF31" t="s">
        <v>16</v>
      </c>
      <c r="AG31">
        <v>0</v>
      </c>
      <c r="AH31">
        <v>0</v>
      </c>
      <c r="AI31">
        <v>65535</v>
      </c>
      <c r="AJ31" t="e">
        <v>#NUM!</v>
      </c>
      <c r="AK31">
        <v>0</v>
      </c>
      <c r="AL31">
        <v>0</v>
      </c>
      <c r="AM31">
        <v>0</v>
      </c>
      <c r="AN31">
        <v>0</v>
      </c>
      <c r="AP31" t="s">
        <v>16</v>
      </c>
      <c r="AQ31">
        <v>0</v>
      </c>
      <c r="AR31">
        <v>0</v>
      </c>
      <c r="AS31">
        <v>65535</v>
      </c>
      <c r="AT31" t="e">
        <v>#NUM!</v>
      </c>
      <c r="AU31">
        <v>0</v>
      </c>
      <c r="AV31">
        <v>0</v>
      </c>
      <c r="AW31">
        <v>0</v>
      </c>
      <c r="AX31">
        <v>0</v>
      </c>
    </row>
    <row r="32" spans="1:50" ht="15" thickBot="1" x14ac:dyDescent="0.35">
      <c r="L32" t="s">
        <v>2</v>
      </c>
      <c r="M32">
        <v>116.03333333333336</v>
      </c>
      <c r="N32">
        <v>17.256292464768475</v>
      </c>
      <c r="O32">
        <v>6.7241172210215066</v>
      </c>
      <c r="P32" t="e">
        <v>#NUM!</v>
      </c>
      <c r="Q32">
        <v>-103.22865171132372</v>
      </c>
      <c r="R32">
        <v>335.29531837799044</v>
      </c>
      <c r="S32">
        <v>116.03333333333336</v>
      </c>
      <c r="T32">
        <v>116.03333333333336</v>
      </c>
      <c r="V32" t="s">
        <v>2</v>
      </c>
      <c r="W32">
        <v>-10.706666666666663</v>
      </c>
      <c r="X32">
        <v>0</v>
      </c>
      <c r="Y32">
        <v>65535</v>
      </c>
      <c r="Z32" t="e">
        <v>#NUM!</v>
      </c>
      <c r="AA32">
        <v>-10.706666666666663</v>
      </c>
      <c r="AB32">
        <v>-10.706666666666663</v>
      </c>
      <c r="AC32">
        <v>-10.706666666666663</v>
      </c>
      <c r="AD32">
        <v>-10.706666666666663</v>
      </c>
      <c r="AF32" t="s">
        <v>2</v>
      </c>
      <c r="AG32">
        <v>-11.333333333333334</v>
      </c>
      <c r="AH32">
        <v>0.86066296582387325</v>
      </c>
      <c r="AI32">
        <v>-13.168143377105174</v>
      </c>
      <c r="AJ32" t="e">
        <v>#NUM!</v>
      </c>
      <c r="AK32">
        <v>-22.2690931859348</v>
      </c>
      <c r="AL32">
        <v>-0.39757348073186627</v>
      </c>
      <c r="AM32">
        <v>-11.333333333333334</v>
      </c>
      <c r="AN32">
        <v>-11.333333333333334</v>
      </c>
      <c r="AP32" t="s">
        <v>2</v>
      </c>
      <c r="AQ32">
        <v>0.5199999999999998</v>
      </c>
      <c r="AR32">
        <v>6.024640760767095E-2</v>
      </c>
      <c r="AS32">
        <v>8.6312200286908087</v>
      </c>
      <c r="AT32" t="e">
        <v>#NUM!</v>
      </c>
      <c r="AU32">
        <v>-0.24550318968210072</v>
      </c>
      <c r="AV32">
        <v>1.2855031896821003</v>
      </c>
      <c r="AW32">
        <v>0.5199999999999998</v>
      </c>
      <c r="AX32">
        <v>0.5199999999999998</v>
      </c>
    </row>
    <row r="33" spans="1:50" x14ac:dyDescent="0.3">
      <c r="A33" s="59" t="s">
        <v>154</v>
      </c>
      <c r="B33" s="59"/>
      <c r="L33" t="s">
        <v>3</v>
      </c>
      <c r="M33">
        <v>16.154166666666665</v>
      </c>
      <c r="N33">
        <v>2.1570365580960598</v>
      </c>
      <c r="O33">
        <v>7.4890555776789336</v>
      </c>
      <c r="P33">
        <v>8.4506802991657304E-2</v>
      </c>
      <c r="Q33">
        <v>-11.253581463915477</v>
      </c>
      <c r="R33">
        <v>43.561914797248804</v>
      </c>
      <c r="S33">
        <v>16.154166666666665</v>
      </c>
      <c r="T33">
        <v>16.154166666666665</v>
      </c>
      <c r="V33" t="s">
        <v>3</v>
      </c>
      <c r="W33">
        <v>-1.1416666666666664</v>
      </c>
      <c r="X33">
        <v>0</v>
      </c>
      <c r="Y33">
        <v>65535</v>
      </c>
      <c r="Z33" t="e">
        <v>#NUM!</v>
      </c>
      <c r="AA33">
        <v>-1.1416666666666664</v>
      </c>
      <c r="AB33">
        <v>-1.1416666666666664</v>
      </c>
      <c r="AC33">
        <v>-1.1416666666666664</v>
      </c>
      <c r="AD33">
        <v>-1.1416666666666664</v>
      </c>
      <c r="AF33" t="s">
        <v>3</v>
      </c>
      <c r="AG33">
        <v>-1.5833333333333335</v>
      </c>
      <c r="AH33">
        <v>0.10758287072798418</v>
      </c>
      <c r="AI33">
        <v>-14.717336715588134</v>
      </c>
      <c r="AJ33">
        <v>4.3190067139465868E-2</v>
      </c>
      <c r="AK33">
        <v>-2.9503033149085174</v>
      </c>
      <c r="AL33">
        <v>-0.21636335175814958</v>
      </c>
      <c r="AM33">
        <v>-1.5833333333333335</v>
      </c>
      <c r="AN33">
        <v>-1.5833333333333335</v>
      </c>
      <c r="AP33" t="s">
        <v>3</v>
      </c>
      <c r="AQ33">
        <v>4.0833333333333319E-2</v>
      </c>
      <c r="AR33">
        <v>7.5308009509588696E-3</v>
      </c>
      <c r="AS33">
        <v>5.4221766846903794</v>
      </c>
      <c r="AT33">
        <v>0.11610571092228725</v>
      </c>
      <c r="AU33">
        <v>-5.485456537692926E-2</v>
      </c>
      <c r="AV33">
        <v>0.1365212320435959</v>
      </c>
      <c r="AW33">
        <v>4.0833333333333319E-2</v>
      </c>
      <c r="AX33">
        <v>4.0833333333333319E-2</v>
      </c>
    </row>
    <row r="34" spans="1:50" x14ac:dyDescent="0.3">
      <c r="A34" t="s">
        <v>155</v>
      </c>
      <c r="B34">
        <v>0.8305809792786768</v>
      </c>
      <c r="L34" t="s">
        <v>1</v>
      </c>
      <c r="M34">
        <v>0</v>
      </c>
      <c r="N34">
        <v>0</v>
      </c>
      <c r="O34">
        <v>65535</v>
      </c>
      <c r="P34" t="e">
        <v>#NUM!</v>
      </c>
      <c r="Q34">
        <v>0</v>
      </c>
      <c r="R34">
        <v>0</v>
      </c>
      <c r="S34">
        <v>0</v>
      </c>
      <c r="T34">
        <v>0</v>
      </c>
      <c r="V34" t="s">
        <v>1</v>
      </c>
      <c r="W34">
        <v>0</v>
      </c>
      <c r="X34">
        <v>0</v>
      </c>
      <c r="Y34">
        <v>65535</v>
      </c>
      <c r="Z34" t="e">
        <v>#NUM!</v>
      </c>
      <c r="AA34">
        <v>0</v>
      </c>
      <c r="AB34">
        <v>0</v>
      </c>
      <c r="AC34">
        <v>0</v>
      </c>
      <c r="AD34">
        <v>0</v>
      </c>
      <c r="AF34" t="s">
        <v>1</v>
      </c>
      <c r="AG34">
        <v>0</v>
      </c>
      <c r="AH34">
        <v>0</v>
      </c>
      <c r="AI34">
        <v>65535</v>
      </c>
      <c r="AJ34" t="e">
        <v>#NUM!</v>
      </c>
      <c r="AK34">
        <v>0</v>
      </c>
      <c r="AL34">
        <v>0</v>
      </c>
      <c r="AM34">
        <v>0</v>
      </c>
      <c r="AN34">
        <v>0</v>
      </c>
      <c r="AP34" t="s">
        <v>1</v>
      </c>
      <c r="AQ34">
        <v>0</v>
      </c>
      <c r="AR34">
        <v>0</v>
      </c>
      <c r="AS34">
        <v>65535</v>
      </c>
      <c r="AT34" t="e">
        <v>#NUM!</v>
      </c>
      <c r="AU34">
        <v>0</v>
      </c>
      <c r="AV34">
        <v>0</v>
      </c>
      <c r="AW34">
        <v>0</v>
      </c>
      <c r="AX34">
        <v>0</v>
      </c>
    </row>
    <row r="35" spans="1:50" ht="15" thickBot="1" x14ac:dyDescent="0.35">
      <c r="A35" t="s">
        <v>156</v>
      </c>
      <c r="B35">
        <v>0.68986476313952572</v>
      </c>
      <c r="L35" s="57" t="s">
        <v>15</v>
      </c>
      <c r="M35" s="57">
        <v>0</v>
      </c>
      <c r="N35" s="57">
        <v>0</v>
      </c>
      <c r="O35" s="57">
        <v>65535</v>
      </c>
      <c r="P35" s="57" t="e">
        <v>#NUM!</v>
      </c>
      <c r="Q35" s="57">
        <v>0</v>
      </c>
      <c r="R35" s="57">
        <v>0</v>
      </c>
      <c r="S35" s="57">
        <v>0</v>
      </c>
      <c r="T35" s="57">
        <v>0</v>
      </c>
      <c r="V35" s="57" t="s">
        <v>15</v>
      </c>
      <c r="W35" s="57">
        <v>0</v>
      </c>
      <c r="X35" s="57">
        <v>0</v>
      </c>
      <c r="Y35" s="57">
        <v>65535</v>
      </c>
      <c r="Z35" s="57" t="e">
        <v>#NUM!</v>
      </c>
      <c r="AA35" s="57">
        <v>0</v>
      </c>
      <c r="AB35" s="57">
        <v>0</v>
      </c>
      <c r="AC35" s="57">
        <v>0</v>
      </c>
      <c r="AD35" s="57">
        <v>0</v>
      </c>
      <c r="AF35" s="57" t="s">
        <v>15</v>
      </c>
      <c r="AG35" s="57">
        <v>0</v>
      </c>
      <c r="AH35" s="57">
        <v>0</v>
      </c>
      <c r="AI35" s="57">
        <v>65535</v>
      </c>
      <c r="AJ35" s="57" t="e">
        <v>#NUM!</v>
      </c>
      <c r="AK35" s="57">
        <v>0</v>
      </c>
      <c r="AL35" s="57">
        <v>0</v>
      </c>
      <c r="AM35" s="57">
        <v>0</v>
      </c>
      <c r="AN35" s="57">
        <v>0</v>
      </c>
      <c r="AP35" s="57" t="s">
        <v>15</v>
      </c>
      <c r="AQ35" s="57">
        <v>0</v>
      </c>
      <c r="AR35" s="57">
        <v>0</v>
      </c>
      <c r="AS35" s="57">
        <v>65535</v>
      </c>
      <c r="AT35" s="57" t="e">
        <v>#NUM!</v>
      </c>
      <c r="AU35" s="57">
        <v>0</v>
      </c>
      <c r="AV35" s="57">
        <v>0</v>
      </c>
      <c r="AW35" s="57">
        <v>0</v>
      </c>
      <c r="AX35" s="57">
        <v>0</v>
      </c>
    </row>
    <row r="36" spans="1:50" x14ac:dyDescent="0.3">
      <c r="A36" t="s">
        <v>157</v>
      </c>
      <c r="B36">
        <v>0.61233095392440717</v>
      </c>
    </row>
    <row r="37" spans="1:50" x14ac:dyDescent="0.3">
      <c r="A37" t="s">
        <v>158</v>
      </c>
      <c r="B37">
        <v>4.3296799342830576</v>
      </c>
    </row>
    <row r="38" spans="1:50" ht="15" thickBot="1" x14ac:dyDescent="0.35">
      <c r="A38" s="57" t="s">
        <v>159</v>
      </c>
      <c r="B38" s="57">
        <v>6</v>
      </c>
    </row>
    <row r="39" spans="1:50" x14ac:dyDescent="0.3">
      <c r="L39" t="s">
        <v>177</v>
      </c>
      <c r="V39" t="s">
        <v>177</v>
      </c>
      <c r="AF39" t="s">
        <v>177</v>
      </c>
      <c r="AP39" t="s">
        <v>177</v>
      </c>
    </row>
    <row r="40" spans="1:50" ht="15" thickBot="1" x14ac:dyDescent="0.35">
      <c r="A40" t="s">
        <v>160</v>
      </c>
    </row>
    <row r="41" spans="1:50" x14ac:dyDescent="0.3">
      <c r="A41" s="58"/>
      <c r="B41" s="58" t="s">
        <v>165</v>
      </c>
      <c r="C41" s="58" t="s">
        <v>136</v>
      </c>
      <c r="D41" s="58" t="s">
        <v>166</v>
      </c>
      <c r="E41" s="58" t="s">
        <v>167</v>
      </c>
      <c r="F41" s="58" t="s">
        <v>168</v>
      </c>
      <c r="L41" s="58" t="s">
        <v>178</v>
      </c>
      <c r="M41" s="58" t="s">
        <v>181</v>
      </c>
      <c r="N41" s="58" t="s">
        <v>180</v>
      </c>
      <c r="V41" s="58" t="s">
        <v>178</v>
      </c>
      <c r="W41" s="58" t="s">
        <v>182</v>
      </c>
      <c r="X41" s="58" t="s">
        <v>180</v>
      </c>
      <c r="AF41" s="58" t="s">
        <v>178</v>
      </c>
      <c r="AG41" s="58" t="s">
        <v>183</v>
      </c>
      <c r="AH41" s="58" t="s">
        <v>180</v>
      </c>
      <c r="AP41" s="58" t="s">
        <v>178</v>
      </c>
      <c r="AQ41" s="58" t="s">
        <v>206</v>
      </c>
      <c r="AR41" s="58" t="s">
        <v>180</v>
      </c>
    </row>
    <row r="42" spans="1:50" x14ac:dyDescent="0.3">
      <c r="A42" t="s">
        <v>161</v>
      </c>
      <c r="B42">
        <v>1</v>
      </c>
      <c r="C42">
        <v>166.79553750000002</v>
      </c>
      <c r="D42">
        <v>166.79553750000002</v>
      </c>
      <c r="E42">
        <v>8.8975992553840193</v>
      </c>
      <c r="F42">
        <v>4.0622806351124675E-2</v>
      </c>
      <c r="L42">
        <v>1</v>
      </c>
      <c r="M42">
        <v>396.68333333333351</v>
      </c>
      <c r="N42">
        <v>-6.6833333333335077</v>
      </c>
      <c r="V42">
        <v>1</v>
      </c>
      <c r="W42">
        <v>14.000000000000007</v>
      </c>
      <c r="X42">
        <v>-7.1054273576010019E-15</v>
      </c>
      <c r="AF42">
        <v>1</v>
      </c>
      <c r="AG42">
        <v>23.333333333333332</v>
      </c>
      <c r="AH42">
        <v>-0.33333333333333215</v>
      </c>
      <c r="AP42">
        <v>1</v>
      </c>
      <c r="AQ42">
        <v>6.3333333333333797E-2</v>
      </c>
      <c r="AR42">
        <v>-2.3333333333333796E-2</v>
      </c>
    </row>
    <row r="43" spans="1:50" x14ac:dyDescent="0.3">
      <c r="A43" t="s">
        <v>162</v>
      </c>
      <c r="B43">
        <v>4</v>
      </c>
      <c r="C43">
        <v>74.984513333333368</v>
      </c>
      <c r="D43">
        <v>18.746128333333342</v>
      </c>
      <c r="L43">
        <v>2</v>
      </c>
      <c r="M43">
        <v>597.13333333333344</v>
      </c>
      <c r="N43">
        <v>13.366666666666561</v>
      </c>
      <c r="V43">
        <v>2</v>
      </c>
      <c r="W43">
        <v>3.3000000000000078</v>
      </c>
      <c r="X43">
        <v>-7.9936057773011271E-15</v>
      </c>
      <c r="AF43">
        <v>2</v>
      </c>
      <c r="AG43">
        <v>15.333333333333329</v>
      </c>
      <c r="AH43">
        <v>0.6666666666666714</v>
      </c>
      <c r="AP43">
        <v>2</v>
      </c>
      <c r="AQ43">
        <v>0.48333333333333345</v>
      </c>
      <c r="AR43">
        <v>4.6666666666666579E-2</v>
      </c>
    </row>
    <row r="44" spans="1:50" ht="15" thickBot="1" x14ac:dyDescent="0.35">
      <c r="A44" s="57" t="s">
        <v>163</v>
      </c>
      <c r="B44" s="57">
        <v>5</v>
      </c>
      <c r="C44" s="57">
        <v>241.78005083333341</v>
      </c>
      <c r="D44" s="57"/>
      <c r="E44" s="57"/>
      <c r="F44" s="57"/>
      <c r="L44">
        <v>3</v>
      </c>
      <c r="M44">
        <v>797.58333333333326</v>
      </c>
      <c r="N44">
        <v>-6.6833333333331666</v>
      </c>
      <c r="V44">
        <v>3</v>
      </c>
      <c r="W44">
        <v>10.140000000000008</v>
      </c>
      <c r="X44">
        <v>-7.1054273576010019E-15</v>
      </c>
      <c r="AF44">
        <v>3</v>
      </c>
      <c r="AG44">
        <v>7.3333333333333215</v>
      </c>
      <c r="AH44">
        <v>-0.33333333333332149</v>
      </c>
      <c r="AP44">
        <v>3</v>
      </c>
      <c r="AQ44">
        <v>0.90333333333333354</v>
      </c>
      <c r="AR44">
        <v>-2.3333333333333539E-2</v>
      </c>
    </row>
    <row r="45" spans="1:50" ht="15" thickBot="1" x14ac:dyDescent="0.35">
      <c r="L45">
        <v>4</v>
      </c>
      <c r="M45">
        <v>552.20000000000005</v>
      </c>
      <c r="N45">
        <v>0</v>
      </c>
      <c r="V45">
        <v>4</v>
      </c>
      <c r="W45">
        <v>15.500000000000004</v>
      </c>
      <c r="X45">
        <v>-3.5527136788005009E-15</v>
      </c>
      <c r="AF45">
        <v>4</v>
      </c>
      <c r="AG45">
        <v>12</v>
      </c>
      <c r="AH45">
        <v>0</v>
      </c>
      <c r="AP45">
        <v>4</v>
      </c>
      <c r="AQ45">
        <v>0.67000000000000015</v>
      </c>
      <c r="AR45">
        <v>-1.1102230246251565E-16</v>
      </c>
    </row>
    <row r="46" spans="1:50" ht="15" thickBot="1" x14ac:dyDescent="0.35">
      <c r="A46" s="58"/>
      <c r="B46" s="58" t="s">
        <v>169</v>
      </c>
      <c r="C46" s="58" t="s">
        <v>158</v>
      </c>
      <c r="D46" s="58" t="s">
        <v>170</v>
      </c>
      <c r="E46" s="58" t="s">
        <v>171</v>
      </c>
      <c r="F46" s="58" t="s">
        <v>172</v>
      </c>
      <c r="G46" s="58" t="s">
        <v>173</v>
      </c>
      <c r="H46" s="58" t="s">
        <v>174</v>
      </c>
      <c r="I46" s="58" t="s">
        <v>175</v>
      </c>
      <c r="L46">
        <v>5</v>
      </c>
      <c r="M46">
        <v>578.6</v>
      </c>
      <c r="N46">
        <v>0</v>
      </c>
      <c r="V46" s="57">
        <v>5</v>
      </c>
      <c r="W46" s="57">
        <v>18.5</v>
      </c>
      <c r="X46" s="57">
        <v>0</v>
      </c>
      <c r="AF46">
        <v>5</v>
      </c>
      <c r="AG46">
        <v>20.999999999999993</v>
      </c>
      <c r="AH46">
        <v>7.1054273576010019E-15</v>
      </c>
      <c r="AP46">
        <v>5</v>
      </c>
      <c r="AQ46">
        <v>0.31000000000000028</v>
      </c>
      <c r="AR46">
        <v>-2.7755575615628914E-16</v>
      </c>
    </row>
    <row r="47" spans="1:50" ht="15" thickBot="1" x14ac:dyDescent="0.35">
      <c r="A47" s="60" t="s">
        <v>164</v>
      </c>
      <c r="B47" s="60">
        <v>-7.207333333333338</v>
      </c>
      <c r="C47">
        <v>9.0129475077678034</v>
      </c>
      <c r="D47">
        <v>-0.79966440802209293</v>
      </c>
      <c r="E47">
        <v>0.46870083190634165</v>
      </c>
      <c r="F47">
        <v>-32.231287324679911</v>
      </c>
      <c r="G47">
        <v>17.816620658013232</v>
      </c>
      <c r="H47">
        <v>-32.231287324679911</v>
      </c>
      <c r="I47">
        <v>17.816620658013232</v>
      </c>
      <c r="L47" s="57">
        <v>6</v>
      </c>
      <c r="M47" s="57">
        <v>585.19999999999993</v>
      </c>
      <c r="N47" s="57">
        <v>1.1368683772161603E-13</v>
      </c>
      <c r="AF47" s="57">
        <v>6</v>
      </c>
      <c r="AG47" s="57">
        <v>31.999999999999996</v>
      </c>
      <c r="AH47" s="57">
        <v>3.5527136788005009E-15</v>
      </c>
      <c r="AP47" s="57">
        <v>6</v>
      </c>
      <c r="AQ47" s="57">
        <v>0.24000000000000032</v>
      </c>
      <c r="AR47" s="57">
        <v>-3.3306690738754696E-16</v>
      </c>
    </row>
    <row r="48" spans="1:50" ht="15" thickBot="1" x14ac:dyDescent="0.35">
      <c r="A48" s="61" t="s">
        <v>59</v>
      </c>
      <c r="B48" s="61">
        <v>105.44999999999999</v>
      </c>
      <c r="C48" s="57">
        <v>35.351688628534987</v>
      </c>
      <c r="D48" s="57">
        <v>2.98288438518559</v>
      </c>
      <c r="E48" s="57">
        <v>4.0622806351124689E-2</v>
      </c>
      <c r="F48" s="57">
        <v>7.2979771468275345</v>
      </c>
      <c r="G48" s="57">
        <v>203.60202285317246</v>
      </c>
      <c r="H48" s="57">
        <v>7.2979771468275345</v>
      </c>
      <c r="I48" s="57">
        <v>203.60202285317246</v>
      </c>
    </row>
    <row r="50" spans="1:6" x14ac:dyDescent="0.3">
      <c r="A50" s="36" t="s">
        <v>153</v>
      </c>
    </row>
    <row r="51" spans="1:6" ht="15" thickBot="1" x14ac:dyDescent="0.35"/>
    <row r="52" spans="1:6" x14ac:dyDescent="0.3">
      <c r="A52" s="59" t="s">
        <v>154</v>
      </c>
      <c r="B52" s="59"/>
    </row>
    <row r="53" spans="1:6" x14ac:dyDescent="0.3">
      <c r="A53" t="s">
        <v>155</v>
      </c>
      <c r="B53">
        <v>0.14418675767969016</v>
      </c>
    </row>
    <row r="54" spans="1:6" x14ac:dyDescent="0.3">
      <c r="A54" t="s">
        <v>156</v>
      </c>
      <c r="B54">
        <v>2.0789821090181692E-2</v>
      </c>
    </row>
    <row r="55" spans="1:6" x14ac:dyDescent="0.3">
      <c r="A55" t="s">
        <v>157</v>
      </c>
      <c r="B55">
        <v>-0.22401272363727287</v>
      </c>
    </row>
    <row r="56" spans="1:6" x14ac:dyDescent="0.3">
      <c r="A56" t="s">
        <v>158</v>
      </c>
      <c r="B56">
        <v>7.6933979299353377</v>
      </c>
    </row>
    <row r="57" spans="1:6" ht="15" thickBot="1" x14ac:dyDescent="0.35">
      <c r="A57" s="57" t="s">
        <v>159</v>
      </c>
      <c r="B57" s="57">
        <v>6</v>
      </c>
    </row>
    <row r="59" spans="1:6" ht="15" thickBot="1" x14ac:dyDescent="0.35">
      <c r="A59" t="s">
        <v>160</v>
      </c>
    </row>
    <row r="60" spans="1:6" x14ac:dyDescent="0.3">
      <c r="A60" s="58"/>
      <c r="B60" s="58" t="s">
        <v>165</v>
      </c>
      <c r="C60" s="58" t="s">
        <v>136</v>
      </c>
      <c r="D60" s="58" t="s">
        <v>166</v>
      </c>
      <c r="E60" s="58" t="s">
        <v>167</v>
      </c>
      <c r="F60" s="58" t="s">
        <v>168</v>
      </c>
    </row>
    <row r="61" spans="1:6" x14ac:dyDescent="0.3">
      <c r="A61" t="s">
        <v>161</v>
      </c>
      <c r="B61">
        <v>1</v>
      </c>
      <c r="C61">
        <v>5.026564000000036</v>
      </c>
      <c r="D61">
        <v>5.026564000000036</v>
      </c>
      <c r="E61">
        <v>8.4924856942674237E-2</v>
      </c>
      <c r="F61">
        <v>0.78521867192833184</v>
      </c>
    </row>
    <row r="62" spans="1:6" x14ac:dyDescent="0.3">
      <c r="A62" t="s">
        <v>162</v>
      </c>
      <c r="B62">
        <v>4</v>
      </c>
      <c r="C62">
        <v>236.75348683333334</v>
      </c>
      <c r="D62">
        <v>59.188371708333335</v>
      </c>
    </row>
    <row r="63" spans="1:6" ht="15" thickBot="1" x14ac:dyDescent="0.35">
      <c r="A63" s="57" t="s">
        <v>163</v>
      </c>
      <c r="B63" s="57">
        <v>5</v>
      </c>
      <c r="C63" s="57">
        <v>241.78005083333338</v>
      </c>
      <c r="D63" s="57"/>
      <c r="E63" s="57"/>
      <c r="F63" s="57"/>
    </row>
    <row r="64" spans="1:6" ht="15" thickBot="1" x14ac:dyDescent="0.35"/>
    <row r="65" spans="1:9" x14ac:dyDescent="0.3">
      <c r="A65" s="58"/>
      <c r="B65" s="58" t="s">
        <v>169</v>
      </c>
      <c r="C65" s="58" t="s">
        <v>158</v>
      </c>
      <c r="D65" s="58" t="s">
        <v>170</v>
      </c>
      <c r="E65" s="58" t="s">
        <v>171</v>
      </c>
      <c r="F65" s="58" t="s">
        <v>172</v>
      </c>
      <c r="G65" s="58" t="s">
        <v>173</v>
      </c>
      <c r="H65" s="58" t="s">
        <v>174</v>
      </c>
      <c r="I65" s="58" t="s">
        <v>175</v>
      </c>
    </row>
    <row r="66" spans="1:9" x14ac:dyDescent="0.3">
      <c r="A66" s="60" t="s">
        <v>164</v>
      </c>
      <c r="B66" s="60">
        <v>25.320666666666664</v>
      </c>
      <c r="C66">
        <v>21.38870705915452</v>
      </c>
      <c r="D66">
        <v>1.1838334405458715</v>
      </c>
      <c r="E66">
        <v>0.30202293294422927</v>
      </c>
      <c r="F66">
        <v>-34.063904354232392</v>
      </c>
      <c r="G66">
        <v>84.705237687565727</v>
      </c>
      <c r="H66">
        <v>-34.063904354232392</v>
      </c>
      <c r="I66">
        <v>84.705237687565727</v>
      </c>
    </row>
    <row r="67" spans="1:9" ht="15" thickBot="1" x14ac:dyDescent="0.35">
      <c r="A67" s="61" t="s">
        <v>16</v>
      </c>
      <c r="B67" s="61">
        <v>-11.209999999999999</v>
      </c>
      <c r="C67" s="57">
        <v>38.466989649676684</v>
      </c>
      <c r="D67" s="57">
        <v>-0.29141869696825157</v>
      </c>
      <c r="E67" s="57">
        <v>0.78521867192833261</v>
      </c>
      <c r="F67" s="57">
        <v>-118.01148512453901</v>
      </c>
      <c r="G67" s="57">
        <v>95.59148512453902</v>
      </c>
      <c r="H67" s="57">
        <v>-118.01148512453901</v>
      </c>
      <c r="I67" s="57">
        <v>95.59148512453902</v>
      </c>
    </row>
    <row r="69" spans="1:9" x14ac:dyDescent="0.3">
      <c r="A69" s="36" t="s">
        <v>153</v>
      </c>
    </row>
    <row r="70" spans="1:9" ht="15" thickBot="1" x14ac:dyDescent="0.35"/>
    <row r="71" spans="1:9" x14ac:dyDescent="0.3">
      <c r="A71" s="59" t="s">
        <v>154</v>
      </c>
      <c r="B71" s="59"/>
    </row>
    <row r="72" spans="1:9" x14ac:dyDescent="0.3">
      <c r="A72" t="s">
        <v>155</v>
      </c>
      <c r="B72">
        <v>0.14418675767968975</v>
      </c>
    </row>
    <row r="73" spans="1:9" x14ac:dyDescent="0.3">
      <c r="A73" t="s">
        <v>156</v>
      </c>
      <c r="B73">
        <v>2.0789821090181574E-2</v>
      </c>
    </row>
    <row r="74" spans="1:9" x14ac:dyDescent="0.3">
      <c r="A74" t="s">
        <v>157</v>
      </c>
      <c r="B74">
        <v>-0.22401272363727304</v>
      </c>
    </row>
    <row r="75" spans="1:9" x14ac:dyDescent="0.3">
      <c r="A75" t="s">
        <v>158</v>
      </c>
      <c r="B75">
        <v>7.6933979299353377</v>
      </c>
    </row>
    <row r="76" spans="1:9" ht="15" thickBot="1" x14ac:dyDescent="0.35">
      <c r="A76" s="57" t="s">
        <v>159</v>
      </c>
      <c r="B76" s="57">
        <v>6</v>
      </c>
    </row>
    <row r="78" spans="1:9" ht="15" thickBot="1" x14ac:dyDescent="0.35">
      <c r="A78" t="s">
        <v>160</v>
      </c>
    </row>
    <row r="79" spans="1:9" x14ac:dyDescent="0.3">
      <c r="A79" s="58"/>
      <c r="B79" s="58" t="s">
        <v>165</v>
      </c>
      <c r="C79" s="58" t="s">
        <v>136</v>
      </c>
      <c r="D79" s="58" t="s">
        <v>166</v>
      </c>
      <c r="E79" s="58" t="s">
        <v>167</v>
      </c>
      <c r="F79" s="58" t="s">
        <v>168</v>
      </c>
    </row>
    <row r="80" spans="1:9" x14ac:dyDescent="0.3">
      <c r="A80" t="s">
        <v>161</v>
      </c>
      <c r="B80">
        <v>1</v>
      </c>
      <c r="C80">
        <v>5.0265640000000076</v>
      </c>
      <c r="D80">
        <v>5.0265640000000076</v>
      </c>
      <c r="E80">
        <v>8.4924856942673752E-2</v>
      </c>
      <c r="F80">
        <v>0.78521867192833239</v>
      </c>
    </row>
    <row r="81" spans="1:9" x14ac:dyDescent="0.3">
      <c r="A81" t="s">
        <v>162</v>
      </c>
      <c r="B81">
        <v>4</v>
      </c>
      <c r="C81">
        <v>236.75348683333337</v>
      </c>
      <c r="D81">
        <v>59.188371708333342</v>
      </c>
    </row>
    <row r="82" spans="1:9" ht="15" thickBot="1" x14ac:dyDescent="0.35">
      <c r="A82" s="57" t="s">
        <v>163</v>
      </c>
      <c r="B82" s="57">
        <v>5</v>
      </c>
      <c r="C82" s="57">
        <v>241.78005083333338</v>
      </c>
      <c r="D82" s="57"/>
      <c r="E82" s="57"/>
      <c r="F82" s="57"/>
    </row>
    <row r="83" spans="1:9" ht="15" thickBot="1" x14ac:dyDescent="0.35"/>
    <row r="84" spans="1:9" x14ac:dyDescent="0.3">
      <c r="A84" s="58"/>
      <c r="B84" s="58" t="s">
        <v>169</v>
      </c>
      <c r="C84" s="58" t="s">
        <v>158</v>
      </c>
      <c r="D84" s="58" t="s">
        <v>170</v>
      </c>
      <c r="E84" s="58" t="s">
        <v>171</v>
      </c>
      <c r="F84" s="58" t="s">
        <v>172</v>
      </c>
      <c r="G84" s="58" t="s">
        <v>173</v>
      </c>
      <c r="H84" s="58" t="s">
        <v>174</v>
      </c>
      <c r="I84" s="58" t="s">
        <v>175</v>
      </c>
    </row>
    <row r="85" spans="1:9" x14ac:dyDescent="0.3">
      <c r="A85" s="60" t="s">
        <v>164</v>
      </c>
      <c r="B85" s="60">
        <v>24.760166666666667</v>
      </c>
      <c r="C85">
        <v>19.488254200803595</v>
      </c>
      <c r="D85">
        <v>1.2705174312456209</v>
      </c>
      <c r="E85">
        <v>0.27276925668118601</v>
      </c>
      <c r="F85">
        <v>-29.347901318004812</v>
      </c>
      <c r="G85">
        <v>78.868234651338142</v>
      </c>
      <c r="H85">
        <v>-29.347901318004812</v>
      </c>
      <c r="I85">
        <v>78.868234651338142</v>
      </c>
    </row>
    <row r="86" spans="1:9" ht="15" thickBot="1" x14ac:dyDescent="0.35">
      <c r="A86" s="61" t="s">
        <v>2</v>
      </c>
      <c r="B86" s="61">
        <v>-2.242</v>
      </c>
      <c r="C86" s="57">
        <v>7.6933979299353377</v>
      </c>
      <c r="D86" s="57">
        <v>-0.29141869696825157</v>
      </c>
      <c r="E86" s="57">
        <v>0.78521867192833261</v>
      </c>
      <c r="F86" s="57">
        <v>-23.602297024907806</v>
      </c>
      <c r="G86" s="57">
        <v>19.118297024907804</v>
      </c>
      <c r="H86" s="57">
        <v>-23.602297024907806</v>
      </c>
      <c r="I86" s="57">
        <v>19.118297024907804</v>
      </c>
    </row>
    <row r="88" spans="1:9" x14ac:dyDescent="0.3">
      <c r="A88" s="36" t="s">
        <v>153</v>
      </c>
    </row>
    <row r="89" spans="1:9" ht="15" thickBot="1" x14ac:dyDescent="0.35"/>
    <row r="90" spans="1:9" x14ac:dyDescent="0.3">
      <c r="A90" s="59" t="s">
        <v>154</v>
      </c>
      <c r="B90" s="59"/>
    </row>
    <row r="91" spans="1:9" x14ac:dyDescent="0.3">
      <c r="A91" t="s">
        <v>155</v>
      </c>
      <c r="B91">
        <v>0.42461778214993395</v>
      </c>
    </row>
    <row r="92" spans="1:9" x14ac:dyDescent="0.3">
      <c r="A92" t="s">
        <v>156</v>
      </c>
      <c r="B92">
        <v>0.18030026091792875</v>
      </c>
    </row>
    <row r="93" spans="1:9" x14ac:dyDescent="0.3">
      <c r="A93" t="s">
        <v>157</v>
      </c>
      <c r="B93">
        <v>-2.4624673852589068E-2</v>
      </c>
    </row>
    <row r="94" spans="1:9" x14ac:dyDescent="0.3">
      <c r="A94" t="s">
        <v>158</v>
      </c>
      <c r="B94">
        <v>7.0389460252109703</v>
      </c>
    </row>
    <row r="95" spans="1:9" ht="15" thickBot="1" x14ac:dyDescent="0.35">
      <c r="A95" s="57" t="s">
        <v>159</v>
      </c>
      <c r="B95" s="57">
        <v>6</v>
      </c>
    </row>
    <row r="97" spans="1:9" ht="15" thickBot="1" x14ac:dyDescent="0.35">
      <c r="A97" t="s">
        <v>160</v>
      </c>
    </row>
    <row r="98" spans="1:9" x14ac:dyDescent="0.3">
      <c r="A98" s="58"/>
      <c r="B98" s="58" t="s">
        <v>165</v>
      </c>
      <c r="C98" s="58" t="s">
        <v>136</v>
      </c>
      <c r="D98" s="58" t="s">
        <v>166</v>
      </c>
      <c r="E98" s="58" t="s">
        <v>167</v>
      </c>
      <c r="F98" s="58" t="s">
        <v>168</v>
      </c>
    </row>
    <row r="99" spans="1:9" x14ac:dyDescent="0.3">
      <c r="A99" t="s">
        <v>161</v>
      </c>
      <c r="B99">
        <v>1</v>
      </c>
      <c r="C99">
        <v>43.593006250000087</v>
      </c>
      <c r="D99">
        <v>43.593006250000087</v>
      </c>
      <c r="E99">
        <v>0.87983563893693739</v>
      </c>
      <c r="F99">
        <v>0.4013526752311119</v>
      </c>
    </row>
    <row r="100" spans="1:9" x14ac:dyDescent="0.3">
      <c r="A100" t="s">
        <v>162</v>
      </c>
      <c r="B100">
        <v>4</v>
      </c>
      <c r="C100">
        <v>198.18704458333329</v>
      </c>
      <c r="D100">
        <v>49.546761145833322</v>
      </c>
    </row>
    <row r="101" spans="1:9" ht="15" thickBot="1" x14ac:dyDescent="0.35">
      <c r="A101" s="57" t="s">
        <v>163</v>
      </c>
      <c r="B101" s="57">
        <v>5</v>
      </c>
      <c r="C101" s="57">
        <v>241.78005083333338</v>
      </c>
      <c r="D101" s="57"/>
      <c r="E101" s="57"/>
      <c r="F101" s="57"/>
    </row>
    <row r="102" spans="1:9" ht="15" thickBot="1" x14ac:dyDescent="0.35"/>
    <row r="103" spans="1:9" x14ac:dyDescent="0.3">
      <c r="A103" s="58"/>
      <c r="B103" s="58" t="s">
        <v>169</v>
      </c>
      <c r="C103" s="58" t="s">
        <v>158</v>
      </c>
      <c r="D103" s="58" t="s">
        <v>170</v>
      </c>
      <c r="E103" s="58" t="s">
        <v>171</v>
      </c>
      <c r="F103" s="58" t="s">
        <v>172</v>
      </c>
      <c r="G103" s="58" t="s">
        <v>173</v>
      </c>
      <c r="H103" s="58" t="s">
        <v>174</v>
      </c>
      <c r="I103" s="58" t="s">
        <v>175</v>
      </c>
    </row>
    <row r="104" spans="1:9" x14ac:dyDescent="0.3">
      <c r="A104" s="60" t="s">
        <v>164</v>
      </c>
      <c r="B104" s="60">
        <v>9.2514166666666604</v>
      </c>
      <c r="C104">
        <v>10.942486285229263</v>
      </c>
      <c r="D104">
        <v>0.84545837440570559</v>
      </c>
      <c r="E104">
        <v>0.44546315168048867</v>
      </c>
      <c r="F104">
        <v>-21.129795818652113</v>
      </c>
      <c r="G104">
        <v>39.632629151985434</v>
      </c>
      <c r="H104">
        <v>-21.129795818652113</v>
      </c>
      <c r="I104">
        <v>39.632629151985434</v>
      </c>
    </row>
    <row r="105" spans="1:9" ht="15" thickBot="1" x14ac:dyDescent="0.35">
      <c r="A105" s="61" t="s">
        <v>3</v>
      </c>
      <c r="B105" s="61">
        <v>0.82531250000000056</v>
      </c>
      <c r="C105" s="57">
        <v>0.87986825315137129</v>
      </c>
      <c r="D105" s="57">
        <v>0.93799554313276823</v>
      </c>
      <c r="E105" s="57">
        <v>0.40135267523111168</v>
      </c>
      <c r="F105" s="57">
        <v>-1.6175934046810572</v>
      </c>
      <c r="G105" s="57">
        <v>3.2682184046810585</v>
      </c>
      <c r="H105" s="57">
        <v>-1.6175934046810572</v>
      </c>
      <c r="I105" s="57">
        <v>3.2682184046810585</v>
      </c>
    </row>
    <row r="107" spans="1:9" x14ac:dyDescent="0.3">
      <c r="A107" s="36" t="s">
        <v>153</v>
      </c>
    </row>
    <row r="108" spans="1:9" ht="15" thickBot="1" x14ac:dyDescent="0.35"/>
    <row r="109" spans="1:9" x14ac:dyDescent="0.3">
      <c r="A109" s="59" t="s">
        <v>154</v>
      </c>
      <c r="B109" s="59"/>
    </row>
    <row r="110" spans="1:9" x14ac:dyDescent="0.3">
      <c r="A110" t="s">
        <v>155</v>
      </c>
      <c r="B110">
        <v>0.42461778214993423</v>
      </c>
    </row>
    <row r="111" spans="1:9" x14ac:dyDescent="0.3">
      <c r="A111" t="s">
        <v>156</v>
      </c>
      <c r="B111">
        <v>0.180300260917929</v>
      </c>
    </row>
    <row r="112" spans="1:9" x14ac:dyDescent="0.3">
      <c r="A112" t="s">
        <v>157</v>
      </c>
      <c r="B112">
        <v>-2.4624673852588763E-2</v>
      </c>
    </row>
    <row r="113" spans="1:9" x14ac:dyDescent="0.3">
      <c r="A113" t="s">
        <v>158</v>
      </c>
      <c r="B113">
        <v>7.0389460252109695</v>
      </c>
    </row>
    <row r="114" spans="1:9" ht="15" thickBot="1" x14ac:dyDescent="0.35">
      <c r="A114" s="57" t="s">
        <v>159</v>
      </c>
      <c r="B114" s="57">
        <v>6</v>
      </c>
    </row>
    <row r="116" spans="1:9" ht="15" thickBot="1" x14ac:dyDescent="0.35">
      <c r="A116" t="s">
        <v>160</v>
      </c>
    </row>
    <row r="117" spans="1:9" x14ac:dyDescent="0.3">
      <c r="A117" s="58"/>
      <c r="B117" s="58" t="s">
        <v>165</v>
      </c>
      <c r="C117" s="58" t="s">
        <v>136</v>
      </c>
      <c r="D117" s="58" t="s">
        <v>166</v>
      </c>
      <c r="E117" s="58" t="s">
        <v>167</v>
      </c>
      <c r="F117" s="58" t="s">
        <v>168</v>
      </c>
    </row>
    <row r="118" spans="1:9" x14ac:dyDescent="0.3">
      <c r="A118" t="s">
        <v>161</v>
      </c>
      <c r="B118">
        <v>1</v>
      </c>
      <c r="C118">
        <v>43.593006250000144</v>
      </c>
      <c r="D118">
        <v>43.593006250000144</v>
      </c>
      <c r="E118">
        <v>0.87983563893693884</v>
      </c>
      <c r="F118">
        <v>0.40135267523111123</v>
      </c>
    </row>
    <row r="119" spans="1:9" x14ac:dyDescent="0.3">
      <c r="A119" t="s">
        <v>162</v>
      </c>
      <c r="B119">
        <v>4</v>
      </c>
      <c r="C119">
        <v>198.18704458333323</v>
      </c>
      <c r="D119">
        <v>49.546761145833308</v>
      </c>
    </row>
    <row r="120" spans="1:9" ht="15" thickBot="1" x14ac:dyDescent="0.35">
      <c r="A120" s="57" t="s">
        <v>163</v>
      </c>
      <c r="B120" s="57">
        <v>5</v>
      </c>
      <c r="C120" s="57">
        <v>241.78005083333338</v>
      </c>
      <c r="D120" s="57"/>
      <c r="E120" s="57"/>
      <c r="F120" s="57"/>
    </row>
    <row r="121" spans="1:9" ht="15" thickBot="1" x14ac:dyDescent="0.35"/>
    <row r="122" spans="1:9" x14ac:dyDescent="0.3">
      <c r="A122" s="58"/>
      <c r="B122" s="58" t="s">
        <v>169</v>
      </c>
      <c r="C122" s="58" t="s">
        <v>158</v>
      </c>
      <c r="D122" s="58" t="s">
        <v>170</v>
      </c>
      <c r="E122" s="58" t="s">
        <v>171</v>
      </c>
      <c r="F122" s="58" t="s">
        <v>172</v>
      </c>
      <c r="G122" s="58" t="s">
        <v>173</v>
      </c>
      <c r="H122" s="58" t="s">
        <v>174</v>
      </c>
      <c r="I122" s="58" t="s">
        <v>175</v>
      </c>
    </row>
    <row r="123" spans="1:9" x14ac:dyDescent="0.3">
      <c r="A123" s="60" t="s">
        <v>164</v>
      </c>
      <c r="B123" s="60">
        <v>-40.267333333333411</v>
      </c>
      <c r="C123">
        <v>63.415656161052276</v>
      </c>
      <c r="D123">
        <v>-0.63497463829861356</v>
      </c>
      <c r="E123">
        <v>0.55995062797132755</v>
      </c>
      <c r="F123">
        <v>-216.33742147459327</v>
      </c>
      <c r="G123">
        <v>135.80275480792648</v>
      </c>
      <c r="H123">
        <v>-216.33742147459327</v>
      </c>
      <c r="I123">
        <v>135.80275480792648</v>
      </c>
    </row>
    <row r="124" spans="1:9" ht="15" thickBot="1" x14ac:dyDescent="0.35">
      <c r="A124" s="61" t="s">
        <v>1</v>
      </c>
      <c r="B124" s="61">
        <v>165.06250000000026</v>
      </c>
      <c r="C124" s="57">
        <v>175.97365063027434</v>
      </c>
      <c r="D124" s="57">
        <v>0.93799554313276867</v>
      </c>
      <c r="E124" s="57">
        <v>0.40135267523111157</v>
      </c>
      <c r="F124" s="57">
        <v>-323.51868093621147</v>
      </c>
      <c r="G124" s="57">
        <v>653.64368093621204</v>
      </c>
      <c r="H124" s="57">
        <v>-323.51868093621147</v>
      </c>
      <c r="I124" s="57">
        <v>653.64368093621204</v>
      </c>
    </row>
    <row r="126" spans="1:9" x14ac:dyDescent="0.3">
      <c r="A126" s="36" t="s">
        <v>153</v>
      </c>
    </row>
    <row r="127" spans="1:9" ht="15" thickBot="1" x14ac:dyDescent="0.35"/>
    <row r="128" spans="1:9" x14ac:dyDescent="0.3">
      <c r="A128" s="59" t="s">
        <v>154</v>
      </c>
      <c r="B128" s="59"/>
    </row>
    <row r="129" spans="1:9" x14ac:dyDescent="0.3">
      <c r="A129" t="s">
        <v>155</v>
      </c>
      <c r="B129">
        <v>0.28776255452175376</v>
      </c>
    </row>
    <row r="130" spans="1:9" x14ac:dyDescent="0.3">
      <c r="A130" t="s">
        <v>156</v>
      </c>
      <c r="B130">
        <v>8.2807287784885303E-2</v>
      </c>
    </row>
    <row r="131" spans="1:9" x14ac:dyDescent="0.3">
      <c r="A131" t="s">
        <v>157</v>
      </c>
      <c r="B131">
        <v>-0.14649089026889336</v>
      </c>
    </row>
    <row r="132" spans="1:9" x14ac:dyDescent="0.3">
      <c r="A132" t="s">
        <v>158</v>
      </c>
      <c r="B132">
        <v>7.4457857305883666</v>
      </c>
    </row>
    <row r="133" spans="1:9" ht="15" thickBot="1" x14ac:dyDescent="0.35">
      <c r="A133" s="57" t="s">
        <v>159</v>
      </c>
      <c r="B133" s="57">
        <v>6</v>
      </c>
    </row>
    <row r="135" spans="1:9" ht="15" thickBot="1" x14ac:dyDescent="0.35">
      <c r="A135" t="s">
        <v>160</v>
      </c>
    </row>
    <row r="136" spans="1:9" x14ac:dyDescent="0.3">
      <c r="A136" s="58"/>
      <c r="B136" s="58" t="s">
        <v>165</v>
      </c>
      <c r="C136" s="58" t="s">
        <v>136</v>
      </c>
      <c r="D136" s="58" t="s">
        <v>166</v>
      </c>
      <c r="E136" s="58" t="s">
        <v>167</v>
      </c>
      <c r="F136" s="58" t="s">
        <v>168</v>
      </c>
    </row>
    <row r="137" spans="1:9" x14ac:dyDescent="0.3">
      <c r="A137" t="s">
        <v>161</v>
      </c>
      <c r="B137">
        <v>1</v>
      </c>
      <c r="C137">
        <v>20.021150250000034</v>
      </c>
      <c r="D137">
        <v>20.021150250000034</v>
      </c>
      <c r="E137">
        <v>0.36113364915382801</v>
      </c>
      <c r="F137">
        <v>0.58027058655036767</v>
      </c>
    </row>
    <row r="138" spans="1:9" x14ac:dyDescent="0.3">
      <c r="A138" t="s">
        <v>162</v>
      </c>
      <c r="B138">
        <v>4</v>
      </c>
      <c r="C138">
        <v>221.75890058333334</v>
      </c>
      <c r="D138">
        <v>55.439725145833336</v>
      </c>
    </row>
    <row r="139" spans="1:9" ht="15" thickBot="1" x14ac:dyDescent="0.35">
      <c r="A139" s="57" t="s">
        <v>163</v>
      </c>
      <c r="B139" s="57">
        <v>5</v>
      </c>
      <c r="C139" s="57">
        <v>241.78005083333338</v>
      </c>
      <c r="D139" s="57"/>
      <c r="E139" s="57"/>
      <c r="F139" s="57"/>
    </row>
    <row r="140" spans="1:9" ht="15" thickBot="1" x14ac:dyDescent="0.35"/>
    <row r="141" spans="1:9" x14ac:dyDescent="0.3">
      <c r="A141" s="58"/>
      <c r="B141" s="58" t="s">
        <v>169</v>
      </c>
      <c r="C141" s="58" t="s">
        <v>158</v>
      </c>
      <c r="D141" s="58" t="s">
        <v>170</v>
      </c>
      <c r="E141" s="58" t="s">
        <v>171</v>
      </c>
      <c r="F141" s="58" t="s">
        <v>172</v>
      </c>
      <c r="G141" s="58" t="s">
        <v>173</v>
      </c>
      <c r="H141" s="58" t="s">
        <v>174</v>
      </c>
      <c r="I141" s="58" t="s">
        <v>175</v>
      </c>
    </row>
    <row r="142" spans="1:9" x14ac:dyDescent="0.3">
      <c r="A142" s="60" t="s">
        <v>164</v>
      </c>
      <c r="B142" s="60">
        <v>9.087541666666672</v>
      </c>
      <c r="C142">
        <v>17.026554635091426</v>
      </c>
      <c r="D142">
        <v>0.53372757210301436</v>
      </c>
      <c r="E142">
        <v>0.62181015171532983</v>
      </c>
      <c r="F142">
        <v>-38.185752608315717</v>
      </c>
      <c r="G142">
        <v>56.360835941649064</v>
      </c>
      <c r="H142">
        <v>-38.185752608315717</v>
      </c>
      <c r="I142">
        <v>56.360835941649064</v>
      </c>
    </row>
    <row r="143" spans="1:9" ht="15" thickBot="1" x14ac:dyDescent="0.35">
      <c r="A143" s="61" t="s">
        <v>15</v>
      </c>
      <c r="B143" s="61">
        <v>11.186249999999994</v>
      </c>
      <c r="C143" s="57">
        <v>18.614464326470909</v>
      </c>
      <c r="D143" s="57">
        <v>0.60094396506981196</v>
      </c>
      <c r="E143" s="57">
        <v>0.58027058655036801</v>
      </c>
      <c r="F143" s="57">
        <v>-40.4957883651091</v>
      </c>
      <c r="G143" s="57">
        <v>62.868288365109088</v>
      </c>
      <c r="H143" s="57">
        <v>-40.4957883651091</v>
      </c>
      <c r="I143" s="57">
        <v>62.868288365109088</v>
      </c>
    </row>
    <row r="145" spans="1:6" x14ac:dyDescent="0.3">
      <c r="A145" s="36" t="s">
        <v>176</v>
      </c>
    </row>
    <row r="146" spans="1:6" x14ac:dyDescent="0.3">
      <c r="A146" s="36" t="s">
        <v>153</v>
      </c>
    </row>
    <row r="147" spans="1:6" ht="15" thickBot="1" x14ac:dyDescent="0.35"/>
    <row r="148" spans="1:6" x14ac:dyDescent="0.3">
      <c r="A148" s="59" t="s">
        <v>154</v>
      </c>
      <c r="B148" s="59"/>
    </row>
    <row r="149" spans="1:6" x14ac:dyDescent="0.3">
      <c r="A149" t="s">
        <v>155</v>
      </c>
      <c r="B149">
        <v>0.99832434160425942</v>
      </c>
    </row>
    <row r="150" spans="1:6" x14ac:dyDescent="0.3">
      <c r="A150" t="s">
        <v>156</v>
      </c>
      <c r="B150">
        <v>0.99665149103957806</v>
      </c>
    </row>
    <row r="151" spans="1:6" x14ac:dyDescent="0.3">
      <c r="A151" t="s">
        <v>157</v>
      </c>
      <c r="B151">
        <v>-2.0167425448021099</v>
      </c>
    </row>
    <row r="152" spans="1:6" x14ac:dyDescent="0.3">
      <c r="A152" t="s">
        <v>158</v>
      </c>
      <c r="B152">
        <v>0.89977923218235478</v>
      </c>
    </row>
    <row r="153" spans="1:6" ht="15" thickBot="1" x14ac:dyDescent="0.35">
      <c r="A153" s="57" t="s">
        <v>159</v>
      </c>
      <c r="B153" s="57">
        <v>6</v>
      </c>
    </row>
    <row r="155" spans="1:6" ht="15" thickBot="1" x14ac:dyDescent="0.35">
      <c r="A155" t="s">
        <v>160</v>
      </c>
    </row>
    <row r="156" spans="1:6" x14ac:dyDescent="0.3">
      <c r="A156" s="58"/>
      <c r="B156" s="58" t="s">
        <v>165</v>
      </c>
      <c r="C156" s="58" t="s">
        <v>136</v>
      </c>
      <c r="D156" s="58" t="s">
        <v>166</v>
      </c>
      <c r="E156" s="58" t="s">
        <v>167</v>
      </c>
      <c r="F156" s="58" t="s">
        <v>168</v>
      </c>
    </row>
    <row r="157" spans="1:6" x14ac:dyDescent="0.3">
      <c r="A157" t="s">
        <v>161</v>
      </c>
      <c r="B157">
        <v>7</v>
      </c>
      <c r="C157">
        <v>240.9704481666667</v>
      </c>
      <c r="D157">
        <v>34.424349738095245</v>
      </c>
      <c r="E157">
        <v>74.410095868014167</v>
      </c>
      <c r="F157" t="e">
        <v>#NUM!</v>
      </c>
    </row>
    <row r="158" spans="1:6" x14ac:dyDescent="0.3">
      <c r="A158" t="s">
        <v>162</v>
      </c>
      <c r="B158">
        <v>1</v>
      </c>
      <c r="C158">
        <v>0.80960266666666791</v>
      </c>
      <c r="D158">
        <v>0.80960266666666791</v>
      </c>
    </row>
    <row r="159" spans="1:6" ht="15" thickBot="1" x14ac:dyDescent="0.35">
      <c r="A159" s="57" t="s">
        <v>163</v>
      </c>
      <c r="B159" s="57">
        <v>8</v>
      </c>
      <c r="C159" s="57">
        <v>241.78005083333338</v>
      </c>
      <c r="D159" s="57"/>
      <c r="E159" s="57"/>
      <c r="F159" s="57"/>
    </row>
    <row r="160" spans="1:6" ht="15" thickBot="1" x14ac:dyDescent="0.35"/>
    <row r="161" spans="1:9" x14ac:dyDescent="0.3">
      <c r="A161" s="58"/>
      <c r="B161" s="58" t="s">
        <v>169</v>
      </c>
      <c r="C161" s="58" t="s">
        <v>158</v>
      </c>
      <c r="D161" s="58" t="s">
        <v>170</v>
      </c>
      <c r="E161" s="58" t="s">
        <v>171</v>
      </c>
      <c r="F161" s="58" t="s">
        <v>172</v>
      </c>
      <c r="G161" s="58" t="s">
        <v>173</v>
      </c>
      <c r="H161" s="58" t="s">
        <v>174</v>
      </c>
      <c r="I161" s="58" t="s">
        <v>175</v>
      </c>
    </row>
    <row r="162" spans="1:9" x14ac:dyDescent="0.3">
      <c r="A162" t="s">
        <v>164</v>
      </c>
      <c r="B162">
        <v>-23.097666666666676</v>
      </c>
      <c r="C162">
        <v>4.6415974102154252</v>
      </c>
      <c r="D162">
        <v>-4.9762322375982775</v>
      </c>
      <c r="E162">
        <v>0.12625055101345675</v>
      </c>
      <c r="F162">
        <v>-82.074753663762166</v>
      </c>
      <c r="G162">
        <v>35.879420330428815</v>
      </c>
      <c r="H162">
        <v>-23.097666666666676</v>
      </c>
      <c r="I162">
        <v>-23.097666666666676</v>
      </c>
    </row>
    <row r="163" spans="1:9" x14ac:dyDescent="0.3">
      <c r="A163" t="s">
        <v>24</v>
      </c>
      <c r="B163">
        <v>4.0026666666666641E-2</v>
      </c>
      <c r="C163">
        <v>9.4845058833790581E-3</v>
      </c>
      <c r="D163">
        <v>4.220216335867387</v>
      </c>
      <c r="E163">
        <v>0.1481182047253187</v>
      </c>
      <c r="F163">
        <v>-8.0485406909001217E-2</v>
      </c>
      <c r="G163">
        <v>0.1605387402423345</v>
      </c>
      <c r="H163">
        <v>4.0026666666666641E-2</v>
      </c>
      <c r="I163">
        <v>4.0026666666666641E-2</v>
      </c>
    </row>
    <row r="164" spans="1:9" x14ac:dyDescent="0.3">
      <c r="A164" t="s">
        <v>59</v>
      </c>
      <c r="B164">
        <v>105.45000000000003</v>
      </c>
      <c r="C164">
        <v>7.3466666666666729</v>
      </c>
      <c r="D164">
        <v>14.353448275862061</v>
      </c>
      <c r="E164">
        <v>4.428153624474436E-2</v>
      </c>
      <c r="F164">
        <v>12.101749204903115</v>
      </c>
      <c r="G164">
        <v>198.79825079509695</v>
      </c>
      <c r="H164">
        <v>105.45000000000003</v>
      </c>
      <c r="I164">
        <v>105.45000000000003</v>
      </c>
    </row>
    <row r="165" spans="1:9" x14ac:dyDescent="0.3">
      <c r="A165" t="s">
        <v>16</v>
      </c>
      <c r="B165">
        <v>0</v>
      </c>
      <c r="C165">
        <v>0</v>
      </c>
      <c r="D165">
        <v>65535</v>
      </c>
      <c r="E165" t="e">
        <v>#NUM!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t="s">
        <v>2</v>
      </c>
      <c r="B166">
        <v>-4.9526666666666674</v>
      </c>
      <c r="C166">
        <v>0.94845058833790574</v>
      </c>
      <c r="D166">
        <v>-5.2218499598865495</v>
      </c>
      <c r="E166" t="e">
        <v>#NUM!</v>
      </c>
      <c r="F166">
        <v>-17.003874024233454</v>
      </c>
      <c r="G166">
        <v>7.0985406909001174</v>
      </c>
      <c r="H166">
        <v>-4.9526666666666674</v>
      </c>
      <c r="I166">
        <v>-4.9526666666666674</v>
      </c>
    </row>
    <row r="167" spans="1:9" x14ac:dyDescent="0.3">
      <c r="A167" t="s">
        <v>3</v>
      </c>
      <c r="B167">
        <v>0.85500000000000043</v>
      </c>
      <c r="C167">
        <v>0.11855632354223823</v>
      </c>
      <c r="D167">
        <v>7.2117620929379473</v>
      </c>
      <c r="E167">
        <v>8.7715879661338633E-2</v>
      </c>
      <c r="F167">
        <v>-0.6514009196958479</v>
      </c>
      <c r="G167">
        <v>2.361400919695849</v>
      </c>
      <c r="H167">
        <v>0.85500000000000043</v>
      </c>
      <c r="I167">
        <v>0.85500000000000043</v>
      </c>
    </row>
    <row r="168" spans="1:9" x14ac:dyDescent="0.3">
      <c r="A168" t="s">
        <v>1</v>
      </c>
      <c r="B168">
        <v>0</v>
      </c>
      <c r="C168">
        <v>0</v>
      </c>
      <c r="D168">
        <v>65535</v>
      </c>
      <c r="E168" t="e">
        <v>#NUM!</v>
      </c>
      <c r="F168">
        <v>0</v>
      </c>
      <c r="G168">
        <v>0</v>
      </c>
      <c r="H168">
        <v>0</v>
      </c>
      <c r="I168">
        <v>0</v>
      </c>
    </row>
    <row r="169" spans="1:9" ht="15" thickBot="1" x14ac:dyDescent="0.35">
      <c r="A169" s="57" t="s">
        <v>15</v>
      </c>
      <c r="B169" s="57">
        <v>0</v>
      </c>
      <c r="C169" s="57">
        <v>0</v>
      </c>
      <c r="D169" s="57">
        <v>65535</v>
      </c>
      <c r="E169" s="57" t="e">
        <v>#NUM!</v>
      </c>
      <c r="F169" s="57">
        <v>0</v>
      </c>
      <c r="G169" s="57">
        <v>0</v>
      </c>
      <c r="H169" s="57">
        <v>0</v>
      </c>
      <c r="I169" s="57">
        <v>0</v>
      </c>
    </row>
    <row r="173" spans="1:9" x14ac:dyDescent="0.3">
      <c r="A173" t="s">
        <v>177</v>
      </c>
    </row>
    <row r="174" spans="1:9" ht="15" thickBot="1" x14ac:dyDescent="0.35"/>
    <row r="175" spans="1:9" x14ac:dyDescent="0.3">
      <c r="A175" s="58" t="s">
        <v>178</v>
      </c>
      <c r="B175" s="58" t="s">
        <v>179</v>
      </c>
      <c r="C175" s="58" t="s">
        <v>180</v>
      </c>
    </row>
    <row r="176" spans="1:9" x14ac:dyDescent="0.3">
      <c r="A176">
        <v>1</v>
      </c>
      <c r="B176">
        <v>10.937666666666654</v>
      </c>
      <c r="C176">
        <v>0.36733333333334528</v>
      </c>
    </row>
    <row r="177" spans="1:3" x14ac:dyDescent="0.3">
      <c r="A177">
        <v>2</v>
      </c>
      <c r="B177">
        <v>13.882666666666658</v>
      </c>
      <c r="C177">
        <v>-0.73466666666665859</v>
      </c>
    </row>
    <row r="178" spans="1:3" x14ac:dyDescent="0.3">
      <c r="A178">
        <v>3</v>
      </c>
      <c r="B178">
        <v>16.827666666666659</v>
      </c>
      <c r="C178">
        <v>0.36733333333334173</v>
      </c>
    </row>
    <row r="179" spans="1:3" x14ac:dyDescent="0.3">
      <c r="A179">
        <v>4</v>
      </c>
      <c r="B179">
        <v>19.949999999999989</v>
      </c>
      <c r="C179">
        <v>1.0658141036401503E-14</v>
      </c>
    </row>
    <row r="180" spans="1:3" x14ac:dyDescent="0.3">
      <c r="A180">
        <v>5</v>
      </c>
      <c r="B180">
        <v>30.323999999999995</v>
      </c>
      <c r="C180">
        <v>7.1054273576010019E-15</v>
      </c>
    </row>
    <row r="181" spans="1:3" ht="15" thickBot="1" x14ac:dyDescent="0.35">
      <c r="A181" s="57">
        <v>6</v>
      </c>
      <c r="B181" s="57">
        <v>23.00899999999999</v>
      </c>
      <c r="C181" s="57">
        <v>7.1054273576010019E-15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0FFBB-7297-4C20-B4DA-DAD0BA71B82D}">
  <dimension ref="A1:AX181"/>
  <sheetViews>
    <sheetView topLeftCell="V10" workbookViewId="0">
      <selection activeCell="AM40" sqref="AM40"/>
    </sheetView>
  </sheetViews>
  <sheetFormatPr defaultRowHeight="14.4" x14ac:dyDescent="0.3"/>
  <cols>
    <col min="1" max="1" width="25.109375" bestFit="1" customWidth="1"/>
    <col min="2" max="2" width="8.44140625" bestFit="1" customWidth="1"/>
    <col min="3" max="3" width="15.44140625" bestFit="1" customWidth="1"/>
    <col min="4" max="4" width="17.6640625" bestFit="1" customWidth="1"/>
    <col min="5" max="5" width="8.44140625" bestFit="1" customWidth="1"/>
    <col min="6" max="6" width="12.5546875" bestFit="1" customWidth="1"/>
    <col min="7" max="7" width="31.33203125" bestFit="1" customWidth="1"/>
    <col min="8" max="8" width="5.5546875" bestFit="1" customWidth="1"/>
    <col min="9" max="9" width="4" bestFit="1" customWidth="1"/>
    <col min="10" max="10" width="6" bestFit="1" customWidth="1"/>
    <col min="11" max="11" width="3.33203125" bestFit="1" customWidth="1"/>
    <col min="13" max="13" width="11.5546875" bestFit="1" customWidth="1"/>
  </cols>
  <sheetData>
    <row r="1" spans="1:43" x14ac:dyDescent="0.3">
      <c r="A1" t="s">
        <v>207</v>
      </c>
    </row>
    <row r="2" spans="1:43" x14ac:dyDescent="0.3">
      <c r="A2" t="s">
        <v>151</v>
      </c>
    </row>
    <row r="3" spans="1:43" s="26" customFormat="1" x14ac:dyDescent="0.3">
      <c r="A3" s="26" t="str">
        <f>'results and SN plots'!G3</f>
        <v>Precursor (kg/cum)</v>
      </c>
      <c r="B3" s="26" t="str">
        <f>'results and SN plots'!B3</f>
        <v>GGBS/Pr</v>
      </c>
      <c r="C3" s="26" t="str">
        <f>'results and SN plots'!C3</f>
        <v>Alkali/Precursor</v>
      </c>
      <c r="D3" s="26" t="str">
        <f>'results and SN plots'!E3</f>
        <v>Silicate/Hydroxide</v>
      </c>
      <c r="E3" s="26" t="str">
        <f>'results and SN plots'!F3</f>
        <v>Molarity</v>
      </c>
      <c r="F3" s="26" t="str">
        <f>'results and SN plots'!D3</f>
        <v>Water/Solids</v>
      </c>
      <c r="G3" s="26" t="str">
        <f>'results and SN plots'!H3</f>
        <v>Fine Aggregate/Coarse Aggregate</v>
      </c>
      <c r="H3" s="26" t="s">
        <v>152</v>
      </c>
      <c r="I3" s="26" t="s">
        <v>93</v>
      </c>
      <c r="J3" s="26" t="s">
        <v>74</v>
      </c>
      <c r="K3" s="26" t="s">
        <v>103</v>
      </c>
      <c r="L3" s="26" t="s">
        <v>205</v>
      </c>
    </row>
    <row r="4" spans="1:43" x14ac:dyDescent="0.3">
      <c r="A4" s="10">
        <f>'results and SN plots'!G7</f>
        <v>400</v>
      </c>
      <c r="B4" s="10">
        <f>'results and SN plots'!B7</f>
        <v>0.2</v>
      </c>
      <c r="C4" s="10">
        <f>'results and SN plots'!C7</f>
        <v>0.45</v>
      </c>
      <c r="D4" s="10">
        <f>'results and SN plots'!E7</f>
        <v>2.5</v>
      </c>
      <c r="E4" s="10">
        <f>'results and SN plots'!F7</f>
        <v>12</v>
      </c>
      <c r="F4" s="10">
        <f>'results and SN plots'!D7</f>
        <v>0.38</v>
      </c>
      <c r="G4" s="10">
        <f>'results and SN plots'!H7</f>
        <v>1.1000000000000001</v>
      </c>
      <c r="H4" s="55">
        <f>'results and SN plots'!AG28</f>
        <v>9.8450000000000006</v>
      </c>
      <c r="I4" s="56">
        <f>'results and SN plots'!AK28</f>
        <v>524</v>
      </c>
      <c r="J4" s="10">
        <f>'results and SN plots'!AM28</f>
        <v>6.12</v>
      </c>
      <c r="K4" s="10">
        <f>'results and SN plots'!AP28</f>
        <v>11.5</v>
      </c>
      <c r="L4">
        <f>'results and SN plots'!AQ28</f>
        <v>0.73</v>
      </c>
    </row>
    <row r="5" spans="1:43" x14ac:dyDescent="0.3">
      <c r="A5" s="10">
        <f>'results and SN plots'!G8</f>
        <v>450</v>
      </c>
      <c r="B5" s="10">
        <f>'results and SN plots'!B8</f>
        <v>0.2</v>
      </c>
      <c r="C5" s="10">
        <f>'results and SN plots'!C8</f>
        <v>0.55000000000000004</v>
      </c>
      <c r="D5" s="10">
        <f>'results and SN plots'!E8</f>
        <v>3</v>
      </c>
      <c r="E5" s="10">
        <f>'results and SN plots'!F8</f>
        <v>16</v>
      </c>
      <c r="F5" s="10">
        <f>'results and SN plots'!D8</f>
        <v>0.34</v>
      </c>
      <c r="G5" s="10">
        <f>'results and SN plots'!H8</f>
        <v>0.7</v>
      </c>
      <c r="H5" s="55">
        <f>'results and SN plots'!AG29</f>
        <v>19.558000000000003</v>
      </c>
      <c r="I5" s="56">
        <f>'results and SN plots'!AK29</f>
        <v>642</v>
      </c>
      <c r="J5" s="10">
        <f>'results and SN plots'!AM29</f>
        <v>5</v>
      </c>
      <c r="K5" s="10">
        <f>'results and SN plots'!AP29</f>
        <v>7</v>
      </c>
      <c r="L5">
        <f>'results and SN plots'!AQ29</f>
        <v>0.82</v>
      </c>
    </row>
    <row r="6" spans="1:43" x14ac:dyDescent="0.3">
      <c r="A6" s="10">
        <f>'results and SN plots'!G9</f>
        <v>500</v>
      </c>
      <c r="B6" s="10">
        <f>'results and SN plots'!B9</f>
        <v>0.2</v>
      </c>
      <c r="C6" s="10">
        <f>'results and SN plots'!C9</f>
        <v>0.65</v>
      </c>
      <c r="D6" s="10">
        <f>'results and SN plots'!E9</f>
        <v>2</v>
      </c>
      <c r="E6" s="10">
        <f>'results and SN plots'!F9</f>
        <v>8</v>
      </c>
      <c r="F6" s="10">
        <f>'results and SN plots'!D9</f>
        <v>0.36</v>
      </c>
      <c r="G6" s="10">
        <f>'results and SN plots'!H9</f>
        <v>0.9</v>
      </c>
      <c r="H6" s="55">
        <f>'results and SN plots'!AG30</f>
        <v>16.005000000000003</v>
      </c>
      <c r="I6" s="56">
        <f>'results and SN plots'!AK30</f>
        <v>759</v>
      </c>
      <c r="J6" s="10">
        <f>'results and SN plots'!AM30</f>
        <v>3.78</v>
      </c>
      <c r="K6" s="10">
        <f>'results and SN plots'!AP30</f>
        <v>9</v>
      </c>
      <c r="L6">
        <f>'results and SN plots'!AQ30</f>
        <v>0.84199999999999997</v>
      </c>
    </row>
    <row r="7" spans="1:43" x14ac:dyDescent="0.3">
      <c r="A7" s="10">
        <f>'results and SN plots'!G16</f>
        <v>400</v>
      </c>
      <c r="B7" s="10">
        <f>'results and SN plots'!B16</f>
        <v>0.3</v>
      </c>
      <c r="C7" s="10">
        <f>'results and SN plots'!C16</f>
        <v>0.55000000000000004</v>
      </c>
      <c r="D7" s="10">
        <f>'results and SN plots'!E16</f>
        <v>3</v>
      </c>
      <c r="E7" s="10">
        <f>'results and SN plots'!F16</f>
        <v>8</v>
      </c>
      <c r="F7" s="10">
        <f>'results and SN plots'!D16</f>
        <v>0.38</v>
      </c>
      <c r="G7" s="10">
        <f>'results and SN plots'!H16</f>
        <v>0.9</v>
      </c>
      <c r="H7" s="55">
        <f>'results and SN plots'!AG37</f>
        <v>15.455000000000002</v>
      </c>
      <c r="I7" s="56">
        <f>'results and SN plots'!AK37</f>
        <v>710</v>
      </c>
      <c r="J7" s="10">
        <f>'results and SN plots'!AM37</f>
        <v>7.08</v>
      </c>
      <c r="K7" s="10">
        <f>'results and SN plots'!AP37</f>
        <v>9.5</v>
      </c>
      <c r="L7">
        <f>'results and SN plots'!AQ37</f>
        <v>0.84</v>
      </c>
    </row>
    <row r="8" spans="1:43" x14ac:dyDescent="0.3">
      <c r="A8" s="10">
        <f>'results and SN plots'!G17</f>
        <v>450</v>
      </c>
      <c r="B8" s="10">
        <f>'results and SN plots'!B17</f>
        <v>0.3</v>
      </c>
      <c r="C8" s="10">
        <f>'results and SN plots'!C17</f>
        <v>0.65</v>
      </c>
      <c r="D8" s="10">
        <f>'results and SN plots'!E17</f>
        <v>2</v>
      </c>
      <c r="E8" s="10">
        <f>'results and SN plots'!F17</f>
        <v>12</v>
      </c>
      <c r="F8" s="10">
        <f>'results and SN plots'!D17</f>
        <v>0.34</v>
      </c>
      <c r="G8" s="10">
        <f>'results and SN plots'!H17</f>
        <v>1.1000000000000001</v>
      </c>
      <c r="H8" s="55">
        <f>'results and SN plots'!AG38</f>
        <v>23.881000000000004</v>
      </c>
      <c r="I8" s="56">
        <f>'results and SN plots'!AK38</f>
        <v>665.5</v>
      </c>
      <c r="J8" s="10">
        <f>'results and SN plots'!AM38</f>
        <v>4.3</v>
      </c>
      <c r="K8" s="10">
        <f>'results and SN plots'!AP38</f>
        <v>7</v>
      </c>
      <c r="L8">
        <f>'results and SN plots'!AQ38</f>
        <v>0.63</v>
      </c>
    </row>
    <row r="9" spans="1:43" x14ac:dyDescent="0.3">
      <c r="A9" s="10">
        <f>'results and SN plots'!G18</f>
        <v>500</v>
      </c>
      <c r="B9" s="10">
        <f>'results and SN plots'!B18</f>
        <v>0.3</v>
      </c>
      <c r="C9" s="10">
        <f>'results and SN plots'!C18</f>
        <v>0.45</v>
      </c>
      <c r="D9" s="10">
        <f>'results and SN plots'!E18</f>
        <v>2.5</v>
      </c>
      <c r="E9" s="10">
        <f>'results and SN plots'!F18</f>
        <v>16</v>
      </c>
      <c r="F9" s="10">
        <f>'results and SN plots'!D18</f>
        <v>0.36</v>
      </c>
      <c r="G9" s="10">
        <f>'results and SN plots'!H18</f>
        <v>0.7</v>
      </c>
      <c r="H9" s="55">
        <f>'results and SN plots'!AG39</f>
        <v>20.416</v>
      </c>
      <c r="I9" s="56">
        <f>'results and SN plots'!AK39</f>
        <v>710</v>
      </c>
      <c r="J9" s="10">
        <f>'results and SN plots'!AM39</f>
        <v>4.9000000000000004</v>
      </c>
      <c r="K9" s="10">
        <f>'results and SN plots'!AP39</f>
        <v>9</v>
      </c>
      <c r="L9">
        <f>'results and SN plots'!AQ39</f>
        <v>0.8</v>
      </c>
    </row>
    <row r="10" spans="1:43" x14ac:dyDescent="0.3">
      <c r="H10" s="33"/>
      <c r="I10" s="37"/>
    </row>
    <row r="11" spans="1:43" s="36" customFormat="1" x14ac:dyDescent="0.3">
      <c r="A11" s="62" t="s">
        <v>99</v>
      </c>
      <c r="H11" s="43"/>
      <c r="I11" s="44"/>
      <c r="L11" s="62" t="s">
        <v>93</v>
      </c>
      <c r="V11" s="62" t="s">
        <v>74</v>
      </c>
      <c r="AF11" s="62" t="s">
        <v>103</v>
      </c>
      <c r="AP11" s="36" t="s">
        <v>205</v>
      </c>
    </row>
    <row r="12" spans="1:43" x14ac:dyDescent="0.3">
      <c r="A12" t="s">
        <v>153</v>
      </c>
      <c r="L12" t="s">
        <v>153</v>
      </c>
      <c r="V12" t="s">
        <v>153</v>
      </c>
      <c r="AF12" t="s">
        <v>153</v>
      </c>
      <c r="AP12" t="s">
        <v>153</v>
      </c>
    </row>
    <row r="13" spans="1:43" ht="15" thickBot="1" x14ac:dyDescent="0.35"/>
    <row r="14" spans="1:43" x14ac:dyDescent="0.3">
      <c r="A14" s="59" t="s">
        <v>154</v>
      </c>
      <c r="B14" s="59"/>
      <c r="L14" s="59" t="s">
        <v>154</v>
      </c>
      <c r="M14" s="59"/>
      <c r="V14" s="59" t="s">
        <v>154</v>
      </c>
      <c r="W14" s="59"/>
      <c r="AF14" s="59" t="s">
        <v>154</v>
      </c>
      <c r="AG14" s="59"/>
      <c r="AP14" s="59" t="s">
        <v>154</v>
      </c>
      <c r="AQ14" s="59"/>
    </row>
    <row r="15" spans="1:43" x14ac:dyDescent="0.3">
      <c r="A15" t="s">
        <v>155</v>
      </c>
      <c r="B15">
        <v>1</v>
      </c>
      <c r="L15" t="s">
        <v>155</v>
      </c>
      <c r="M15">
        <v>1</v>
      </c>
      <c r="V15" t="s">
        <v>155</v>
      </c>
      <c r="W15">
        <v>1</v>
      </c>
      <c r="AF15" t="s">
        <v>155</v>
      </c>
      <c r="AG15">
        <v>1</v>
      </c>
      <c r="AP15" t="s">
        <v>155</v>
      </c>
      <c r="AQ15">
        <v>1</v>
      </c>
    </row>
    <row r="16" spans="1:43" x14ac:dyDescent="0.3">
      <c r="A16" t="s">
        <v>156</v>
      </c>
      <c r="B16">
        <v>1</v>
      </c>
      <c r="L16" t="s">
        <v>156</v>
      </c>
      <c r="M16">
        <v>1</v>
      </c>
      <c r="V16" t="s">
        <v>156</v>
      </c>
      <c r="W16">
        <v>1</v>
      </c>
      <c r="AF16" t="s">
        <v>156</v>
      </c>
      <c r="AG16">
        <v>1</v>
      </c>
      <c r="AP16" t="s">
        <v>156</v>
      </c>
      <c r="AQ16">
        <v>1</v>
      </c>
    </row>
    <row r="17" spans="1:50" x14ac:dyDescent="0.3">
      <c r="A17" t="s">
        <v>157</v>
      </c>
      <c r="B17">
        <v>65535</v>
      </c>
      <c r="L17" t="s">
        <v>157</v>
      </c>
      <c r="M17">
        <v>65535</v>
      </c>
      <c r="V17" t="s">
        <v>157</v>
      </c>
      <c r="W17">
        <v>65535</v>
      </c>
      <c r="AF17" t="s">
        <v>157</v>
      </c>
      <c r="AG17">
        <v>65535</v>
      </c>
      <c r="AP17" t="s">
        <v>157</v>
      </c>
      <c r="AQ17">
        <v>65535</v>
      </c>
    </row>
    <row r="18" spans="1:50" x14ac:dyDescent="0.3">
      <c r="A18" t="s">
        <v>158</v>
      </c>
      <c r="B18">
        <v>0</v>
      </c>
      <c r="L18" t="s">
        <v>158</v>
      </c>
      <c r="M18">
        <v>0</v>
      </c>
      <c r="V18" t="s">
        <v>158</v>
      </c>
      <c r="W18">
        <v>0</v>
      </c>
      <c r="AF18" t="s">
        <v>158</v>
      </c>
      <c r="AG18">
        <v>0</v>
      </c>
      <c r="AP18" t="s">
        <v>158</v>
      </c>
      <c r="AQ18">
        <v>0</v>
      </c>
    </row>
    <row r="19" spans="1:50" ht="15" thickBot="1" x14ac:dyDescent="0.35">
      <c r="A19" s="57" t="s">
        <v>159</v>
      </c>
      <c r="B19" s="57">
        <v>6</v>
      </c>
      <c r="L19" s="57" t="s">
        <v>159</v>
      </c>
      <c r="M19" s="57">
        <v>6</v>
      </c>
      <c r="V19" s="57" t="s">
        <v>159</v>
      </c>
      <c r="W19" s="57">
        <v>6</v>
      </c>
      <c r="AF19" s="57" t="s">
        <v>159</v>
      </c>
      <c r="AG19" s="57">
        <v>6</v>
      </c>
      <c r="AP19" s="57" t="s">
        <v>159</v>
      </c>
      <c r="AQ19" s="57">
        <v>6</v>
      </c>
    </row>
    <row r="21" spans="1:50" ht="15" thickBot="1" x14ac:dyDescent="0.35">
      <c r="A21" t="s">
        <v>160</v>
      </c>
      <c r="L21" t="s">
        <v>160</v>
      </c>
      <c r="V21" t="s">
        <v>160</v>
      </c>
      <c r="AF21" t="s">
        <v>160</v>
      </c>
      <c r="AP21" t="s">
        <v>160</v>
      </c>
    </row>
    <row r="22" spans="1:50" x14ac:dyDescent="0.3">
      <c r="A22" s="58"/>
      <c r="B22" s="58" t="s">
        <v>165</v>
      </c>
      <c r="C22" s="58" t="s">
        <v>136</v>
      </c>
      <c r="D22" s="58" t="s">
        <v>166</v>
      </c>
      <c r="E22" s="58" t="s">
        <v>167</v>
      </c>
      <c r="F22" s="58" t="s">
        <v>168</v>
      </c>
      <c r="L22" s="58"/>
      <c r="M22" s="58" t="s">
        <v>165</v>
      </c>
      <c r="N22" s="58" t="s">
        <v>136</v>
      </c>
      <c r="O22" s="58" t="s">
        <v>166</v>
      </c>
      <c r="P22" s="58" t="s">
        <v>167</v>
      </c>
      <c r="Q22" s="58" t="s">
        <v>168</v>
      </c>
      <c r="V22" s="58"/>
      <c r="W22" s="58" t="s">
        <v>165</v>
      </c>
      <c r="X22" s="58" t="s">
        <v>136</v>
      </c>
      <c r="Y22" s="58" t="s">
        <v>166</v>
      </c>
      <c r="Z22" s="58" t="s">
        <v>167</v>
      </c>
      <c r="AA22" s="58" t="s">
        <v>168</v>
      </c>
      <c r="AF22" s="58"/>
      <c r="AG22" s="58" t="s">
        <v>165</v>
      </c>
      <c r="AH22" s="58" t="s">
        <v>136</v>
      </c>
      <c r="AI22" s="58" t="s">
        <v>166</v>
      </c>
      <c r="AJ22" s="58" t="s">
        <v>167</v>
      </c>
      <c r="AK22" s="58" t="s">
        <v>168</v>
      </c>
      <c r="AP22" s="58"/>
      <c r="AQ22" s="58" t="s">
        <v>165</v>
      </c>
      <c r="AR22" s="58" t="s">
        <v>136</v>
      </c>
      <c r="AS22" s="58" t="s">
        <v>166</v>
      </c>
      <c r="AT22" s="58" t="s">
        <v>167</v>
      </c>
      <c r="AU22" s="58" t="s">
        <v>168</v>
      </c>
    </row>
    <row r="23" spans="1:50" x14ac:dyDescent="0.3">
      <c r="A23" t="s">
        <v>161</v>
      </c>
      <c r="B23">
        <v>7</v>
      </c>
      <c r="C23">
        <v>118.46738933333336</v>
      </c>
      <c r="D23">
        <v>16.923912761904766</v>
      </c>
      <c r="E23" t="e">
        <v>#NUM!</v>
      </c>
      <c r="F23" t="e">
        <v>#NUM!</v>
      </c>
      <c r="L23" t="s">
        <v>161</v>
      </c>
      <c r="M23">
        <v>7</v>
      </c>
      <c r="N23">
        <v>33226.208333333336</v>
      </c>
      <c r="O23">
        <v>4746.6011904761908</v>
      </c>
      <c r="P23" t="e">
        <v>#NUM!</v>
      </c>
      <c r="Q23" t="e">
        <v>#NUM!</v>
      </c>
      <c r="V23" t="s">
        <v>161</v>
      </c>
      <c r="W23">
        <v>7</v>
      </c>
      <c r="X23">
        <v>7.3371333333333348</v>
      </c>
      <c r="Y23">
        <v>1.0481619047619051</v>
      </c>
      <c r="Z23" t="e">
        <v>#NUM!</v>
      </c>
      <c r="AA23" t="e">
        <v>#NUM!</v>
      </c>
      <c r="AF23" t="s">
        <v>161</v>
      </c>
      <c r="AG23">
        <v>7</v>
      </c>
      <c r="AH23">
        <v>14.33333333333333</v>
      </c>
      <c r="AI23">
        <v>2.047619047619047</v>
      </c>
      <c r="AJ23" t="e">
        <v>#NUM!</v>
      </c>
      <c r="AK23" t="e">
        <v>#NUM!</v>
      </c>
      <c r="AP23" t="s">
        <v>161</v>
      </c>
      <c r="AQ23">
        <v>7</v>
      </c>
      <c r="AR23">
        <v>3.438999999999999E-2</v>
      </c>
      <c r="AS23">
        <v>4.9128571428571416E-3</v>
      </c>
      <c r="AT23" t="e">
        <v>#NUM!</v>
      </c>
      <c r="AU23" t="e">
        <v>#NUM!</v>
      </c>
    </row>
    <row r="24" spans="1:50" x14ac:dyDescent="0.3">
      <c r="A24" t="s">
        <v>162</v>
      </c>
      <c r="B24">
        <v>0</v>
      </c>
      <c r="C24">
        <v>0</v>
      </c>
      <c r="D24">
        <v>65535</v>
      </c>
      <c r="L24" t="s">
        <v>162</v>
      </c>
      <c r="M24">
        <v>0</v>
      </c>
      <c r="N24">
        <v>0</v>
      </c>
      <c r="O24">
        <v>65535</v>
      </c>
      <c r="V24" t="s">
        <v>162</v>
      </c>
      <c r="W24">
        <v>0</v>
      </c>
      <c r="X24">
        <v>0</v>
      </c>
      <c r="Y24">
        <v>65535</v>
      </c>
      <c r="AF24" t="s">
        <v>162</v>
      </c>
      <c r="AG24">
        <v>0</v>
      </c>
      <c r="AH24">
        <v>0</v>
      </c>
      <c r="AI24">
        <v>65535</v>
      </c>
      <c r="AP24" t="s">
        <v>162</v>
      </c>
      <c r="AQ24">
        <v>0</v>
      </c>
      <c r="AR24">
        <v>0</v>
      </c>
      <c r="AS24">
        <v>65535</v>
      </c>
    </row>
    <row r="25" spans="1:50" ht="15" thickBot="1" x14ac:dyDescent="0.35">
      <c r="A25" s="57" t="s">
        <v>163</v>
      </c>
      <c r="B25" s="57">
        <v>7</v>
      </c>
      <c r="C25" s="57">
        <v>118.46738933333336</v>
      </c>
      <c r="D25" s="57"/>
      <c r="E25" s="57"/>
      <c r="F25" s="57"/>
      <c r="L25" s="57" t="s">
        <v>163</v>
      </c>
      <c r="M25" s="57">
        <v>7</v>
      </c>
      <c r="N25" s="57">
        <v>33226.208333333336</v>
      </c>
      <c r="O25" s="57"/>
      <c r="P25" s="57"/>
      <c r="Q25" s="57"/>
      <c r="V25" s="57" t="s">
        <v>163</v>
      </c>
      <c r="W25" s="57">
        <v>7</v>
      </c>
      <c r="X25" s="57">
        <v>7.3371333333333348</v>
      </c>
      <c r="Y25" s="57"/>
      <c r="Z25" s="57"/>
      <c r="AA25" s="57"/>
      <c r="AF25" s="57" t="s">
        <v>163</v>
      </c>
      <c r="AG25" s="57">
        <v>7</v>
      </c>
      <c r="AH25" s="57">
        <v>14.33333333333333</v>
      </c>
      <c r="AI25" s="57"/>
      <c r="AJ25" s="57"/>
      <c r="AK25" s="57"/>
      <c r="AP25" s="57" t="s">
        <v>163</v>
      </c>
      <c r="AQ25" s="57">
        <v>7</v>
      </c>
      <c r="AR25" s="57">
        <v>3.438999999999999E-2</v>
      </c>
      <c r="AS25" s="57"/>
      <c r="AT25" s="57"/>
      <c r="AU25" s="57"/>
    </row>
    <row r="26" spans="1:50" ht="15" thickBot="1" x14ac:dyDescent="0.35"/>
    <row r="27" spans="1:50" x14ac:dyDescent="0.3">
      <c r="A27" s="58"/>
      <c r="B27" s="58" t="s">
        <v>169</v>
      </c>
      <c r="C27" s="58" t="s">
        <v>158</v>
      </c>
      <c r="D27" s="58" t="s">
        <v>170</v>
      </c>
      <c r="E27" s="58" t="s">
        <v>171</v>
      </c>
      <c r="F27" s="58" t="s">
        <v>172</v>
      </c>
      <c r="G27" s="58" t="s">
        <v>173</v>
      </c>
      <c r="H27" s="58" t="s">
        <v>174</v>
      </c>
      <c r="I27" s="58" t="s">
        <v>175</v>
      </c>
      <c r="L27" s="58"/>
      <c r="M27" s="58" t="s">
        <v>169</v>
      </c>
      <c r="N27" s="58" t="s">
        <v>158</v>
      </c>
      <c r="O27" s="58" t="s">
        <v>170</v>
      </c>
      <c r="P27" s="58" t="s">
        <v>171</v>
      </c>
      <c r="Q27" s="58" t="s">
        <v>172</v>
      </c>
      <c r="R27" s="58" t="s">
        <v>173</v>
      </c>
      <c r="S27" s="58" t="s">
        <v>174</v>
      </c>
      <c r="T27" s="58" t="s">
        <v>175</v>
      </c>
      <c r="V27" s="58"/>
      <c r="W27" s="58" t="s">
        <v>169</v>
      </c>
      <c r="X27" s="58" t="s">
        <v>158</v>
      </c>
      <c r="Y27" s="58" t="s">
        <v>170</v>
      </c>
      <c r="Z27" s="58" t="s">
        <v>171</v>
      </c>
      <c r="AA27" s="58" t="s">
        <v>172</v>
      </c>
      <c r="AB27" s="58" t="s">
        <v>173</v>
      </c>
      <c r="AC27" s="58" t="s">
        <v>174</v>
      </c>
      <c r="AD27" s="58" t="s">
        <v>175</v>
      </c>
      <c r="AF27" s="58"/>
      <c r="AG27" s="58" t="s">
        <v>169</v>
      </c>
      <c r="AH27" s="58" t="s">
        <v>158</v>
      </c>
      <c r="AI27" s="58" t="s">
        <v>170</v>
      </c>
      <c r="AJ27" s="58" t="s">
        <v>171</v>
      </c>
      <c r="AK27" s="58" t="s">
        <v>172</v>
      </c>
      <c r="AL27" s="58" t="s">
        <v>173</v>
      </c>
      <c r="AM27" s="58" t="s">
        <v>174</v>
      </c>
      <c r="AN27" s="58" t="s">
        <v>175</v>
      </c>
      <c r="AP27" s="58"/>
      <c r="AQ27" s="58" t="s">
        <v>169</v>
      </c>
      <c r="AR27" s="58" t="s">
        <v>158</v>
      </c>
      <c r="AS27" s="58" t="s">
        <v>170</v>
      </c>
      <c r="AT27" s="58" t="s">
        <v>171</v>
      </c>
      <c r="AU27" s="58" t="s">
        <v>172</v>
      </c>
      <c r="AV27" s="58" t="s">
        <v>173</v>
      </c>
      <c r="AW27" s="58" t="s">
        <v>174</v>
      </c>
      <c r="AX27" s="58" t="s">
        <v>175</v>
      </c>
    </row>
    <row r="28" spans="1:50" x14ac:dyDescent="0.3">
      <c r="A28" t="s">
        <v>164</v>
      </c>
      <c r="B28">
        <v>-40.795333333333346</v>
      </c>
      <c r="C28">
        <v>0</v>
      </c>
      <c r="D28">
        <v>65535</v>
      </c>
      <c r="E28" t="e">
        <v>#NUM!</v>
      </c>
      <c r="F28">
        <v>-40.795333333333346</v>
      </c>
      <c r="G28">
        <v>-40.795333333333346</v>
      </c>
      <c r="H28">
        <v>-40.795333333333346</v>
      </c>
      <c r="I28">
        <v>-40.795333333333346</v>
      </c>
      <c r="L28" t="s">
        <v>164</v>
      </c>
      <c r="M28">
        <v>-547.91666666666652</v>
      </c>
      <c r="N28">
        <v>0</v>
      </c>
      <c r="O28">
        <v>65535</v>
      </c>
      <c r="P28" t="e">
        <v>#NUM!</v>
      </c>
      <c r="Q28">
        <v>-547.91666666666652</v>
      </c>
      <c r="R28">
        <v>-547.91666666666652</v>
      </c>
      <c r="S28">
        <v>-547.91666666666652</v>
      </c>
      <c r="T28">
        <v>-547.91666666666652</v>
      </c>
      <c r="V28" t="s">
        <v>164</v>
      </c>
      <c r="W28">
        <v>11.213333333333329</v>
      </c>
      <c r="X28">
        <v>0</v>
      </c>
      <c r="Y28">
        <v>65535</v>
      </c>
      <c r="Z28" t="e">
        <v>#NUM!</v>
      </c>
      <c r="AA28">
        <v>11.213333333333329</v>
      </c>
      <c r="AB28">
        <v>11.213333333333329</v>
      </c>
      <c r="AC28">
        <v>11.213333333333329</v>
      </c>
      <c r="AD28">
        <v>11.213333333333329</v>
      </c>
      <c r="AF28" t="s">
        <v>164</v>
      </c>
      <c r="AG28">
        <v>31.749999999999996</v>
      </c>
      <c r="AH28">
        <v>0</v>
      </c>
      <c r="AI28">
        <v>65535</v>
      </c>
      <c r="AJ28" t="e">
        <v>#NUM!</v>
      </c>
      <c r="AK28">
        <v>31.749999999999996</v>
      </c>
      <c r="AL28">
        <v>31.749999999999996</v>
      </c>
      <c r="AM28">
        <v>31.749999999999996</v>
      </c>
      <c r="AN28">
        <v>31.749999999999996</v>
      </c>
      <c r="AP28" t="s">
        <v>164</v>
      </c>
      <c r="AQ28">
        <v>-8.8666666666666144E-2</v>
      </c>
      <c r="AR28">
        <v>0</v>
      </c>
      <c r="AS28">
        <v>65535</v>
      </c>
      <c r="AT28" t="e">
        <v>#NUM!</v>
      </c>
      <c r="AU28">
        <v>-8.8666666666666144E-2</v>
      </c>
      <c r="AV28">
        <v>-8.8666666666666144E-2</v>
      </c>
      <c r="AW28">
        <v>-8.8666666666666144E-2</v>
      </c>
      <c r="AX28">
        <v>-8.8666666666666144E-2</v>
      </c>
    </row>
    <row r="29" spans="1:50" x14ac:dyDescent="0.3">
      <c r="A29" t="s">
        <v>24</v>
      </c>
      <c r="B29">
        <v>1.7966666666666659E-2</v>
      </c>
      <c r="C29">
        <v>0</v>
      </c>
      <c r="D29">
        <v>65535</v>
      </c>
      <c r="E29" t="e">
        <v>#NUM!</v>
      </c>
      <c r="F29">
        <v>1.7966666666666659E-2</v>
      </c>
      <c r="G29">
        <v>1.7966666666666659E-2</v>
      </c>
      <c r="H29">
        <v>1.7966666666666659E-2</v>
      </c>
      <c r="I29">
        <v>1.7966666666666659E-2</v>
      </c>
      <c r="L29" t="s">
        <v>24</v>
      </c>
      <c r="M29">
        <v>1.8633333333333328</v>
      </c>
      <c r="N29">
        <v>0</v>
      </c>
      <c r="O29">
        <v>65535</v>
      </c>
      <c r="P29" t="e">
        <v>#NUM!</v>
      </c>
      <c r="Q29">
        <v>1.8633333333333328</v>
      </c>
      <c r="R29">
        <v>1.8633333333333328</v>
      </c>
      <c r="S29">
        <v>1.8633333333333328</v>
      </c>
      <c r="T29">
        <v>1.8633333333333328</v>
      </c>
      <c r="V29" t="s">
        <v>24</v>
      </c>
      <c r="W29">
        <v>-1.1599999999999992E-2</v>
      </c>
      <c r="X29">
        <v>0</v>
      </c>
      <c r="Y29">
        <v>65535</v>
      </c>
      <c r="Z29" t="e">
        <v>#NUM!</v>
      </c>
      <c r="AA29">
        <v>-1.1599999999999992E-2</v>
      </c>
      <c r="AB29">
        <v>-1.1599999999999992E-2</v>
      </c>
      <c r="AC29">
        <v>-1.1599999999999992E-2</v>
      </c>
      <c r="AD29">
        <v>-1.1599999999999992E-2</v>
      </c>
      <c r="AF29" t="s">
        <v>24</v>
      </c>
      <c r="AG29">
        <v>-3.3333333333333344E-3</v>
      </c>
      <c r="AH29">
        <v>0</v>
      </c>
      <c r="AI29">
        <v>65535</v>
      </c>
      <c r="AJ29" t="e">
        <v>#NUM!</v>
      </c>
      <c r="AK29">
        <v>-3.3333333333333344E-3</v>
      </c>
      <c r="AL29">
        <v>-3.3333333333333344E-3</v>
      </c>
      <c r="AM29">
        <v>-3.3333333333333344E-3</v>
      </c>
      <c r="AN29">
        <v>-3.3333333333333344E-3</v>
      </c>
      <c r="AP29" t="s">
        <v>24</v>
      </c>
      <c r="AQ29">
        <v>1.8799999999999997E-3</v>
      </c>
      <c r="AR29">
        <v>0</v>
      </c>
      <c r="AS29">
        <v>65535</v>
      </c>
      <c r="AT29" t="e">
        <v>#NUM!</v>
      </c>
      <c r="AU29">
        <v>1.8799999999999997E-3</v>
      </c>
      <c r="AV29">
        <v>1.8799999999999997E-3</v>
      </c>
      <c r="AW29">
        <v>1.8799999999999997E-3</v>
      </c>
      <c r="AX29">
        <v>1.8799999999999997E-3</v>
      </c>
    </row>
    <row r="30" spans="1:50" x14ac:dyDescent="0.3">
      <c r="A30" t="s">
        <v>59</v>
      </c>
      <c r="B30">
        <v>47.81333333333334</v>
      </c>
      <c r="C30">
        <v>0</v>
      </c>
      <c r="D30">
        <v>65535</v>
      </c>
      <c r="E30" t="e">
        <v>#NUM!</v>
      </c>
      <c r="F30">
        <v>47.81333333333334</v>
      </c>
      <c r="G30">
        <v>47.81333333333334</v>
      </c>
      <c r="H30">
        <v>47.81333333333334</v>
      </c>
      <c r="I30">
        <v>47.81333333333334</v>
      </c>
      <c r="L30" t="s">
        <v>59</v>
      </c>
      <c r="M30">
        <v>535.00000000000057</v>
      </c>
      <c r="N30">
        <v>0</v>
      </c>
      <c r="O30">
        <v>65535</v>
      </c>
      <c r="P30" t="e">
        <v>#NUM!</v>
      </c>
      <c r="Q30">
        <v>535.00000000000057</v>
      </c>
      <c r="R30">
        <v>535.00000000000057</v>
      </c>
      <c r="S30">
        <v>535.00000000000057</v>
      </c>
      <c r="T30">
        <v>535.00000000000057</v>
      </c>
      <c r="V30" t="s">
        <v>59</v>
      </c>
      <c r="W30">
        <v>4.6000000000000032</v>
      </c>
      <c r="X30">
        <v>0</v>
      </c>
      <c r="Y30">
        <v>65535</v>
      </c>
      <c r="Z30" t="e">
        <v>#NUM!</v>
      </c>
      <c r="AA30">
        <v>4.6000000000000032</v>
      </c>
      <c r="AB30">
        <v>4.6000000000000032</v>
      </c>
      <c r="AC30">
        <v>4.6000000000000032</v>
      </c>
      <c r="AD30">
        <v>4.6000000000000032</v>
      </c>
      <c r="AF30" t="s">
        <v>59</v>
      </c>
      <c r="AG30">
        <v>-6.6666666666666652</v>
      </c>
      <c r="AH30">
        <v>0</v>
      </c>
      <c r="AI30">
        <v>65535</v>
      </c>
      <c r="AJ30" t="e">
        <v>#NUM!</v>
      </c>
      <c r="AK30">
        <v>-6.6666666666666652</v>
      </c>
      <c r="AL30">
        <v>-6.6666666666666652</v>
      </c>
      <c r="AM30">
        <v>-6.6666666666666652</v>
      </c>
      <c r="AN30">
        <v>-6.6666666666666652</v>
      </c>
      <c r="AP30" t="s">
        <v>59</v>
      </c>
      <c r="AQ30">
        <v>-0.4066666666666664</v>
      </c>
      <c r="AR30">
        <v>0</v>
      </c>
      <c r="AS30">
        <v>65535</v>
      </c>
      <c r="AT30" t="e">
        <v>#NUM!</v>
      </c>
      <c r="AU30">
        <v>-0.4066666666666664</v>
      </c>
      <c r="AV30">
        <v>-0.4066666666666664</v>
      </c>
      <c r="AW30">
        <v>-0.4066666666666664</v>
      </c>
      <c r="AX30">
        <v>-0.4066666666666664</v>
      </c>
    </row>
    <row r="31" spans="1:50" x14ac:dyDescent="0.3">
      <c r="A31" t="s">
        <v>16</v>
      </c>
      <c r="B31">
        <v>43.926666666666691</v>
      </c>
      <c r="C31">
        <v>0</v>
      </c>
      <c r="D31">
        <v>65535</v>
      </c>
      <c r="E31" t="e">
        <v>#NUM!</v>
      </c>
      <c r="F31">
        <v>43.926666666666691</v>
      </c>
      <c r="G31">
        <v>43.926666666666691</v>
      </c>
      <c r="H31">
        <v>43.926666666666691</v>
      </c>
      <c r="I31">
        <v>43.926666666666691</v>
      </c>
      <c r="L31" t="s">
        <v>16</v>
      </c>
      <c r="M31">
        <v>244.99999999999986</v>
      </c>
      <c r="N31">
        <v>0</v>
      </c>
      <c r="O31">
        <v>65535</v>
      </c>
      <c r="P31" t="e">
        <v>#NUM!</v>
      </c>
      <c r="Q31">
        <v>244.99999999999986</v>
      </c>
      <c r="R31">
        <v>244.99999999999986</v>
      </c>
      <c r="S31">
        <v>244.99999999999986</v>
      </c>
      <c r="T31">
        <v>244.99999999999986</v>
      </c>
      <c r="V31" t="s">
        <v>16</v>
      </c>
      <c r="W31">
        <v>-5.7333333333333343</v>
      </c>
      <c r="X31">
        <v>0</v>
      </c>
      <c r="Y31">
        <v>65535</v>
      </c>
      <c r="Z31" t="e">
        <v>#NUM!</v>
      </c>
      <c r="AA31">
        <v>-5.7333333333333343</v>
      </c>
      <c r="AB31">
        <v>-5.7333333333333343</v>
      </c>
      <c r="AC31">
        <v>-5.7333333333333343</v>
      </c>
      <c r="AD31">
        <v>-5.7333333333333343</v>
      </c>
      <c r="AF31" t="s">
        <v>16</v>
      </c>
      <c r="AG31">
        <v>-21.666666666666661</v>
      </c>
      <c r="AH31">
        <v>0</v>
      </c>
      <c r="AI31">
        <v>65535</v>
      </c>
      <c r="AJ31" t="e">
        <v>#NUM!</v>
      </c>
      <c r="AK31">
        <v>-21.666666666666661</v>
      </c>
      <c r="AL31">
        <v>-21.666666666666661</v>
      </c>
      <c r="AM31">
        <v>-21.666666666666661</v>
      </c>
      <c r="AN31">
        <v>-21.666666666666661</v>
      </c>
      <c r="AP31" t="s">
        <v>16</v>
      </c>
      <c r="AQ31">
        <v>-0.26666666666666705</v>
      </c>
      <c r="AR31">
        <v>0</v>
      </c>
      <c r="AS31">
        <v>65535</v>
      </c>
      <c r="AT31" t="e">
        <v>#NUM!</v>
      </c>
      <c r="AU31">
        <v>-0.26666666666666705</v>
      </c>
      <c r="AV31">
        <v>-0.26666666666666705</v>
      </c>
      <c r="AW31">
        <v>-0.26666666666666705</v>
      </c>
      <c r="AX31">
        <v>-0.26666666666666705</v>
      </c>
    </row>
    <row r="32" spans="1:50" x14ac:dyDescent="0.3">
      <c r="A32" t="s">
        <v>2</v>
      </c>
      <c r="B32">
        <v>0.85799999999999943</v>
      </c>
      <c r="C32">
        <v>0</v>
      </c>
      <c r="D32">
        <v>65535</v>
      </c>
      <c r="E32" t="e">
        <v>#NUM!</v>
      </c>
      <c r="F32">
        <v>0.85799999999999943</v>
      </c>
      <c r="G32">
        <v>0.85799999999999943</v>
      </c>
      <c r="H32">
        <v>0.85799999999999943</v>
      </c>
      <c r="I32">
        <v>0.85799999999999943</v>
      </c>
      <c r="L32" t="s">
        <v>2</v>
      </c>
      <c r="M32">
        <v>108.33333333333329</v>
      </c>
      <c r="N32">
        <v>0</v>
      </c>
      <c r="O32">
        <v>65535</v>
      </c>
      <c r="P32" t="e">
        <v>#NUM!</v>
      </c>
      <c r="Q32">
        <v>108.33333333333329</v>
      </c>
      <c r="R32">
        <v>108.33333333333329</v>
      </c>
      <c r="S32">
        <v>108.33333333333329</v>
      </c>
      <c r="T32">
        <v>108.33333333333329</v>
      </c>
      <c r="V32" t="s">
        <v>2</v>
      </c>
      <c r="W32">
        <v>1.1066666666666674</v>
      </c>
      <c r="X32">
        <v>0</v>
      </c>
      <c r="Y32">
        <v>65535</v>
      </c>
      <c r="Z32" t="e">
        <v>#NUM!</v>
      </c>
      <c r="AA32">
        <v>1.1066666666666674</v>
      </c>
      <c r="AB32">
        <v>1.1066666666666674</v>
      </c>
      <c r="AC32">
        <v>1.1066666666666674</v>
      </c>
      <c r="AD32">
        <v>1.1066666666666674</v>
      </c>
      <c r="AF32" t="s">
        <v>2</v>
      </c>
      <c r="AG32">
        <v>-1.3333333333333326</v>
      </c>
      <c r="AH32">
        <v>0</v>
      </c>
      <c r="AI32">
        <v>65535</v>
      </c>
      <c r="AJ32" t="e">
        <v>#NUM!</v>
      </c>
      <c r="AK32">
        <v>-1.3333333333333326</v>
      </c>
      <c r="AL32">
        <v>-1.3333333333333326</v>
      </c>
      <c r="AM32">
        <v>-1.3333333333333326</v>
      </c>
      <c r="AN32">
        <v>-1.3333333333333326</v>
      </c>
      <c r="AP32" t="s">
        <v>2</v>
      </c>
      <c r="AQ32">
        <v>0.19999999999999993</v>
      </c>
      <c r="AR32">
        <v>0</v>
      </c>
      <c r="AS32">
        <v>65535</v>
      </c>
      <c r="AT32" t="e">
        <v>#NUM!</v>
      </c>
      <c r="AU32">
        <v>0.19999999999999993</v>
      </c>
      <c r="AV32">
        <v>0.19999999999999993</v>
      </c>
      <c r="AW32">
        <v>0.19999999999999993</v>
      </c>
      <c r="AX32">
        <v>0.19999999999999993</v>
      </c>
    </row>
    <row r="33" spans="1:50" x14ac:dyDescent="0.3">
      <c r="A33" t="s">
        <v>3</v>
      </c>
      <c r="B33">
        <v>0.99825000000000053</v>
      </c>
      <c r="C33">
        <v>0</v>
      </c>
      <c r="D33">
        <v>65535</v>
      </c>
      <c r="E33" t="e">
        <v>#NUM!</v>
      </c>
      <c r="F33">
        <v>0.99825000000000053</v>
      </c>
      <c r="G33">
        <v>0.99825000000000053</v>
      </c>
      <c r="H33">
        <v>0.99825000000000053</v>
      </c>
      <c r="I33">
        <v>0.99825000000000053</v>
      </c>
      <c r="L33" t="s">
        <v>3</v>
      </c>
      <c r="M33">
        <v>-13.458333333333334</v>
      </c>
      <c r="N33">
        <v>0</v>
      </c>
      <c r="O33">
        <v>65535</v>
      </c>
      <c r="P33" t="e">
        <v>#NUM!</v>
      </c>
      <c r="Q33">
        <v>-13.458333333333334</v>
      </c>
      <c r="R33">
        <v>-13.458333333333334</v>
      </c>
      <c r="S33">
        <v>-13.458333333333334</v>
      </c>
      <c r="T33">
        <v>-13.458333333333334</v>
      </c>
      <c r="V33" t="s">
        <v>3</v>
      </c>
      <c r="W33">
        <v>-0.13000000000000003</v>
      </c>
      <c r="X33">
        <v>0</v>
      </c>
      <c r="Y33">
        <v>65535</v>
      </c>
      <c r="Z33" t="e">
        <v>#NUM!</v>
      </c>
      <c r="AA33">
        <v>-0.13000000000000003</v>
      </c>
      <c r="AB33">
        <v>-0.13000000000000003</v>
      </c>
      <c r="AC33">
        <v>-0.13000000000000003</v>
      </c>
      <c r="AD33">
        <v>-0.13000000000000003</v>
      </c>
      <c r="AF33" t="s">
        <v>3</v>
      </c>
      <c r="AG33">
        <v>-0.37499999999999994</v>
      </c>
      <c r="AH33">
        <v>0</v>
      </c>
      <c r="AI33">
        <v>65535</v>
      </c>
      <c r="AJ33" t="e">
        <v>#NUM!</v>
      </c>
      <c r="AK33">
        <v>-0.37499999999999994</v>
      </c>
      <c r="AL33">
        <v>-0.37499999999999994</v>
      </c>
      <c r="AM33">
        <v>-0.37499999999999994</v>
      </c>
      <c r="AN33">
        <v>-0.37499999999999994</v>
      </c>
      <c r="AP33" t="s">
        <v>3</v>
      </c>
      <c r="AQ33">
        <v>-1.9333333333333334E-2</v>
      </c>
      <c r="AR33">
        <v>0</v>
      </c>
      <c r="AS33">
        <v>65535</v>
      </c>
      <c r="AT33" t="e">
        <v>#NUM!</v>
      </c>
      <c r="AU33">
        <v>-1.9333333333333334E-2</v>
      </c>
      <c r="AV33">
        <v>-1.9333333333333334E-2</v>
      </c>
      <c r="AW33">
        <v>-1.9333333333333334E-2</v>
      </c>
      <c r="AX33">
        <v>-1.9333333333333334E-2</v>
      </c>
    </row>
    <row r="34" spans="1:50" x14ac:dyDescent="0.3">
      <c r="A34" t="s">
        <v>1</v>
      </c>
      <c r="B34">
        <v>0</v>
      </c>
      <c r="C34">
        <v>0</v>
      </c>
      <c r="D34">
        <v>65535</v>
      </c>
      <c r="E34" t="e">
        <v>#NUM!</v>
      </c>
      <c r="F34">
        <v>0</v>
      </c>
      <c r="G34">
        <v>0</v>
      </c>
      <c r="H34">
        <v>0</v>
      </c>
      <c r="I34">
        <v>0</v>
      </c>
      <c r="L34" t="s">
        <v>1</v>
      </c>
      <c r="M34">
        <v>0</v>
      </c>
      <c r="N34">
        <v>0</v>
      </c>
      <c r="O34">
        <v>65535</v>
      </c>
      <c r="P34" t="e">
        <v>#NUM!</v>
      </c>
      <c r="Q34">
        <v>0</v>
      </c>
      <c r="R34">
        <v>0</v>
      </c>
      <c r="S34">
        <v>0</v>
      </c>
      <c r="T34">
        <v>0</v>
      </c>
      <c r="V34" t="s">
        <v>1</v>
      </c>
      <c r="W34">
        <v>0</v>
      </c>
      <c r="X34">
        <v>0</v>
      </c>
      <c r="Y34">
        <v>65535</v>
      </c>
      <c r="Z34" t="e">
        <v>#NUM!</v>
      </c>
      <c r="AA34">
        <v>0</v>
      </c>
      <c r="AB34">
        <v>0</v>
      </c>
      <c r="AC34">
        <v>0</v>
      </c>
      <c r="AD34">
        <v>0</v>
      </c>
      <c r="AF34" t="s">
        <v>1</v>
      </c>
      <c r="AG34">
        <v>0</v>
      </c>
      <c r="AH34">
        <v>0</v>
      </c>
      <c r="AI34">
        <v>65535</v>
      </c>
      <c r="AJ34" t="e">
        <v>#NUM!</v>
      </c>
      <c r="AK34">
        <v>0</v>
      </c>
      <c r="AL34">
        <v>0</v>
      </c>
      <c r="AM34">
        <v>0</v>
      </c>
      <c r="AN34">
        <v>0</v>
      </c>
      <c r="AP34" t="s">
        <v>1</v>
      </c>
      <c r="AQ34">
        <v>0</v>
      </c>
      <c r="AR34">
        <v>0</v>
      </c>
      <c r="AS34">
        <v>65535</v>
      </c>
      <c r="AT34" t="e">
        <v>#NUM!</v>
      </c>
      <c r="AU34">
        <v>0</v>
      </c>
      <c r="AV34">
        <v>0</v>
      </c>
      <c r="AW34">
        <v>0</v>
      </c>
      <c r="AX34">
        <v>0</v>
      </c>
    </row>
    <row r="35" spans="1:50" ht="15" thickBot="1" x14ac:dyDescent="0.35">
      <c r="A35" s="57" t="s">
        <v>15</v>
      </c>
      <c r="B35" s="57">
        <v>0</v>
      </c>
      <c r="C35" s="57">
        <v>0</v>
      </c>
      <c r="D35" s="57">
        <v>65535</v>
      </c>
      <c r="E35" s="57" t="e">
        <v>#NUM!</v>
      </c>
      <c r="F35" s="57">
        <v>0</v>
      </c>
      <c r="G35" s="57">
        <v>0</v>
      </c>
      <c r="H35" s="57">
        <v>0</v>
      </c>
      <c r="I35" s="57">
        <v>0</v>
      </c>
      <c r="L35" s="57" t="s">
        <v>15</v>
      </c>
      <c r="M35" s="57">
        <v>0</v>
      </c>
      <c r="N35" s="57">
        <v>0</v>
      </c>
      <c r="O35" s="57">
        <v>65535</v>
      </c>
      <c r="P35" s="57" t="e">
        <v>#NUM!</v>
      </c>
      <c r="Q35" s="57">
        <v>0</v>
      </c>
      <c r="R35" s="57">
        <v>0</v>
      </c>
      <c r="S35" s="57">
        <v>0</v>
      </c>
      <c r="T35" s="57">
        <v>0</v>
      </c>
      <c r="V35" s="57" t="s">
        <v>15</v>
      </c>
      <c r="W35" s="57">
        <v>0</v>
      </c>
      <c r="X35" s="57">
        <v>0</v>
      </c>
      <c r="Y35" s="57">
        <v>65535</v>
      </c>
      <c r="Z35" s="57" t="e">
        <v>#NUM!</v>
      </c>
      <c r="AA35" s="57">
        <v>0</v>
      </c>
      <c r="AB35" s="57">
        <v>0</v>
      </c>
      <c r="AC35" s="57">
        <v>0</v>
      </c>
      <c r="AD35" s="57">
        <v>0</v>
      </c>
      <c r="AF35" s="57" t="s">
        <v>15</v>
      </c>
      <c r="AG35" s="57">
        <v>0</v>
      </c>
      <c r="AH35" s="57">
        <v>0</v>
      </c>
      <c r="AI35" s="57">
        <v>65535</v>
      </c>
      <c r="AJ35" s="57" t="e">
        <v>#NUM!</v>
      </c>
      <c r="AK35" s="57">
        <v>0</v>
      </c>
      <c r="AL35" s="57">
        <v>0</v>
      </c>
      <c r="AM35" s="57">
        <v>0</v>
      </c>
      <c r="AN35" s="57">
        <v>0</v>
      </c>
      <c r="AP35" s="57" t="s">
        <v>15</v>
      </c>
      <c r="AQ35" s="57">
        <v>0</v>
      </c>
      <c r="AR35" s="57">
        <v>0</v>
      </c>
      <c r="AS35" s="57">
        <v>65535</v>
      </c>
      <c r="AT35" s="57" t="e">
        <v>#NUM!</v>
      </c>
      <c r="AU35" s="57">
        <v>0</v>
      </c>
      <c r="AV35" s="57">
        <v>0</v>
      </c>
      <c r="AW35" s="57">
        <v>0</v>
      </c>
      <c r="AX35" s="57">
        <v>0</v>
      </c>
    </row>
    <row r="39" spans="1:50" x14ac:dyDescent="0.3">
      <c r="A39" t="s">
        <v>177</v>
      </c>
      <c r="L39" t="s">
        <v>177</v>
      </c>
      <c r="V39" t="s">
        <v>177</v>
      </c>
      <c r="AF39" t="s">
        <v>177</v>
      </c>
      <c r="AP39" t="s">
        <v>177</v>
      </c>
    </row>
    <row r="40" spans="1:50" ht="15" thickBot="1" x14ac:dyDescent="0.35"/>
    <row r="41" spans="1:50" x14ac:dyDescent="0.3">
      <c r="A41" s="58" t="s">
        <v>178</v>
      </c>
      <c r="B41" s="58" t="s">
        <v>179</v>
      </c>
      <c r="C41" s="58" t="s">
        <v>180</v>
      </c>
      <c r="L41" s="58" t="s">
        <v>178</v>
      </c>
      <c r="M41" s="58" t="s">
        <v>181</v>
      </c>
      <c r="N41" s="58" t="s">
        <v>180</v>
      </c>
      <c r="V41" s="58" t="s">
        <v>178</v>
      </c>
      <c r="W41" s="58" t="s">
        <v>182</v>
      </c>
      <c r="X41" s="58" t="s">
        <v>180</v>
      </c>
      <c r="AF41" s="58" t="s">
        <v>178</v>
      </c>
      <c r="AG41" s="58" t="s">
        <v>183</v>
      </c>
      <c r="AH41" s="58" t="s">
        <v>180</v>
      </c>
      <c r="AP41" s="58" t="s">
        <v>178</v>
      </c>
      <c r="AQ41" s="58" t="s">
        <v>206</v>
      </c>
      <c r="AR41" s="58" t="s">
        <v>180</v>
      </c>
    </row>
    <row r="42" spans="1:50" x14ac:dyDescent="0.3">
      <c r="A42">
        <v>1</v>
      </c>
      <c r="B42">
        <v>9.845000000000006</v>
      </c>
      <c r="C42">
        <v>-5.3290705182007514E-15</v>
      </c>
      <c r="L42">
        <v>1</v>
      </c>
      <c r="M42">
        <v>523.99999999999989</v>
      </c>
      <c r="N42">
        <v>1.1368683772161603E-13</v>
      </c>
      <c r="V42">
        <v>1</v>
      </c>
      <c r="W42">
        <v>6.12</v>
      </c>
      <c r="X42">
        <v>0</v>
      </c>
      <c r="AF42">
        <v>1</v>
      </c>
      <c r="AG42">
        <v>11.500000000000004</v>
      </c>
      <c r="AH42">
        <v>-3.5527136788005009E-15</v>
      </c>
      <c r="AP42">
        <v>1</v>
      </c>
      <c r="AQ42">
        <v>0.7300000000000002</v>
      </c>
      <c r="AR42">
        <v>-2.2204460492503131E-16</v>
      </c>
    </row>
    <row r="43" spans="1:50" x14ac:dyDescent="0.3">
      <c r="A43">
        <v>2</v>
      </c>
      <c r="B43">
        <v>19.558000000000003</v>
      </c>
      <c r="C43">
        <v>0</v>
      </c>
      <c r="L43">
        <v>2</v>
      </c>
      <c r="M43">
        <v>641.99999999999977</v>
      </c>
      <c r="N43">
        <v>2.2737367544323206E-13</v>
      </c>
      <c r="V43">
        <v>2</v>
      </c>
      <c r="W43">
        <v>5.0000000000000018</v>
      </c>
      <c r="X43">
        <v>-1.7763568394002505E-15</v>
      </c>
      <c r="AF43">
        <v>2</v>
      </c>
      <c r="AG43">
        <v>7.0000000000000027</v>
      </c>
      <c r="AH43">
        <v>-2.6645352591003757E-15</v>
      </c>
      <c r="AP43">
        <v>2</v>
      </c>
      <c r="AQ43">
        <v>0.82</v>
      </c>
      <c r="AR43">
        <v>0</v>
      </c>
    </row>
    <row r="44" spans="1:50" x14ac:dyDescent="0.3">
      <c r="A44">
        <v>3</v>
      </c>
      <c r="B44">
        <v>16.005000000000003</v>
      </c>
      <c r="C44">
        <v>0</v>
      </c>
      <c r="L44">
        <v>3</v>
      </c>
      <c r="M44">
        <v>758.99999999999989</v>
      </c>
      <c r="N44">
        <v>1.1368683772161603E-13</v>
      </c>
      <c r="V44">
        <v>3</v>
      </c>
      <c r="W44">
        <v>3.7800000000000011</v>
      </c>
      <c r="X44">
        <v>-1.3322676295501878E-15</v>
      </c>
      <c r="AF44">
        <v>3</v>
      </c>
      <c r="AG44">
        <v>9</v>
      </c>
      <c r="AH44">
        <v>0</v>
      </c>
      <c r="AP44">
        <v>3</v>
      </c>
      <c r="AQ44">
        <v>0.84200000000000008</v>
      </c>
      <c r="AR44">
        <v>-1.1102230246251565E-16</v>
      </c>
    </row>
    <row r="45" spans="1:50" x14ac:dyDescent="0.3">
      <c r="A45">
        <v>4</v>
      </c>
      <c r="B45">
        <v>15.455000000000005</v>
      </c>
      <c r="C45">
        <v>-3.5527136788005009E-15</v>
      </c>
      <c r="L45">
        <v>4</v>
      </c>
      <c r="M45">
        <v>710</v>
      </c>
      <c r="N45">
        <v>0</v>
      </c>
      <c r="V45">
        <v>4</v>
      </c>
      <c r="W45">
        <v>7.080000000000001</v>
      </c>
      <c r="X45">
        <v>-8.8817841970012523E-16</v>
      </c>
      <c r="AF45">
        <v>4</v>
      </c>
      <c r="AG45">
        <v>9.5000000000000018</v>
      </c>
      <c r="AH45">
        <v>-1.7763568394002505E-15</v>
      </c>
      <c r="AP45">
        <v>4</v>
      </c>
      <c r="AQ45">
        <v>0.84000000000000008</v>
      </c>
      <c r="AR45">
        <v>-1.1102230246251565E-16</v>
      </c>
    </row>
    <row r="46" spans="1:50" x14ac:dyDescent="0.3">
      <c r="A46">
        <v>5</v>
      </c>
      <c r="B46">
        <v>23.881000000000007</v>
      </c>
      <c r="C46">
        <v>-3.5527136788005009E-15</v>
      </c>
      <c r="L46">
        <v>5</v>
      </c>
      <c r="M46">
        <v>665.5</v>
      </c>
      <c r="N46">
        <v>0</v>
      </c>
      <c r="V46">
        <v>5</v>
      </c>
      <c r="W46">
        <v>4.3000000000000007</v>
      </c>
      <c r="X46">
        <v>-8.8817841970012523E-16</v>
      </c>
      <c r="AF46">
        <v>5</v>
      </c>
      <c r="AG46">
        <v>7.0000000000000009</v>
      </c>
      <c r="AH46">
        <v>-8.8817841970012523E-16</v>
      </c>
      <c r="AP46">
        <v>5</v>
      </c>
      <c r="AQ46">
        <v>0.63000000000000012</v>
      </c>
      <c r="AR46">
        <v>-1.1102230246251565E-16</v>
      </c>
    </row>
    <row r="47" spans="1:50" ht="15" thickBot="1" x14ac:dyDescent="0.35">
      <c r="A47" s="57">
        <v>6</v>
      </c>
      <c r="B47" s="57">
        <v>20.416</v>
      </c>
      <c r="C47" s="57">
        <v>0</v>
      </c>
      <c r="L47" s="57">
        <v>6</v>
      </c>
      <c r="M47" s="57">
        <v>709.99999999999989</v>
      </c>
      <c r="N47" s="57">
        <v>1.1368683772161603E-13</v>
      </c>
      <c r="V47" s="57">
        <v>6</v>
      </c>
      <c r="W47" s="57">
        <v>4.9000000000000004</v>
      </c>
      <c r="X47" s="57">
        <v>0</v>
      </c>
      <c r="AF47" s="57">
        <v>6</v>
      </c>
      <c r="AG47" s="57">
        <v>8.9999999999999964</v>
      </c>
      <c r="AH47" s="57">
        <v>3.5527136788005009E-15</v>
      </c>
      <c r="AP47" s="57">
        <v>6</v>
      </c>
      <c r="AQ47" s="57">
        <v>0.80000000000000016</v>
      </c>
      <c r="AR47" s="57">
        <v>-1.1102230246251565E-16</v>
      </c>
    </row>
    <row r="48" spans="1:50" ht="15" thickBot="1" x14ac:dyDescent="0.35">
      <c r="A48" s="61"/>
      <c r="B48" s="61"/>
      <c r="C48" s="57"/>
      <c r="D48" s="57"/>
      <c r="E48" s="57"/>
      <c r="F48" s="57"/>
      <c r="G48" s="57"/>
      <c r="H48" s="57"/>
      <c r="I48" s="57"/>
    </row>
    <row r="50" spans="1:6" x14ac:dyDescent="0.3">
      <c r="A50" s="36"/>
    </row>
    <row r="51" spans="1:6" ht="15" thickBot="1" x14ac:dyDescent="0.35"/>
    <row r="52" spans="1:6" x14ac:dyDescent="0.3">
      <c r="A52" s="59"/>
      <c r="B52" s="59"/>
    </row>
    <row r="57" spans="1:6" ht="15" thickBot="1" x14ac:dyDescent="0.35">
      <c r="A57" s="57"/>
      <c r="B57" s="57"/>
    </row>
    <row r="59" spans="1:6" ht="15" thickBot="1" x14ac:dyDescent="0.35"/>
    <row r="60" spans="1:6" x14ac:dyDescent="0.3">
      <c r="A60" s="58"/>
      <c r="B60" s="58"/>
      <c r="C60" s="58"/>
      <c r="D60" s="58"/>
      <c r="E60" s="58"/>
      <c r="F60" s="58"/>
    </row>
    <row r="63" spans="1:6" ht="15" thickBot="1" x14ac:dyDescent="0.35">
      <c r="A63" s="57"/>
      <c r="B63" s="57"/>
      <c r="C63" s="57"/>
      <c r="D63" s="57"/>
      <c r="E63" s="57"/>
      <c r="F63" s="57"/>
    </row>
    <row r="64" spans="1:6" ht="15" thickBot="1" x14ac:dyDescent="0.35"/>
    <row r="65" spans="1:9" x14ac:dyDescent="0.3">
      <c r="A65" s="58"/>
      <c r="B65" s="58"/>
      <c r="C65" s="58"/>
      <c r="D65" s="58"/>
      <c r="E65" s="58"/>
      <c r="F65" s="58"/>
      <c r="G65" s="58"/>
      <c r="H65" s="58"/>
      <c r="I65" s="58"/>
    </row>
    <row r="66" spans="1:9" x14ac:dyDescent="0.3">
      <c r="A66" s="60"/>
      <c r="B66" s="60"/>
    </row>
    <row r="67" spans="1:9" ht="15" thickBot="1" x14ac:dyDescent="0.35">
      <c r="A67" s="61"/>
      <c r="B67" s="61"/>
      <c r="C67" s="57"/>
      <c r="D67" s="57"/>
      <c r="E67" s="57"/>
      <c r="F67" s="57"/>
      <c r="G67" s="57"/>
      <c r="H67" s="57"/>
      <c r="I67" s="57"/>
    </row>
    <row r="69" spans="1:9" x14ac:dyDescent="0.3">
      <c r="A69" s="36"/>
    </row>
    <row r="70" spans="1:9" ht="15" thickBot="1" x14ac:dyDescent="0.35"/>
    <row r="71" spans="1:9" x14ac:dyDescent="0.3">
      <c r="A71" s="59"/>
      <c r="B71" s="59"/>
    </row>
    <row r="76" spans="1:9" ht="15" thickBot="1" x14ac:dyDescent="0.35">
      <c r="A76" s="57"/>
      <c r="B76" s="57"/>
    </row>
    <row r="78" spans="1:9" ht="15" thickBot="1" x14ac:dyDescent="0.35"/>
    <row r="79" spans="1:9" x14ac:dyDescent="0.3">
      <c r="A79" s="58"/>
      <c r="B79" s="58"/>
      <c r="C79" s="58"/>
      <c r="D79" s="58"/>
      <c r="E79" s="58"/>
      <c r="F79" s="58"/>
    </row>
    <row r="82" spans="1:9" ht="15" thickBot="1" x14ac:dyDescent="0.35">
      <c r="A82" s="57"/>
      <c r="B82" s="57"/>
      <c r="C82" s="57"/>
      <c r="D82" s="57"/>
      <c r="E82" s="57"/>
      <c r="F82" s="57"/>
    </row>
    <row r="83" spans="1:9" ht="15" thickBot="1" x14ac:dyDescent="0.35"/>
    <row r="84" spans="1:9" x14ac:dyDescent="0.3">
      <c r="A84" s="58"/>
      <c r="B84" s="58"/>
      <c r="C84" s="58"/>
      <c r="D84" s="58"/>
      <c r="E84" s="58"/>
      <c r="F84" s="58"/>
      <c r="G84" s="58"/>
      <c r="H84" s="58"/>
      <c r="I84" s="58"/>
    </row>
    <row r="85" spans="1:9" x14ac:dyDescent="0.3">
      <c r="A85" s="60"/>
      <c r="B85" s="60"/>
    </row>
    <row r="86" spans="1:9" ht="15" thickBot="1" x14ac:dyDescent="0.35">
      <c r="A86" s="61"/>
      <c r="B86" s="61"/>
      <c r="C86" s="57"/>
      <c r="D86" s="57"/>
      <c r="E86" s="57"/>
      <c r="F86" s="57"/>
      <c r="G86" s="57"/>
      <c r="H86" s="57"/>
      <c r="I86" s="57"/>
    </row>
    <row r="88" spans="1:9" x14ac:dyDescent="0.3">
      <c r="A88" s="36"/>
    </row>
    <row r="89" spans="1:9" ht="15" thickBot="1" x14ac:dyDescent="0.35"/>
    <row r="90" spans="1:9" x14ac:dyDescent="0.3">
      <c r="A90" s="59"/>
      <c r="B90" s="59"/>
    </row>
    <row r="95" spans="1:9" ht="15" thickBot="1" x14ac:dyDescent="0.35">
      <c r="A95" s="57"/>
      <c r="B95" s="57"/>
    </row>
    <row r="97" spans="1:9" ht="15" thickBot="1" x14ac:dyDescent="0.35"/>
    <row r="98" spans="1:9" x14ac:dyDescent="0.3">
      <c r="A98" s="58"/>
      <c r="B98" s="58"/>
      <c r="C98" s="58"/>
      <c r="D98" s="58"/>
      <c r="E98" s="58"/>
      <c r="F98" s="58"/>
    </row>
    <row r="101" spans="1:9" ht="15" thickBot="1" x14ac:dyDescent="0.35">
      <c r="A101" s="57"/>
      <c r="B101" s="57"/>
      <c r="C101" s="57"/>
      <c r="D101" s="57"/>
      <c r="E101" s="57"/>
      <c r="F101" s="57"/>
    </row>
    <row r="102" spans="1:9" ht="15" thickBot="1" x14ac:dyDescent="0.35"/>
    <row r="103" spans="1:9" x14ac:dyDescent="0.3">
      <c r="A103" s="58"/>
      <c r="B103" s="58"/>
      <c r="C103" s="58"/>
      <c r="D103" s="58"/>
      <c r="E103" s="58"/>
      <c r="F103" s="58"/>
      <c r="G103" s="58"/>
      <c r="H103" s="58"/>
      <c r="I103" s="58"/>
    </row>
    <row r="104" spans="1:9" x14ac:dyDescent="0.3">
      <c r="A104" s="60"/>
      <c r="B104" s="60"/>
    </row>
    <row r="105" spans="1:9" ht="15" thickBot="1" x14ac:dyDescent="0.35">
      <c r="A105" s="61"/>
      <c r="B105" s="61"/>
      <c r="C105" s="57"/>
      <c r="D105" s="57"/>
      <c r="E105" s="57"/>
      <c r="F105" s="57"/>
      <c r="G105" s="57"/>
      <c r="H105" s="57"/>
      <c r="I105" s="57"/>
    </row>
    <row r="107" spans="1:9" x14ac:dyDescent="0.3">
      <c r="A107" s="36"/>
    </row>
    <row r="108" spans="1:9" ht="15" thickBot="1" x14ac:dyDescent="0.35"/>
    <row r="109" spans="1:9" x14ac:dyDescent="0.3">
      <c r="A109" s="59"/>
      <c r="B109" s="59"/>
    </row>
    <row r="114" spans="1:9" ht="15" thickBot="1" x14ac:dyDescent="0.35">
      <c r="A114" s="57"/>
      <c r="B114" s="57"/>
    </row>
    <row r="116" spans="1:9" ht="15" thickBot="1" x14ac:dyDescent="0.35"/>
    <row r="117" spans="1:9" x14ac:dyDescent="0.3">
      <c r="A117" s="58"/>
      <c r="B117" s="58"/>
      <c r="C117" s="58"/>
      <c r="D117" s="58"/>
      <c r="E117" s="58"/>
      <c r="F117" s="58"/>
    </row>
    <row r="120" spans="1:9" ht="15" thickBot="1" x14ac:dyDescent="0.35">
      <c r="A120" s="57"/>
      <c r="B120" s="57"/>
      <c r="C120" s="57"/>
      <c r="D120" s="57"/>
      <c r="E120" s="57"/>
      <c r="F120" s="57"/>
    </row>
    <row r="121" spans="1:9" ht="15" thickBot="1" x14ac:dyDescent="0.35"/>
    <row r="122" spans="1:9" x14ac:dyDescent="0.3">
      <c r="A122" s="58"/>
      <c r="B122" s="58"/>
      <c r="C122" s="58"/>
      <c r="D122" s="58"/>
      <c r="E122" s="58"/>
      <c r="F122" s="58"/>
      <c r="G122" s="58"/>
      <c r="H122" s="58"/>
      <c r="I122" s="58"/>
    </row>
    <row r="123" spans="1:9" x14ac:dyDescent="0.3">
      <c r="A123" s="60"/>
      <c r="B123" s="60"/>
    </row>
    <row r="124" spans="1:9" ht="15" thickBot="1" x14ac:dyDescent="0.35">
      <c r="A124" s="61"/>
      <c r="B124" s="61"/>
      <c r="C124" s="57"/>
      <c r="D124" s="57"/>
      <c r="E124" s="57"/>
      <c r="F124" s="57"/>
      <c r="G124" s="57"/>
      <c r="H124" s="57"/>
      <c r="I124" s="57"/>
    </row>
    <row r="126" spans="1:9" x14ac:dyDescent="0.3">
      <c r="A126" s="36"/>
    </row>
    <row r="127" spans="1:9" ht="15" thickBot="1" x14ac:dyDescent="0.35"/>
    <row r="128" spans="1:9" x14ac:dyDescent="0.3">
      <c r="A128" s="59"/>
      <c r="B128" s="59"/>
    </row>
    <row r="133" spans="1:9" ht="15" thickBot="1" x14ac:dyDescent="0.35">
      <c r="A133" s="57"/>
      <c r="B133" s="57"/>
    </row>
    <row r="135" spans="1:9" ht="15" thickBot="1" x14ac:dyDescent="0.35"/>
    <row r="136" spans="1:9" x14ac:dyDescent="0.3">
      <c r="A136" s="58"/>
      <c r="B136" s="58"/>
      <c r="C136" s="58"/>
      <c r="D136" s="58"/>
      <c r="E136" s="58"/>
      <c r="F136" s="58"/>
    </row>
    <row r="139" spans="1:9" ht="15" thickBot="1" x14ac:dyDescent="0.35">
      <c r="A139" s="57"/>
      <c r="B139" s="57"/>
      <c r="C139" s="57"/>
      <c r="D139" s="57"/>
      <c r="E139" s="57"/>
      <c r="F139" s="57"/>
    </row>
    <row r="140" spans="1:9" ht="15" thickBot="1" x14ac:dyDescent="0.35"/>
    <row r="141" spans="1:9" x14ac:dyDescent="0.3">
      <c r="A141" s="58"/>
      <c r="B141" s="58"/>
      <c r="C141" s="58"/>
      <c r="D141" s="58"/>
      <c r="E141" s="58"/>
      <c r="F141" s="58"/>
      <c r="G141" s="58"/>
      <c r="H141" s="58"/>
      <c r="I141" s="58"/>
    </row>
    <row r="142" spans="1:9" x14ac:dyDescent="0.3">
      <c r="A142" s="60"/>
      <c r="B142" s="60"/>
    </row>
    <row r="143" spans="1:9" ht="15" thickBot="1" x14ac:dyDescent="0.35">
      <c r="A143" s="61"/>
      <c r="B143" s="61"/>
      <c r="C143" s="57"/>
      <c r="D143" s="57"/>
      <c r="E143" s="57"/>
      <c r="F143" s="57"/>
      <c r="G143" s="57"/>
      <c r="H143" s="57"/>
      <c r="I143" s="57"/>
    </row>
    <row r="145" spans="1:6" x14ac:dyDescent="0.3">
      <c r="A145" s="36"/>
    </row>
    <row r="146" spans="1:6" x14ac:dyDescent="0.3">
      <c r="A146" s="36"/>
    </row>
    <row r="147" spans="1:6" ht="15" thickBot="1" x14ac:dyDescent="0.35"/>
    <row r="148" spans="1:6" x14ac:dyDescent="0.3">
      <c r="A148" s="59"/>
      <c r="B148" s="59"/>
    </row>
    <row r="153" spans="1:6" ht="15" thickBot="1" x14ac:dyDescent="0.35">
      <c r="A153" s="57"/>
      <c r="B153" s="57"/>
    </row>
    <row r="155" spans="1:6" ht="15" thickBot="1" x14ac:dyDescent="0.35"/>
    <row r="156" spans="1:6" x14ac:dyDescent="0.3">
      <c r="A156" s="58"/>
      <c r="B156" s="58"/>
      <c r="C156" s="58"/>
      <c r="D156" s="58"/>
      <c r="E156" s="58"/>
      <c r="F156" s="58"/>
    </row>
    <row r="159" spans="1:6" ht="15" thickBot="1" x14ac:dyDescent="0.35">
      <c r="A159" s="57"/>
      <c r="B159" s="57"/>
      <c r="C159" s="57"/>
      <c r="D159" s="57"/>
      <c r="E159" s="57"/>
      <c r="F159" s="57"/>
    </row>
    <row r="160" spans="1:6" ht="15" thickBot="1" x14ac:dyDescent="0.35"/>
    <row r="161" spans="1:9" x14ac:dyDescent="0.3">
      <c r="A161" s="58"/>
      <c r="B161" s="58"/>
      <c r="C161" s="58"/>
      <c r="D161" s="58"/>
      <c r="E161" s="58"/>
      <c r="F161" s="58"/>
      <c r="G161" s="58"/>
      <c r="H161" s="58"/>
      <c r="I161" s="58"/>
    </row>
    <row r="169" spans="1:9" ht="15" thickBot="1" x14ac:dyDescent="0.35">
      <c r="A169" s="57"/>
      <c r="B169" s="57"/>
      <c r="C169" s="57"/>
      <c r="D169" s="57"/>
      <c r="E169" s="57"/>
      <c r="F169" s="57"/>
      <c r="G169" s="57"/>
      <c r="H169" s="57"/>
      <c r="I169" s="57"/>
    </row>
    <row r="174" spans="1:9" ht="15" thickBot="1" x14ac:dyDescent="0.35"/>
    <row r="175" spans="1:9" x14ac:dyDescent="0.3">
      <c r="A175" s="58"/>
      <c r="B175" s="58"/>
      <c r="C175" s="58"/>
    </row>
    <row r="181" spans="1:3" ht="15" thickBot="1" x14ac:dyDescent="0.35">
      <c r="A181" s="57"/>
      <c r="B181" s="57"/>
      <c r="C181" s="5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F3D9-B05B-4DAC-9B1A-A5424DBDE256}">
  <dimension ref="A1:AX181"/>
  <sheetViews>
    <sheetView topLeftCell="V1" workbookViewId="0">
      <selection activeCell="AL17" sqref="AL17"/>
    </sheetView>
  </sheetViews>
  <sheetFormatPr defaultRowHeight="14.4" x14ac:dyDescent="0.3"/>
  <cols>
    <col min="1" max="1" width="25.109375" bestFit="1" customWidth="1"/>
    <col min="2" max="2" width="8.44140625" bestFit="1" customWidth="1"/>
    <col min="3" max="3" width="15.44140625" bestFit="1" customWidth="1"/>
    <col min="4" max="4" width="17.6640625" bestFit="1" customWidth="1"/>
    <col min="5" max="5" width="8.44140625" bestFit="1" customWidth="1"/>
    <col min="6" max="6" width="12.5546875" bestFit="1" customWidth="1"/>
    <col min="7" max="7" width="31.33203125" bestFit="1" customWidth="1"/>
    <col min="8" max="8" width="5.5546875" bestFit="1" customWidth="1"/>
    <col min="9" max="9" width="4" bestFit="1" customWidth="1"/>
    <col min="10" max="10" width="6" bestFit="1" customWidth="1"/>
    <col min="11" max="11" width="3.33203125" bestFit="1" customWidth="1"/>
    <col min="13" max="13" width="11.5546875" bestFit="1" customWidth="1"/>
  </cols>
  <sheetData>
    <row r="1" spans="1:43" x14ac:dyDescent="0.3">
      <c r="A1" t="s">
        <v>208</v>
      </c>
    </row>
    <row r="2" spans="1:43" x14ac:dyDescent="0.3">
      <c r="A2" t="s">
        <v>151</v>
      </c>
    </row>
    <row r="3" spans="1:43" s="26" customFormat="1" x14ac:dyDescent="0.3">
      <c r="A3" s="26" t="str">
        <f>'results and SN plots'!G3</f>
        <v>Precursor (kg/cum)</v>
      </c>
      <c r="B3" s="26" t="str">
        <f>'results and SN plots'!B3</f>
        <v>GGBS/Pr</v>
      </c>
      <c r="C3" s="26" t="str">
        <f>'results and SN plots'!C3</f>
        <v>Alkali/Precursor</v>
      </c>
      <c r="D3" s="26" t="str">
        <f>'results and SN plots'!E3</f>
        <v>Silicate/Hydroxide</v>
      </c>
      <c r="E3" s="26" t="str">
        <f>'results and SN plots'!F3</f>
        <v>Molarity</v>
      </c>
      <c r="F3" s="26" t="str">
        <f>'results and SN plots'!D3</f>
        <v>Water/Solids</v>
      </c>
      <c r="G3" s="26" t="str">
        <f>'results and SN plots'!H3</f>
        <v>Fine Aggregate/Coarse Aggregate</v>
      </c>
      <c r="H3" s="26" t="s">
        <v>152</v>
      </c>
      <c r="I3" s="26" t="s">
        <v>93</v>
      </c>
      <c r="J3" s="26" t="s">
        <v>74</v>
      </c>
      <c r="K3" s="26" t="s">
        <v>103</v>
      </c>
      <c r="L3" s="26" t="s">
        <v>205</v>
      </c>
    </row>
    <row r="4" spans="1:43" x14ac:dyDescent="0.3">
      <c r="A4" s="10">
        <f>'results and SN plots'!G10</f>
        <v>400</v>
      </c>
      <c r="B4" s="10">
        <f>'results and SN plots'!B10</f>
        <v>0.2</v>
      </c>
      <c r="C4" s="10">
        <f>'results and SN plots'!C10</f>
        <v>0.55000000000000004</v>
      </c>
      <c r="D4" s="10">
        <f>'results and SN plots'!E10</f>
        <v>2</v>
      </c>
      <c r="E4" s="10">
        <f>'results and SN plots'!F10</f>
        <v>16</v>
      </c>
      <c r="F4" s="10">
        <f>'results and SN plots'!D10</f>
        <v>0.36</v>
      </c>
      <c r="G4" s="10">
        <f>'results and SN plots'!H10</f>
        <v>1.1000000000000001</v>
      </c>
      <c r="H4" s="55">
        <f>'results and SN plots'!AG31</f>
        <v>17.996000000000002</v>
      </c>
      <c r="I4" s="56">
        <f>'results and SN plots'!AK31</f>
        <v>624</v>
      </c>
      <c r="J4" s="10">
        <f>'results and SN plots'!AM31</f>
        <v>8.8000000000000007</v>
      </c>
      <c r="K4" s="10">
        <f>'results and SN plots'!AP31</f>
        <v>9.5</v>
      </c>
      <c r="L4">
        <f>'results and SN plots'!AQ31</f>
        <v>0.80500000000000005</v>
      </c>
    </row>
    <row r="5" spans="1:43" x14ac:dyDescent="0.3">
      <c r="A5" s="10">
        <f>'results and SN plots'!G11</f>
        <v>450</v>
      </c>
      <c r="B5" s="10">
        <f>'results and SN plots'!B11</f>
        <v>0.2</v>
      </c>
      <c r="C5" s="10">
        <f>'results and SN plots'!C11</f>
        <v>0.65</v>
      </c>
      <c r="D5" s="10">
        <f>'results and SN plots'!E11</f>
        <v>2.5</v>
      </c>
      <c r="E5" s="10">
        <f>'results and SN plots'!F11</f>
        <v>8</v>
      </c>
      <c r="F5" s="10">
        <f>'results and SN plots'!D11</f>
        <v>0.38</v>
      </c>
      <c r="G5" s="10">
        <f>'results and SN plots'!H11</f>
        <v>0.7</v>
      </c>
      <c r="H5" s="55">
        <f>'results and SN plots'!AG32</f>
        <v>13.321</v>
      </c>
      <c r="I5" s="56">
        <f>'results and SN plots'!AK32</f>
        <v>740.30000000000007</v>
      </c>
      <c r="J5" s="10">
        <f>'results and SN plots'!AM32</f>
        <v>8.3000000000000007</v>
      </c>
      <c r="K5" s="10">
        <f>'results and SN plots'!AP32</f>
        <v>9.3000000000000007</v>
      </c>
      <c r="L5">
        <f>'results and SN plots'!AQ32</f>
        <v>0.87</v>
      </c>
    </row>
    <row r="6" spans="1:43" x14ac:dyDescent="0.3">
      <c r="A6" s="10">
        <f>'results and SN plots'!G12</f>
        <v>500</v>
      </c>
      <c r="B6" s="10">
        <f>'results and SN plots'!B12</f>
        <v>0.2</v>
      </c>
      <c r="C6" s="10">
        <f>'results and SN plots'!C12</f>
        <v>0.45</v>
      </c>
      <c r="D6" s="10">
        <f>'results and SN plots'!E12</f>
        <v>3</v>
      </c>
      <c r="E6" s="10">
        <f>'results and SN plots'!F12</f>
        <v>12</v>
      </c>
      <c r="F6" s="10">
        <f>'results and SN plots'!D12</f>
        <v>0.34</v>
      </c>
      <c r="G6" s="10">
        <f>'results and SN plots'!H12</f>
        <v>0.9</v>
      </c>
      <c r="H6" s="55">
        <f>'results and SN plots'!AG33</f>
        <v>21.725000000000001</v>
      </c>
      <c r="I6" s="56">
        <f>'results and SN plots'!AK33</f>
        <v>787</v>
      </c>
      <c r="J6" s="10">
        <f>'results and SN plots'!AM33</f>
        <v>11.200000000000001</v>
      </c>
      <c r="K6" s="10">
        <f>'results and SN plots'!AP33</f>
        <v>13</v>
      </c>
      <c r="L6">
        <f>'results and SN plots'!AQ33</f>
        <v>0.79</v>
      </c>
    </row>
    <row r="7" spans="1:43" x14ac:dyDescent="0.3">
      <c r="A7" s="10">
        <f>'results and SN plots'!G19</f>
        <v>400</v>
      </c>
      <c r="B7" s="10">
        <f>'results and SN plots'!B19</f>
        <v>0.3</v>
      </c>
      <c r="C7" s="10">
        <f>'results and SN plots'!C19</f>
        <v>0.65</v>
      </c>
      <c r="D7" s="10">
        <f>'results and SN plots'!E19</f>
        <v>2.5</v>
      </c>
      <c r="E7" s="10">
        <f>'results and SN plots'!F19</f>
        <v>16</v>
      </c>
      <c r="F7" s="10">
        <f>'results and SN plots'!D19</f>
        <v>0.34</v>
      </c>
      <c r="G7" s="10">
        <f>'results and SN plots'!H19</f>
        <v>0.9</v>
      </c>
      <c r="H7" s="55">
        <f>'results and SN plots'!AG40</f>
        <v>22.605000000000004</v>
      </c>
      <c r="I7" s="56">
        <f>'results and SN plots'!AK40</f>
        <v>534</v>
      </c>
      <c r="J7" s="10">
        <f>'results and SN plots'!AM40</f>
        <v>8.5</v>
      </c>
      <c r="K7" s="10">
        <f>'results and SN plots'!AP40</f>
        <v>9.5</v>
      </c>
      <c r="L7">
        <f>'results and SN plots'!AQ40</f>
        <v>0.24</v>
      </c>
    </row>
    <row r="8" spans="1:43" x14ac:dyDescent="0.3">
      <c r="A8" s="10">
        <f>'results and SN plots'!G20</f>
        <v>450</v>
      </c>
      <c r="B8" s="10">
        <f>'results and SN plots'!B20</f>
        <v>0.3</v>
      </c>
      <c r="C8" s="10">
        <f>'results and SN plots'!C20</f>
        <v>0.45</v>
      </c>
      <c r="D8" s="10">
        <f>'results and SN plots'!E20</f>
        <v>3</v>
      </c>
      <c r="E8" s="10">
        <f>'results and SN plots'!F20</f>
        <v>8</v>
      </c>
      <c r="F8" s="10">
        <f>'results and SN plots'!D20</f>
        <v>0.36</v>
      </c>
      <c r="G8" s="10">
        <f>'results and SN plots'!H20</f>
        <v>1.1000000000000001</v>
      </c>
      <c r="H8" s="55">
        <f>'results and SN plots'!AG41</f>
        <v>18.645</v>
      </c>
      <c r="I8" s="56">
        <f>'results and SN plots'!AK41</f>
        <v>503</v>
      </c>
      <c r="J8" s="10">
        <f>'results and SN plots'!AM41</f>
        <v>13.87</v>
      </c>
      <c r="K8" s="10">
        <f>'results and SN plots'!AP41</f>
        <v>17</v>
      </c>
      <c r="L8">
        <f>'results and SN plots'!AQ41</f>
        <v>0.08</v>
      </c>
    </row>
    <row r="9" spans="1:43" x14ac:dyDescent="0.3">
      <c r="A9" s="10">
        <f>'results and SN plots'!G21</f>
        <v>500</v>
      </c>
      <c r="B9" s="10">
        <f>'results and SN plots'!B21</f>
        <v>0.3</v>
      </c>
      <c r="C9" s="10">
        <f>'results and SN plots'!C21</f>
        <v>0.55000000000000004</v>
      </c>
      <c r="D9" s="10">
        <f>'results and SN plots'!E21</f>
        <v>2</v>
      </c>
      <c r="E9" s="10">
        <f>'results and SN plots'!F21</f>
        <v>12</v>
      </c>
      <c r="F9" s="10">
        <f>'results and SN plots'!D21</f>
        <v>0.38</v>
      </c>
      <c r="G9" s="10">
        <f>'results and SN plots'!H21</f>
        <v>0.7</v>
      </c>
      <c r="H9" s="55">
        <f>'results and SN plots'!AG42</f>
        <v>24.101000000000003</v>
      </c>
      <c r="I9" s="56">
        <f>'results and SN plots'!AK42</f>
        <v>688</v>
      </c>
      <c r="J9" s="10">
        <f>'results and SN plots'!AM42</f>
        <v>6.98</v>
      </c>
      <c r="K9" s="10">
        <f>'results and SN plots'!AP42</f>
        <v>8</v>
      </c>
      <c r="L9">
        <f>'results and SN plots'!AQ42</f>
        <v>0.85</v>
      </c>
    </row>
    <row r="10" spans="1:43" x14ac:dyDescent="0.3">
      <c r="H10" s="33"/>
      <c r="I10" s="37"/>
    </row>
    <row r="11" spans="1:43" s="36" customFormat="1" x14ac:dyDescent="0.3">
      <c r="A11" s="62" t="s">
        <v>99</v>
      </c>
      <c r="H11" s="43"/>
      <c r="I11" s="44"/>
      <c r="L11" s="62" t="s">
        <v>93</v>
      </c>
      <c r="V11" s="62" t="s">
        <v>74</v>
      </c>
      <c r="AF11" s="62" t="s">
        <v>103</v>
      </c>
      <c r="AP11" s="36" t="s">
        <v>205</v>
      </c>
    </row>
    <row r="12" spans="1:43" x14ac:dyDescent="0.3">
      <c r="A12" t="s">
        <v>153</v>
      </c>
      <c r="L12" t="s">
        <v>153</v>
      </c>
      <c r="V12" t="s">
        <v>153</v>
      </c>
      <c r="AF12" t="s">
        <v>153</v>
      </c>
      <c r="AP12" t="s">
        <v>153</v>
      </c>
    </row>
    <row r="13" spans="1:43" ht="15" thickBot="1" x14ac:dyDescent="0.35"/>
    <row r="14" spans="1:43" x14ac:dyDescent="0.3">
      <c r="A14" s="59" t="s">
        <v>154</v>
      </c>
      <c r="B14" s="59"/>
      <c r="L14" s="59" t="s">
        <v>154</v>
      </c>
      <c r="M14" s="59"/>
      <c r="V14" s="59" t="s">
        <v>154</v>
      </c>
      <c r="W14" s="59"/>
      <c r="AF14" s="59" t="s">
        <v>154</v>
      </c>
      <c r="AG14" s="59"/>
      <c r="AP14" s="59" t="s">
        <v>154</v>
      </c>
      <c r="AQ14" s="59"/>
    </row>
    <row r="15" spans="1:43" x14ac:dyDescent="0.3">
      <c r="A15" t="s">
        <v>155</v>
      </c>
      <c r="B15">
        <v>1</v>
      </c>
      <c r="L15" t="s">
        <v>155</v>
      </c>
      <c r="M15">
        <v>1</v>
      </c>
      <c r="V15" t="s">
        <v>155</v>
      </c>
      <c r="W15">
        <v>1</v>
      </c>
      <c r="AF15" t="s">
        <v>155</v>
      </c>
      <c r="AG15">
        <v>1</v>
      </c>
      <c r="AP15" t="s">
        <v>155</v>
      </c>
      <c r="AQ15">
        <v>1</v>
      </c>
    </row>
    <row r="16" spans="1:43" x14ac:dyDescent="0.3">
      <c r="A16" t="s">
        <v>156</v>
      </c>
      <c r="B16">
        <v>1</v>
      </c>
      <c r="L16" t="s">
        <v>156</v>
      </c>
      <c r="M16">
        <v>1</v>
      </c>
      <c r="V16" t="s">
        <v>156</v>
      </c>
      <c r="W16">
        <v>1</v>
      </c>
      <c r="AF16" t="s">
        <v>156</v>
      </c>
      <c r="AG16">
        <v>1</v>
      </c>
      <c r="AP16" t="s">
        <v>156</v>
      </c>
      <c r="AQ16">
        <v>1</v>
      </c>
    </row>
    <row r="17" spans="1:50" x14ac:dyDescent="0.3">
      <c r="A17" t="s">
        <v>157</v>
      </c>
      <c r="B17">
        <v>65535</v>
      </c>
      <c r="L17" t="s">
        <v>157</v>
      </c>
      <c r="M17">
        <v>65535</v>
      </c>
      <c r="V17" t="s">
        <v>157</v>
      </c>
      <c r="W17">
        <v>65535</v>
      </c>
      <c r="AF17" t="s">
        <v>157</v>
      </c>
      <c r="AG17">
        <v>65535</v>
      </c>
      <c r="AP17" t="s">
        <v>157</v>
      </c>
      <c r="AQ17">
        <v>65535</v>
      </c>
    </row>
    <row r="18" spans="1:50" x14ac:dyDescent="0.3">
      <c r="A18" t="s">
        <v>158</v>
      </c>
      <c r="B18">
        <v>0</v>
      </c>
      <c r="L18" t="s">
        <v>158</v>
      </c>
      <c r="M18">
        <v>0</v>
      </c>
      <c r="V18" t="s">
        <v>158</v>
      </c>
      <c r="W18">
        <v>0</v>
      </c>
      <c r="AF18" t="s">
        <v>158</v>
      </c>
      <c r="AG18">
        <v>0</v>
      </c>
      <c r="AP18" t="s">
        <v>158</v>
      </c>
      <c r="AQ18">
        <v>0</v>
      </c>
    </row>
    <row r="19" spans="1:50" ht="15" thickBot="1" x14ac:dyDescent="0.35">
      <c r="A19" s="57" t="s">
        <v>159</v>
      </c>
      <c r="B19" s="57">
        <v>6</v>
      </c>
      <c r="L19" s="57" t="s">
        <v>159</v>
      </c>
      <c r="M19" s="57">
        <v>6</v>
      </c>
      <c r="V19" s="57" t="s">
        <v>159</v>
      </c>
      <c r="W19" s="57">
        <v>6</v>
      </c>
      <c r="AF19" s="57" t="s">
        <v>159</v>
      </c>
      <c r="AG19" s="57">
        <v>6</v>
      </c>
      <c r="AP19" s="57" t="s">
        <v>159</v>
      </c>
      <c r="AQ19" s="57">
        <v>6</v>
      </c>
    </row>
    <row r="21" spans="1:50" ht="15" thickBot="1" x14ac:dyDescent="0.35">
      <c r="A21" t="s">
        <v>160</v>
      </c>
      <c r="L21" t="s">
        <v>160</v>
      </c>
      <c r="V21" t="s">
        <v>160</v>
      </c>
      <c r="AF21" t="s">
        <v>160</v>
      </c>
      <c r="AP21" t="s">
        <v>160</v>
      </c>
    </row>
    <row r="22" spans="1:50" x14ac:dyDescent="0.3">
      <c r="A22" s="58"/>
      <c r="B22" s="58" t="s">
        <v>165</v>
      </c>
      <c r="C22" s="58" t="s">
        <v>136</v>
      </c>
      <c r="D22" s="58" t="s">
        <v>166</v>
      </c>
      <c r="E22" s="58" t="s">
        <v>167</v>
      </c>
      <c r="F22" s="58" t="s">
        <v>168</v>
      </c>
      <c r="L22" s="58"/>
      <c r="M22" s="58" t="s">
        <v>165</v>
      </c>
      <c r="N22" s="58" t="s">
        <v>136</v>
      </c>
      <c r="O22" s="58" t="s">
        <v>166</v>
      </c>
      <c r="P22" s="58" t="s">
        <v>167</v>
      </c>
      <c r="Q22" s="58" t="s">
        <v>168</v>
      </c>
      <c r="V22" s="58"/>
      <c r="W22" s="58" t="s">
        <v>165</v>
      </c>
      <c r="X22" s="58" t="s">
        <v>136</v>
      </c>
      <c r="Y22" s="58" t="s">
        <v>166</v>
      </c>
      <c r="Z22" s="58" t="s">
        <v>167</v>
      </c>
      <c r="AA22" s="58" t="s">
        <v>168</v>
      </c>
      <c r="AF22" s="58"/>
      <c r="AG22" s="58" t="s">
        <v>165</v>
      </c>
      <c r="AH22" s="58" t="s">
        <v>136</v>
      </c>
      <c r="AI22" s="58" t="s">
        <v>166</v>
      </c>
      <c r="AJ22" s="58" t="s">
        <v>167</v>
      </c>
      <c r="AK22" s="58" t="s">
        <v>168</v>
      </c>
      <c r="AP22" s="58"/>
      <c r="AQ22" s="58" t="s">
        <v>165</v>
      </c>
      <c r="AR22" s="58" t="s">
        <v>136</v>
      </c>
      <c r="AS22" s="58" t="s">
        <v>166</v>
      </c>
      <c r="AT22" s="58" t="s">
        <v>167</v>
      </c>
      <c r="AU22" s="58" t="s">
        <v>168</v>
      </c>
    </row>
    <row r="23" spans="1:50" x14ac:dyDescent="0.3">
      <c r="A23" t="s">
        <v>161</v>
      </c>
      <c r="B23">
        <v>7</v>
      </c>
      <c r="C23">
        <v>76.610524833333386</v>
      </c>
      <c r="D23">
        <v>10.944360690476199</v>
      </c>
      <c r="E23" t="e">
        <v>#NUM!</v>
      </c>
      <c r="F23" t="e">
        <v>#NUM!</v>
      </c>
      <c r="L23" t="s">
        <v>161</v>
      </c>
      <c r="M23">
        <v>7</v>
      </c>
      <c r="N23">
        <v>64014.47500000002</v>
      </c>
      <c r="O23">
        <v>9144.9250000000029</v>
      </c>
      <c r="P23" t="e">
        <v>#NUM!</v>
      </c>
      <c r="Q23" t="e">
        <v>#NUM!</v>
      </c>
      <c r="V23" t="s">
        <v>161</v>
      </c>
      <c r="W23">
        <v>7</v>
      </c>
      <c r="X23">
        <v>31.196883333333325</v>
      </c>
      <c r="Y23">
        <v>4.4566976190476177</v>
      </c>
      <c r="Z23" t="e">
        <v>#NUM!</v>
      </c>
      <c r="AA23" t="e">
        <v>#NUM!</v>
      </c>
      <c r="AF23" t="s">
        <v>161</v>
      </c>
      <c r="AG23">
        <v>7</v>
      </c>
      <c r="AH23">
        <v>56.375</v>
      </c>
      <c r="AI23">
        <v>8.0535714285714288</v>
      </c>
      <c r="AJ23" t="e">
        <v>#NUM!</v>
      </c>
      <c r="AK23" t="e">
        <v>#NUM!</v>
      </c>
      <c r="AP23" t="s">
        <v>161</v>
      </c>
      <c r="AQ23">
        <v>7</v>
      </c>
      <c r="AR23">
        <v>0.61332083333333332</v>
      </c>
      <c r="AS23">
        <v>8.7617261904761906E-2</v>
      </c>
      <c r="AT23" t="e">
        <v>#NUM!</v>
      </c>
      <c r="AU23" t="e">
        <v>#NUM!</v>
      </c>
    </row>
    <row r="24" spans="1:50" x14ac:dyDescent="0.3">
      <c r="A24" t="s">
        <v>162</v>
      </c>
      <c r="B24">
        <v>0</v>
      </c>
      <c r="C24">
        <v>0</v>
      </c>
      <c r="D24">
        <v>65535</v>
      </c>
      <c r="L24" t="s">
        <v>162</v>
      </c>
      <c r="M24">
        <v>0</v>
      </c>
      <c r="N24">
        <v>0</v>
      </c>
      <c r="O24">
        <v>65535</v>
      </c>
      <c r="V24" t="s">
        <v>162</v>
      </c>
      <c r="W24">
        <v>0</v>
      </c>
      <c r="X24">
        <v>0</v>
      </c>
      <c r="Y24">
        <v>65535</v>
      </c>
      <c r="AF24" t="s">
        <v>162</v>
      </c>
      <c r="AG24">
        <v>0</v>
      </c>
      <c r="AH24">
        <v>0</v>
      </c>
      <c r="AI24">
        <v>65535</v>
      </c>
      <c r="AP24" t="s">
        <v>162</v>
      </c>
      <c r="AQ24">
        <v>0</v>
      </c>
      <c r="AR24">
        <v>0</v>
      </c>
      <c r="AS24">
        <v>65535</v>
      </c>
    </row>
    <row r="25" spans="1:50" ht="15" thickBot="1" x14ac:dyDescent="0.35">
      <c r="A25" s="57" t="s">
        <v>163</v>
      </c>
      <c r="B25" s="57">
        <v>7</v>
      </c>
      <c r="C25" s="57">
        <v>76.610524833333386</v>
      </c>
      <c r="D25" s="57"/>
      <c r="E25" s="57"/>
      <c r="F25" s="57"/>
      <c r="L25" s="57" t="s">
        <v>163</v>
      </c>
      <c r="M25" s="57">
        <v>7</v>
      </c>
      <c r="N25" s="57">
        <v>64014.47500000002</v>
      </c>
      <c r="O25" s="57"/>
      <c r="P25" s="57"/>
      <c r="Q25" s="57"/>
      <c r="V25" s="57" t="s">
        <v>163</v>
      </c>
      <c r="W25" s="57">
        <v>7</v>
      </c>
      <c r="X25" s="57">
        <v>31.196883333333325</v>
      </c>
      <c r="Y25" s="57"/>
      <c r="Z25" s="57"/>
      <c r="AA25" s="57"/>
      <c r="AF25" s="57" t="s">
        <v>163</v>
      </c>
      <c r="AG25" s="57">
        <v>7</v>
      </c>
      <c r="AH25" s="57">
        <v>56.375</v>
      </c>
      <c r="AI25" s="57"/>
      <c r="AJ25" s="57"/>
      <c r="AK25" s="57"/>
      <c r="AP25" s="57" t="s">
        <v>163</v>
      </c>
      <c r="AQ25" s="57">
        <v>7</v>
      </c>
      <c r="AR25" s="57">
        <v>0.61332083333333332</v>
      </c>
      <c r="AS25" s="57"/>
      <c r="AT25" s="57"/>
      <c r="AU25" s="57"/>
    </row>
    <row r="26" spans="1:50" ht="15" thickBot="1" x14ac:dyDescent="0.35"/>
    <row r="27" spans="1:50" x14ac:dyDescent="0.3">
      <c r="A27" s="58"/>
      <c r="B27" s="58" t="s">
        <v>169</v>
      </c>
      <c r="C27" s="58" t="s">
        <v>158</v>
      </c>
      <c r="D27" s="58" t="s">
        <v>170</v>
      </c>
      <c r="E27" s="58" t="s">
        <v>171</v>
      </c>
      <c r="F27" s="58" t="s">
        <v>172</v>
      </c>
      <c r="G27" s="58" t="s">
        <v>173</v>
      </c>
      <c r="H27" s="58" t="s">
        <v>174</v>
      </c>
      <c r="I27" s="58" t="s">
        <v>175</v>
      </c>
      <c r="L27" s="58"/>
      <c r="M27" s="58" t="s">
        <v>169</v>
      </c>
      <c r="N27" s="58" t="s">
        <v>158</v>
      </c>
      <c r="O27" s="58" t="s">
        <v>170</v>
      </c>
      <c r="P27" s="58" t="s">
        <v>171</v>
      </c>
      <c r="Q27" s="58" t="s">
        <v>172</v>
      </c>
      <c r="R27" s="58" t="s">
        <v>173</v>
      </c>
      <c r="S27" s="58" t="s">
        <v>174</v>
      </c>
      <c r="T27" s="58" t="s">
        <v>175</v>
      </c>
      <c r="V27" s="58"/>
      <c r="W27" s="58" t="s">
        <v>169</v>
      </c>
      <c r="X27" s="58" t="s">
        <v>158</v>
      </c>
      <c r="Y27" s="58" t="s">
        <v>170</v>
      </c>
      <c r="Z27" s="58" t="s">
        <v>171</v>
      </c>
      <c r="AA27" s="58" t="s">
        <v>172</v>
      </c>
      <c r="AB27" s="58" t="s">
        <v>173</v>
      </c>
      <c r="AC27" s="58" t="s">
        <v>174</v>
      </c>
      <c r="AD27" s="58" t="s">
        <v>175</v>
      </c>
      <c r="AF27" s="58"/>
      <c r="AG27" s="58" t="s">
        <v>169</v>
      </c>
      <c r="AH27" s="58" t="s">
        <v>158</v>
      </c>
      <c r="AI27" s="58" t="s">
        <v>170</v>
      </c>
      <c r="AJ27" s="58" t="s">
        <v>171</v>
      </c>
      <c r="AK27" s="58" t="s">
        <v>172</v>
      </c>
      <c r="AL27" s="58" t="s">
        <v>173</v>
      </c>
      <c r="AM27" s="58" t="s">
        <v>174</v>
      </c>
      <c r="AN27" s="58" t="s">
        <v>175</v>
      </c>
      <c r="AP27" s="58"/>
      <c r="AQ27" s="58" t="s">
        <v>169</v>
      </c>
      <c r="AR27" s="58" t="s">
        <v>158</v>
      </c>
      <c r="AS27" s="58" t="s">
        <v>170</v>
      </c>
      <c r="AT27" s="58" t="s">
        <v>171</v>
      </c>
      <c r="AU27" s="58" t="s">
        <v>172</v>
      </c>
      <c r="AV27" s="58" t="s">
        <v>173</v>
      </c>
      <c r="AW27" s="58" t="s">
        <v>174</v>
      </c>
      <c r="AX27" s="58" t="s">
        <v>175</v>
      </c>
    </row>
    <row r="28" spans="1:50" x14ac:dyDescent="0.3">
      <c r="A28" t="s">
        <v>164</v>
      </c>
      <c r="B28">
        <v>-37.383500000000005</v>
      </c>
      <c r="C28">
        <v>0</v>
      </c>
      <c r="D28">
        <v>65535</v>
      </c>
      <c r="E28" t="e">
        <v>#NUM!</v>
      </c>
      <c r="F28">
        <v>-37.383500000000005</v>
      </c>
      <c r="G28">
        <v>-37.383500000000005</v>
      </c>
      <c r="H28">
        <v>-37.383500000000005</v>
      </c>
      <c r="I28">
        <v>-37.383500000000005</v>
      </c>
      <c r="L28" t="s">
        <v>164</v>
      </c>
      <c r="M28">
        <v>527.4500000000005</v>
      </c>
      <c r="N28">
        <v>0</v>
      </c>
      <c r="O28">
        <v>65535</v>
      </c>
      <c r="P28" t="e">
        <v>#NUM!</v>
      </c>
      <c r="Q28">
        <v>527.4500000000005</v>
      </c>
      <c r="R28">
        <v>527.4500000000005</v>
      </c>
      <c r="S28">
        <v>527.4500000000005</v>
      </c>
      <c r="T28">
        <v>527.4500000000005</v>
      </c>
      <c r="V28" t="s">
        <v>164</v>
      </c>
      <c r="W28">
        <v>-8.2749999999999844</v>
      </c>
      <c r="X28">
        <v>0</v>
      </c>
      <c r="Y28">
        <v>65535</v>
      </c>
      <c r="Z28" t="e">
        <v>#NUM!</v>
      </c>
      <c r="AA28">
        <v>-8.2749999999999844</v>
      </c>
      <c r="AB28">
        <v>-8.2749999999999844</v>
      </c>
      <c r="AC28">
        <v>-8.2749999999999844</v>
      </c>
      <c r="AD28">
        <v>-8.2749999999999844</v>
      </c>
      <c r="AF28" t="s">
        <v>164</v>
      </c>
      <c r="AG28">
        <v>-13.883333333333322</v>
      </c>
      <c r="AH28">
        <v>0</v>
      </c>
      <c r="AI28">
        <v>65535</v>
      </c>
      <c r="AJ28" t="e">
        <v>#NUM!</v>
      </c>
      <c r="AK28">
        <v>-13.883333333333322</v>
      </c>
      <c r="AL28">
        <v>-13.883333333333322</v>
      </c>
      <c r="AM28">
        <v>-13.883333333333322</v>
      </c>
      <c r="AN28">
        <v>-13.883333333333322</v>
      </c>
      <c r="AP28" t="s">
        <v>164</v>
      </c>
      <c r="AQ28">
        <v>1.3941666666666666</v>
      </c>
      <c r="AR28">
        <v>0</v>
      </c>
      <c r="AS28">
        <v>65535</v>
      </c>
      <c r="AT28" t="e">
        <v>#NUM!</v>
      </c>
      <c r="AU28">
        <v>1.3941666666666666</v>
      </c>
      <c r="AV28">
        <v>1.3941666666666666</v>
      </c>
      <c r="AW28">
        <v>1.3941666666666666</v>
      </c>
      <c r="AX28">
        <v>1.3941666666666666</v>
      </c>
    </row>
    <row r="29" spans="1:50" x14ac:dyDescent="0.3">
      <c r="A29" t="s">
        <v>24</v>
      </c>
      <c r="B29">
        <v>6.5999999999999989E-2</v>
      </c>
      <c r="C29">
        <v>0</v>
      </c>
      <c r="D29">
        <v>65535</v>
      </c>
      <c r="E29" t="e">
        <v>#NUM!</v>
      </c>
      <c r="F29">
        <v>6.5999999999999989E-2</v>
      </c>
      <c r="G29">
        <v>6.5999999999999989E-2</v>
      </c>
      <c r="H29">
        <v>6.5999999999999989E-2</v>
      </c>
      <c r="I29">
        <v>6.5999999999999989E-2</v>
      </c>
      <c r="L29" t="s">
        <v>24</v>
      </c>
      <c r="M29">
        <v>1.3379999999999999</v>
      </c>
      <c r="N29">
        <v>0</v>
      </c>
      <c r="O29">
        <v>65535</v>
      </c>
      <c r="P29" t="e">
        <v>#NUM!</v>
      </c>
      <c r="Q29">
        <v>1.3379999999999999</v>
      </c>
      <c r="R29">
        <v>1.3379999999999999</v>
      </c>
      <c r="S29">
        <v>1.3379999999999999</v>
      </c>
      <c r="T29">
        <v>1.3379999999999999</v>
      </c>
      <c r="V29" t="s">
        <v>24</v>
      </c>
      <c r="W29">
        <v>9.1999999999999929E-3</v>
      </c>
      <c r="X29">
        <v>0</v>
      </c>
      <c r="Y29">
        <v>65535</v>
      </c>
      <c r="Z29" t="e">
        <v>#NUM!</v>
      </c>
      <c r="AA29">
        <v>9.1999999999999929E-3</v>
      </c>
      <c r="AB29">
        <v>9.1999999999999929E-3</v>
      </c>
      <c r="AC29">
        <v>9.1999999999999929E-3</v>
      </c>
      <c r="AD29">
        <v>9.1999999999999929E-3</v>
      </c>
      <c r="AF29" t="s">
        <v>24</v>
      </c>
      <c r="AG29">
        <v>1.4666666666666663E-2</v>
      </c>
      <c r="AH29">
        <v>0</v>
      </c>
      <c r="AI29">
        <v>65535</v>
      </c>
      <c r="AJ29" t="e">
        <v>#NUM!</v>
      </c>
      <c r="AK29">
        <v>1.4666666666666663E-2</v>
      </c>
      <c r="AL29">
        <v>1.4666666666666663E-2</v>
      </c>
      <c r="AM29">
        <v>1.4666666666666663E-2</v>
      </c>
      <c r="AN29">
        <v>1.4666666666666663E-2</v>
      </c>
      <c r="AP29" t="s">
        <v>24</v>
      </c>
      <c r="AQ29">
        <v>3.5333333333333345E-3</v>
      </c>
      <c r="AR29">
        <v>0</v>
      </c>
      <c r="AS29">
        <v>65535</v>
      </c>
      <c r="AT29" t="e">
        <v>#NUM!</v>
      </c>
      <c r="AU29">
        <v>3.5333333333333345E-3</v>
      </c>
      <c r="AV29">
        <v>3.5333333333333345E-3</v>
      </c>
      <c r="AW29">
        <v>3.5333333333333345E-3</v>
      </c>
      <c r="AX29">
        <v>3.5333333333333345E-3</v>
      </c>
    </row>
    <row r="30" spans="1:50" x14ac:dyDescent="0.3">
      <c r="A30" t="s">
        <v>59</v>
      </c>
      <c r="B30">
        <v>41.03000000000003</v>
      </c>
      <c r="C30">
        <v>0</v>
      </c>
      <c r="D30">
        <v>65535</v>
      </c>
      <c r="E30" t="e">
        <v>#NUM!</v>
      </c>
      <c r="F30">
        <v>41.03000000000003</v>
      </c>
      <c r="G30">
        <v>41.03000000000003</v>
      </c>
      <c r="H30">
        <v>41.03000000000003</v>
      </c>
      <c r="I30">
        <v>41.03000000000003</v>
      </c>
      <c r="L30" t="s">
        <v>59</v>
      </c>
      <c r="M30">
        <v>-1421.0000000000002</v>
      </c>
      <c r="N30">
        <v>0</v>
      </c>
      <c r="O30">
        <v>65535</v>
      </c>
      <c r="P30" t="e">
        <v>#NUM!</v>
      </c>
      <c r="Q30">
        <v>-1421.0000000000002</v>
      </c>
      <c r="R30">
        <v>-1421.0000000000002</v>
      </c>
      <c r="S30">
        <v>-1421.0000000000002</v>
      </c>
      <c r="T30">
        <v>-1421.0000000000002</v>
      </c>
      <c r="V30" t="s">
        <v>59</v>
      </c>
      <c r="W30">
        <v>3.4999999999999849</v>
      </c>
      <c r="X30">
        <v>0</v>
      </c>
      <c r="Y30">
        <v>65535</v>
      </c>
      <c r="Z30" t="e">
        <v>#NUM!</v>
      </c>
      <c r="AA30">
        <v>3.4999999999999849</v>
      </c>
      <c r="AB30">
        <v>3.4999999999999849</v>
      </c>
      <c r="AC30">
        <v>3.4999999999999849</v>
      </c>
      <c r="AD30">
        <v>3.4999999999999849</v>
      </c>
      <c r="AF30" t="s">
        <v>59</v>
      </c>
      <c r="AG30">
        <v>9.0000000000000018</v>
      </c>
      <c r="AH30">
        <v>0</v>
      </c>
      <c r="AI30">
        <v>65535</v>
      </c>
      <c r="AJ30" t="e">
        <v>#NUM!</v>
      </c>
      <c r="AK30">
        <v>9.0000000000000018</v>
      </c>
      <c r="AL30">
        <v>9.0000000000000018</v>
      </c>
      <c r="AM30">
        <v>9.0000000000000018</v>
      </c>
      <c r="AN30">
        <v>9.0000000000000018</v>
      </c>
      <c r="AP30" t="s">
        <v>59</v>
      </c>
      <c r="AQ30">
        <v>-4.3166666666666682</v>
      </c>
      <c r="AR30">
        <v>0</v>
      </c>
      <c r="AS30">
        <v>65535</v>
      </c>
      <c r="AT30" t="e">
        <v>#NUM!</v>
      </c>
      <c r="AU30">
        <v>-4.3166666666666682</v>
      </c>
      <c r="AV30">
        <v>-4.3166666666666682</v>
      </c>
      <c r="AW30">
        <v>-4.3166666666666682</v>
      </c>
      <c r="AX30">
        <v>-4.3166666666666682</v>
      </c>
    </row>
    <row r="31" spans="1:50" x14ac:dyDescent="0.3">
      <c r="A31" t="s">
        <v>16</v>
      </c>
      <c r="B31">
        <v>0</v>
      </c>
      <c r="C31">
        <v>0</v>
      </c>
      <c r="D31">
        <v>65535</v>
      </c>
      <c r="E31" t="e">
        <v>#NUM!</v>
      </c>
      <c r="F31">
        <v>0</v>
      </c>
      <c r="G31">
        <v>0</v>
      </c>
      <c r="H31">
        <v>0</v>
      </c>
      <c r="I31">
        <v>0</v>
      </c>
      <c r="L31" t="s">
        <v>16</v>
      </c>
      <c r="M31">
        <v>0</v>
      </c>
      <c r="N31">
        <v>0</v>
      </c>
      <c r="O31">
        <v>65535</v>
      </c>
      <c r="P31" t="e">
        <v>#NUM!</v>
      </c>
      <c r="Q31">
        <v>0</v>
      </c>
      <c r="R31">
        <v>0</v>
      </c>
      <c r="S31">
        <v>0</v>
      </c>
      <c r="T31">
        <v>0</v>
      </c>
      <c r="V31" t="s">
        <v>16</v>
      </c>
      <c r="W31">
        <v>0</v>
      </c>
      <c r="X31">
        <v>0</v>
      </c>
      <c r="Y31">
        <v>65535</v>
      </c>
      <c r="Z31" t="e">
        <v>#NUM!</v>
      </c>
      <c r="AA31">
        <v>0</v>
      </c>
      <c r="AB31">
        <v>0</v>
      </c>
      <c r="AC31">
        <v>0</v>
      </c>
      <c r="AD31">
        <v>0</v>
      </c>
      <c r="AF31" t="s">
        <v>16</v>
      </c>
      <c r="AG31">
        <v>0</v>
      </c>
      <c r="AH31">
        <v>0</v>
      </c>
      <c r="AI31">
        <v>65535</v>
      </c>
      <c r="AJ31" t="e">
        <v>#NUM!</v>
      </c>
      <c r="AK31">
        <v>0</v>
      </c>
      <c r="AL31">
        <v>0</v>
      </c>
      <c r="AM31">
        <v>0</v>
      </c>
      <c r="AN31">
        <v>0</v>
      </c>
      <c r="AP31" t="s">
        <v>16</v>
      </c>
      <c r="AQ31">
        <v>0</v>
      </c>
      <c r="AR31">
        <v>0</v>
      </c>
      <c r="AS31">
        <v>65535</v>
      </c>
      <c r="AT31" t="e">
        <v>#NUM!</v>
      </c>
      <c r="AU31">
        <v>0</v>
      </c>
      <c r="AV31">
        <v>0</v>
      </c>
      <c r="AW31">
        <v>0</v>
      </c>
      <c r="AX31">
        <v>0</v>
      </c>
    </row>
    <row r="32" spans="1:50" x14ac:dyDescent="0.3">
      <c r="A32" t="s">
        <v>2</v>
      </c>
      <c r="B32">
        <v>1.4886666666666668</v>
      </c>
      <c r="C32">
        <v>0</v>
      </c>
      <c r="D32">
        <v>65535</v>
      </c>
      <c r="E32" t="e">
        <v>#NUM!</v>
      </c>
      <c r="F32">
        <v>1.4886666666666668</v>
      </c>
      <c r="G32">
        <v>1.4886666666666668</v>
      </c>
      <c r="H32">
        <v>1.4886666666666668</v>
      </c>
      <c r="I32">
        <v>1.4886666666666668</v>
      </c>
      <c r="L32" t="s">
        <v>2</v>
      </c>
      <c r="M32">
        <v>5.9999999999999512</v>
      </c>
      <c r="N32">
        <v>0</v>
      </c>
      <c r="O32">
        <v>65535</v>
      </c>
      <c r="P32" t="e">
        <v>#NUM!</v>
      </c>
      <c r="Q32">
        <v>5.9999999999999512</v>
      </c>
      <c r="R32">
        <v>5.9999999999999512</v>
      </c>
      <c r="S32">
        <v>5.9999999999999512</v>
      </c>
      <c r="T32">
        <v>5.9999999999999512</v>
      </c>
      <c r="V32" t="s">
        <v>2</v>
      </c>
      <c r="W32">
        <v>2.6133333333333324</v>
      </c>
      <c r="X32">
        <v>0</v>
      </c>
      <c r="Y32">
        <v>65535</v>
      </c>
      <c r="Z32" t="e">
        <v>#NUM!</v>
      </c>
      <c r="AA32">
        <v>2.6133333333333324</v>
      </c>
      <c r="AB32">
        <v>2.6133333333333324</v>
      </c>
      <c r="AC32">
        <v>2.6133333333333324</v>
      </c>
      <c r="AD32">
        <v>2.6133333333333324</v>
      </c>
      <c r="AF32" t="s">
        <v>2</v>
      </c>
      <c r="AG32">
        <v>3.3333333333333317</v>
      </c>
      <c r="AH32">
        <v>0</v>
      </c>
      <c r="AI32">
        <v>65535</v>
      </c>
      <c r="AJ32" t="e">
        <v>#NUM!</v>
      </c>
      <c r="AK32">
        <v>3.3333333333333317</v>
      </c>
      <c r="AL32">
        <v>3.3333333333333317</v>
      </c>
      <c r="AM32">
        <v>3.3333333333333317</v>
      </c>
      <c r="AN32">
        <v>3.3333333333333317</v>
      </c>
      <c r="AP32" t="s">
        <v>2</v>
      </c>
      <c r="AQ32">
        <v>-0.41666666666666691</v>
      </c>
      <c r="AR32">
        <v>0</v>
      </c>
      <c r="AS32">
        <v>65535</v>
      </c>
      <c r="AT32" t="e">
        <v>#NUM!</v>
      </c>
      <c r="AU32">
        <v>-0.41666666666666691</v>
      </c>
      <c r="AV32">
        <v>-0.41666666666666691</v>
      </c>
      <c r="AW32">
        <v>-0.41666666666666691</v>
      </c>
      <c r="AX32">
        <v>-0.41666666666666691</v>
      </c>
    </row>
    <row r="33" spans="1:50" x14ac:dyDescent="0.3">
      <c r="A33" t="s">
        <v>3</v>
      </c>
      <c r="B33">
        <v>1.0303333333333338</v>
      </c>
      <c r="C33">
        <v>0</v>
      </c>
      <c r="D33">
        <v>65535</v>
      </c>
      <c r="E33" t="e">
        <v>#NUM!</v>
      </c>
      <c r="F33">
        <v>1.0303333333333338</v>
      </c>
      <c r="G33">
        <v>1.0303333333333338</v>
      </c>
      <c r="H33">
        <v>1.0303333333333338</v>
      </c>
      <c r="I33">
        <v>1.0303333333333338</v>
      </c>
      <c r="L33" t="s">
        <v>3</v>
      </c>
      <c r="M33">
        <v>6.4749999999999899</v>
      </c>
      <c r="N33">
        <v>0</v>
      </c>
      <c r="O33">
        <v>65535</v>
      </c>
      <c r="P33" t="e">
        <v>#NUM!</v>
      </c>
      <c r="Q33">
        <v>6.4749999999999899</v>
      </c>
      <c r="R33">
        <v>6.4749999999999899</v>
      </c>
      <c r="S33">
        <v>6.4749999999999899</v>
      </c>
      <c r="T33">
        <v>6.4749999999999899</v>
      </c>
      <c r="V33" t="s">
        <v>3</v>
      </c>
      <c r="W33">
        <v>-0.20583333333333337</v>
      </c>
      <c r="X33">
        <v>0</v>
      </c>
      <c r="Y33">
        <v>65535</v>
      </c>
      <c r="Z33" t="e">
        <v>#NUM!</v>
      </c>
      <c r="AA33">
        <v>-0.20583333333333337</v>
      </c>
      <c r="AB33">
        <v>-0.20583333333333337</v>
      </c>
      <c r="AC33">
        <v>-0.20583333333333337</v>
      </c>
      <c r="AD33">
        <v>-0.20583333333333337</v>
      </c>
      <c r="AF33" t="s">
        <v>3</v>
      </c>
      <c r="AG33">
        <v>-0.31666666666666693</v>
      </c>
      <c r="AH33">
        <v>0</v>
      </c>
      <c r="AI33">
        <v>65535</v>
      </c>
      <c r="AJ33" t="e">
        <v>#NUM!</v>
      </c>
      <c r="AK33">
        <v>-0.31666666666666693</v>
      </c>
      <c r="AL33">
        <v>-0.31666666666666693</v>
      </c>
      <c r="AM33">
        <v>-0.31666666666666693</v>
      </c>
      <c r="AN33">
        <v>-0.31666666666666693</v>
      </c>
      <c r="AP33" t="s">
        <v>3</v>
      </c>
      <c r="AQ33">
        <v>6.6666666666666732E-3</v>
      </c>
      <c r="AR33">
        <v>0</v>
      </c>
      <c r="AS33">
        <v>65535</v>
      </c>
      <c r="AT33" t="e">
        <v>#NUM!</v>
      </c>
      <c r="AU33">
        <v>6.6666666666666732E-3</v>
      </c>
      <c r="AV33">
        <v>6.6666666666666732E-3</v>
      </c>
      <c r="AW33">
        <v>6.6666666666666732E-3</v>
      </c>
      <c r="AX33">
        <v>6.6666666666666732E-3</v>
      </c>
    </row>
    <row r="34" spans="1:50" x14ac:dyDescent="0.3">
      <c r="A34" t="s">
        <v>1</v>
      </c>
      <c r="B34">
        <v>0</v>
      </c>
      <c r="C34">
        <v>0</v>
      </c>
      <c r="D34">
        <v>65535</v>
      </c>
      <c r="E34" t="e">
        <v>#NUM!</v>
      </c>
      <c r="F34">
        <v>0</v>
      </c>
      <c r="G34">
        <v>0</v>
      </c>
      <c r="H34">
        <v>0</v>
      </c>
      <c r="I34">
        <v>0</v>
      </c>
      <c r="L34" t="s">
        <v>1</v>
      </c>
      <c r="M34">
        <v>0</v>
      </c>
      <c r="N34">
        <v>0</v>
      </c>
      <c r="O34">
        <v>65535</v>
      </c>
      <c r="P34" t="e">
        <v>#NUM!</v>
      </c>
      <c r="Q34">
        <v>0</v>
      </c>
      <c r="R34">
        <v>0</v>
      </c>
      <c r="S34">
        <v>0</v>
      </c>
      <c r="T34">
        <v>0</v>
      </c>
      <c r="V34" t="s">
        <v>1</v>
      </c>
      <c r="W34">
        <v>0</v>
      </c>
      <c r="X34">
        <v>0</v>
      </c>
      <c r="Y34">
        <v>65535</v>
      </c>
      <c r="Z34" t="e">
        <v>#NUM!</v>
      </c>
      <c r="AA34">
        <v>0</v>
      </c>
      <c r="AB34">
        <v>0</v>
      </c>
      <c r="AC34">
        <v>0</v>
      </c>
      <c r="AD34">
        <v>0</v>
      </c>
      <c r="AF34" t="s">
        <v>1</v>
      </c>
      <c r="AG34">
        <v>0</v>
      </c>
      <c r="AH34">
        <v>0</v>
      </c>
      <c r="AI34">
        <v>65535</v>
      </c>
      <c r="AJ34" t="e">
        <v>#NUM!</v>
      </c>
      <c r="AK34">
        <v>0</v>
      </c>
      <c r="AL34">
        <v>0</v>
      </c>
      <c r="AM34">
        <v>0</v>
      </c>
      <c r="AN34">
        <v>0</v>
      </c>
      <c r="AP34" t="s">
        <v>1</v>
      </c>
      <c r="AQ34">
        <v>0</v>
      </c>
      <c r="AR34">
        <v>0</v>
      </c>
      <c r="AS34">
        <v>65535</v>
      </c>
      <c r="AT34" t="e">
        <v>#NUM!</v>
      </c>
      <c r="AU34">
        <v>0</v>
      </c>
      <c r="AV34">
        <v>0</v>
      </c>
      <c r="AW34">
        <v>0</v>
      </c>
      <c r="AX34">
        <v>0</v>
      </c>
    </row>
    <row r="35" spans="1:50" ht="15" thickBot="1" x14ac:dyDescent="0.35">
      <c r="A35" s="57" t="s">
        <v>15</v>
      </c>
      <c r="B35" s="57">
        <v>1.1916666666666664</v>
      </c>
      <c r="C35" s="57">
        <v>0</v>
      </c>
      <c r="D35" s="57">
        <v>65535</v>
      </c>
      <c r="E35" s="57" t="e">
        <v>#NUM!</v>
      </c>
      <c r="F35" s="57">
        <v>1.1916666666666664</v>
      </c>
      <c r="G35" s="57">
        <v>1.1916666666666664</v>
      </c>
      <c r="H35" s="57">
        <v>1.1916666666666664</v>
      </c>
      <c r="I35" s="57">
        <v>1.1916666666666664</v>
      </c>
      <c r="L35" s="57" t="s">
        <v>15</v>
      </c>
      <c r="M35" s="57">
        <v>-245.49999999999994</v>
      </c>
      <c r="N35" s="57">
        <v>0</v>
      </c>
      <c r="O35" s="57">
        <v>65535</v>
      </c>
      <c r="P35" s="57" t="e">
        <v>#NUM!</v>
      </c>
      <c r="Q35" s="57">
        <v>-245.49999999999994</v>
      </c>
      <c r="R35" s="57">
        <v>-245.49999999999994</v>
      </c>
      <c r="S35" s="57">
        <v>-245.49999999999994</v>
      </c>
      <c r="T35" s="57">
        <v>-245.49999999999994</v>
      </c>
      <c r="V35" s="57" t="s">
        <v>15</v>
      </c>
      <c r="W35" s="57">
        <v>9.7833333333333261</v>
      </c>
      <c r="X35" s="57">
        <v>0</v>
      </c>
      <c r="Y35" s="57">
        <v>65535</v>
      </c>
      <c r="Z35" s="57" t="e">
        <v>#NUM!</v>
      </c>
      <c r="AA35" s="57">
        <v>9.7833333333333261</v>
      </c>
      <c r="AB35" s="57">
        <v>9.7833333333333261</v>
      </c>
      <c r="AC35" s="57">
        <v>9.7833333333333261</v>
      </c>
      <c r="AD35" s="57">
        <v>9.7833333333333261</v>
      </c>
      <c r="AF35" s="57" t="s">
        <v>15</v>
      </c>
      <c r="AG35" s="57">
        <v>12.833333333333329</v>
      </c>
      <c r="AH35" s="57">
        <v>0</v>
      </c>
      <c r="AI35" s="57">
        <v>65535</v>
      </c>
      <c r="AJ35" s="57" t="e">
        <v>#NUM!</v>
      </c>
      <c r="AK35" s="57">
        <v>12.833333333333329</v>
      </c>
      <c r="AL35" s="57">
        <v>12.833333333333329</v>
      </c>
      <c r="AM35" s="57">
        <v>12.833333333333329</v>
      </c>
      <c r="AN35" s="57">
        <v>12.833333333333329</v>
      </c>
      <c r="AP35" s="57" t="s">
        <v>15</v>
      </c>
      <c r="AQ35" s="57">
        <v>-0.37499999999999933</v>
      </c>
      <c r="AR35" s="57">
        <v>0</v>
      </c>
      <c r="AS35" s="57">
        <v>65535</v>
      </c>
      <c r="AT35" s="57" t="e">
        <v>#NUM!</v>
      </c>
      <c r="AU35" s="57">
        <v>-0.37499999999999933</v>
      </c>
      <c r="AV35" s="57">
        <v>-0.37499999999999933</v>
      </c>
      <c r="AW35" s="57">
        <v>-0.37499999999999933</v>
      </c>
      <c r="AX35" s="57">
        <v>-0.37499999999999933</v>
      </c>
    </row>
    <row r="39" spans="1:50" x14ac:dyDescent="0.3">
      <c r="A39" t="s">
        <v>177</v>
      </c>
      <c r="L39" t="s">
        <v>177</v>
      </c>
      <c r="V39" t="s">
        <v>177</v>
      </c>
      <c r="AF39" t="s">
        <v>177</v>
      </c>
      <c r="AP39" t="s">
        <v>177</v>
      </c>
    </row>
    <row r="40" spans="1:50" ht="15" thickBot="1" x14ac:dyDescent="0.35"/>
    <row r="41" spans="1:50" x14ac:dyDescent="0.3">
      <c r="A41" s="58" t="s">
        <v>178</v>
      </c>
      <c r="B41" s="58" t="s">
        <v>179</v>
      </c>
      <c r="C41" s="58" t="s">
        <v>180</v>
      </c>
      <c r="L41" s="58" t="s">
        <v>178</v>
      </c>
      <c r="M41" s="58" t="s">
        <v>181</v>
      </c>
      <c r="N41" s="58" t="s">
        <v>180</v>
      </c>
      <c r="V41" s="58" t="s">
        <v>178</v>
      </c>
      <c r="W41" s="58" t="s">
        <v>182</v>
      </c>
      <c r="X41" s="58" t="s">
        <v>180</v>
      </c>
      <c r="AF41" s="58" t="s">
        <v>178</v>
      </c>
      <c r="AG41" s="58" t="s">
        <v>183</v>
      </c>
      <c r="AH41" s="58" t="s">
        <v>180</v>
      </c>
      <c r="AP41" s="58" t="s">
        <v>178</v>
      </c>
      <c r="AQ41" s="58" t="s">
        <v>206</v>
      </c>
      <c r="AR41" s="58" t="s">
        <v>180</v>
      </c>
    </row>
    <row r="42" spans="1:50" x14ac:dyDescent="0.3">
      <c r="A42">
        <v>1</v>
      </c>
      <c r="B42">
        <v>17.996000000000002</v>
      </c>
      <c r="C42">
        <v>0</v>
      </c>
      <c r="L42">
        <v>1</v>
      </c>
      <c r="M42">
        <v>624.00000000000023</v>
      </c>
      <c r="N42">
        <v>-2.2737367544323206E-13</v>
      </c>
      <c r="V42">
        <v>1</v>
      </c>
      <c r="W42">
        <v>8.8000000000000007</v>
      </c>
      <c r="X42">
        <v>0</v>
      </c>
      <c r="AF42">
        <v>1</v>
      </c>
      <c r="AG42">
        <v>9.4999999999999982</v>
      </c>
      <c r="AH42">
        <v>1.7763568394002505E-15</v>
      </c>
      <c r="AP42">
        <v>1</v>
      </c>
      <c r="AQ42">
        <v>0.80499999999999983</v>
      </c>
      <c r="AR42">
        <v>2.2204460492503131E-16</v>
      </c>
    </row>
    <row r="43" spans="1:50" x14ac:dyDescent="0.3">
      <c r="A43">
        <v>2</v>
      </c>
      <c r="B43">
        <v>13.321000000000002</v>
      </c>
      <c r="C43">
        <v>-1.7763568394002505E-15</v>
      </c>
      <c r="L43">
        <v>2</v>
      </c>
      <c r="M43">
        <v>740.3000000000003</v>
      </c>
      <c r="N43">
        <v>-2.2737367544323206E-13</v>
      </c>
      <c r="V43">
        <v>2</v>
      </c>
      <c r="W43">
        <v>8.3000000000000025</v>
      </c>
      <c r="X43">
        <v>-1.7763568394002505E-15</v>
      </c>
      <c r="AF43">
        <v>2</v>
      </c>
      <c r="AG43">
        <v>9.2999999999999989</v>
      </c>
      <c r="AH43">
        <v>1.7763568394002505E-15</v>
      </c>
      <c r="AP43">
        <v>2</v>
      </c>
      <c r="AQ43">
        <v>0.86999999999999988</v>
      </c>
      <c r="AR43">
        <v>1.1102230246251565E-16</v>
      </c>
    </row>
    <row r="44" spans="1:50" x14ac:dyDescent="0.3">
      <c r="A44">
        <v>3</v>
      </c>
      <c r="B44">
        <v>21.725000000000001</v>
      </c>
      <c r="C44">
        <v>0</v>
      </c>
      <c r="L44">
        <v>3</v>
      </c>
      <c r="M44">
        <v>787.00000000000011</v>
      </c>
      <c r="N44">
        <v>-1.1368683772161603E-13</v>
      </c>
      <c r="V44">
        <v>3</v>
      </c>
      <c r="W44">
        <v>11.2</v>
      </c>
      <c r="X44">
        <v>1.7763568394002505E-15</v>
      </c>
      <c r="AF44">
        <v>3</v>
      </c>
      <c r="AG44">
        <v>12.999999999999996</v>
      </c>
      <c r="AH44">
        <v>3.5527136788005009E-15</v>
      </c>
      <c r="AP44">
        <v>3</v>
      </c>
      <c r="AQ44">
        <v>0.78999999999999981</v>
      </c>
      <c r="AR44">
        <v>2.2204460492503131E-16</v>
      </c>
    </row>
    <row r="45" spans="1:50" x14ac:dyDescent="0.3">
      <c r="A45">
        <v>4</v>
      </c>
      <c r="B45">
        <v>22.605000000000004</v>
      </c>
      <c r="C45">
        <v>0</v>
      </c>
      <c r="L45">
        <v>4</v>
      </c>
      <c r="M45">
        <v>534.00000000000023</v>
      </c>
      <c r="N45">
        <v>-2.2737367544323206E-13</v>
      </c>
      <c r="V45">
        <v>4</v>
      </c>
      <c r="W45">
        <v>8.5</v>
      </c>
      <c r="X45">
        <v>0</v>
      </c>
      <c r="AF45">
        <v>4</v>
      </c>
      <c r="AG45">
        <v>9.4999999999999964</v>
      </c>
      <c r="AH45">
        <v>3.5527136788005009E-15</v>
      </c>
      <c r="AP45">
        <v>4</v>
      </c>
      <c r="AQ45">
        <v>0.23999999999999994</v>
      </c>
      <c r="AR45">
        <v>5.5511151231257827E-17</v>
      </c>
    </row>
    <row r="46" spans="1:50" x14ac:dyDescent="0.3">
      <c r="A46">
        <v>5</v>
      </c>
      <c r="B46">
        <v>18.645000000000003</v>
      </c>
      <c r="C46">
        <v>-3.5527136788005009E-15</v>
      </c>
      <c r="L46">
        <v>5</v>
      </c>
      <c r="M46">
        <v>503.00000000000023</v>
      </c>
      <c r="N46">
        <v>-2.2737367544323206E-13</v>
      </c>
      <c r="V46">
        <v>5</v>
      </c>
      <c r="W46">
        <v>13.869999999999997</v>
      </c>
      <c r="X46">
        <v>1.7763568394002505E-15</v>
      </c>
      <c r="AF46">
        <v>5</v>
      </c>
      <c r="AG46">
        <v>16.999999999999996</v>
      </c>
      <c r="AH46">
        <v>3.5527136788005009E-15</v>
      </c>
      <c r="AP46">
        <v>5</v>
      </c>
      <c r="AQ46">
        <v>7.9999999999999905E-2</v>
      </c>
      <c r="AR46">
        <v>9.7144514654701197E-17</v>
      </c>
    </row>
    <row r="47" spans="1:50" ht="15" thickBot="1" x14ac:dyDescent="0.35">
      <c r="A47" s="57">
        <v>6</v>
      </c>
      <c r="B47" s="57">
        <v>24.100999999999999</v>
      </c>
      <c r="C47" s="57">
        <v>3.5527136788005009E-15</v>
      </c>
      <c r="L47" s="57">
        <v>6</v>
      </c>
      <c r="M47" s="57">
        <v>688</v>
      </c>
      <c r="N47" s="57">
        <v>0</v>
      </c>
      <c r="V47" s="57">
        <v>6</v>
      </c>
      <c r="W47" s="57">
        <v>6.9799999999999995</v>
      </c>
      <c r="X47" s="57">
        <v>8.8817841970012523E-16</v>
      </c>
      <c r="AF47" s="57">
        <v>6</v>
      </c>
      <c r="AG47" s="57">
        <v>7.9999999999999982</v>
      </c>
      <c r="AH47" s="57">
        <v>1.7763568394002505E-15</v>
      </c>
      <c r="AP47" s="57">
        <v>6</v>
      </c>
      <c r="AQ47" s="57">
        <v>0.84999999999999987</v>
      </c>
      <c r="AR47" s="57">
        <v>1.1102230246251565E-16</v>
      </c>
    </row>
    <row r="48" spans="1:50" ht="15" thickBot="1" x14ac:dyDescent="0.35">
      <c r="A48" s="61"/>
      <c r="B48" s="61"/>
      <c r="C48" s="57"/>
      <c r="D48" s="57"/>
      <c r="E48" s="57"/>
      <c r="F48" s="57"/>
      <c r="G48" s="57"/>
      <c r="H48" s="57"/>
      <c r="I48" s="57"/>
    </row>
    <row r="50" spans="1:6" x14ac:dyDescent="0.3">
      <c r="A50" s="36"/>
    </row>
    <row r="51" spans="1:6" ht="15" thickBot="1" x14ac:dyDescent="0.35"/>
    <row r="52" spans="1:6" x14ac:dyDescent="0.3">
      <c r="A52" s="59"/>
      <c r="B52" s="59"/>
    </row>
    <row r="57" spans="1:6" ht="15" thickBot="1" x14ac:dyDescent="0.35">
      <c r="A57" s="57"/>
      <c r="B57" s="57"/>
    </row>
    <row r="59" spans="1:6" ht="15" thickBot="1" x14ac:dyDescent="0.35"/>
    <row r="60" spans="1:6" x14ac:dyDescent="0.3">
      <c r="A60" s="58"/>
      <c r="B60" s="58"/>
      <c r="C60" s="58"/>
      <c r="D60" s="58"/>
      <c r="E60" s="58"/>
      <c r="F60" s="58"/>
    </row>
    <row r="63" spans="1:6" ht="15" thickBot="1" x14ac:dyDescent="0.35">
      <c r="A63" s="57"/>
      <c r="B63" s="57"/>
      <c r="C63" s="57"/>
      <c r="D63" s="57"/>
      <c r="E63" s="57"/>
      <c r="F63" s="57"/>
    </row>
    <row r="64" spans="1:6" ht="15" thickBot="1" x14ac:dyDescent="0.35"/>
    <row r="65" spans="1:9" x14ac:dyDescent="0.3">
      <c r="A65" s="58"/>
      <c r="B65" s="58"/>
      <c r="C65" s="58"/>
      <c r="D65" s="58"/>
      <c r="E65" s="58"/>
      <c r="F65" s="58"/>
      <c r="G65" s="58"/>
      <c r="H65" s="58"/>
      <c r="I65" s="58"/>
    </row>
    <row r="66" spans="1:9" x14ac:dyDescent="0.3">
      <c r="A66" s="60"/>
      <c r="B66" s="60"/>
    </row>
    <row r="67" spans="1:9" ht="15" thickBot="1" x14ac:dyDescent="0.35">
      <c r="A67" s="61"/>
      <c r="B67" s="61"/>
      <c r="C67" s="57"/>
      <c r="D67" s="57"/>
      <c r="E67" s="57"/>
      <c r="F67" s="57"/>
      <c r="G67" s="57"/>
      <c r="H67" s="57"/>
      <c r="I67" s="57"/>
    </row>
    <row r="69" spans="1:9" x14ac:dyDescent="0.3">
      <c r="A69" s="36"/>
    </row>
    <row r="70" spans="1:9" ht="15" thickBot="1" x14ac:dyDescent="0.35"/>
    <row r="71" spans="1:9" x14ac:dyDescent="0.3">
      <c r="A71" s="59"/>
      <c r="B71" s="59"/>
    </row>
    <row r="76" spans="1:9" ht="15" thickBot="1" x14ac:dyDescent="0.35">
      <c r="A76" s="57"/>
      <c r="B76" s="57"/>
    </row>
    <row r="78" spans="1:9" ht="15" thickBot="1" x14ac:dyDescent="0.35"/>
    <row r="79" spans="1:9" x14ac:dyDescent="0.3">
      <c r="A79" s="58"/>
      <c r="B79" s="58"/>
      <c r="C79" s="58"/>
      <c r="D79" s="58"/>
      <c r="E79" s="58"/>
      <c r="F79" s="58"/>
    </row>
    <row r="82" spans="1:9" ht="15" thickBot="1" x14ac:dyDescent="0.35">
      <c r="A82" s="57"/>
      <c r="B82" s="57"/>
      <c r="C82" s="57"/>
      <c r="D82" s="57"/>
      <c r="E82" s="57"/>
      <c r="F82" s="57"/>
    </row>
    <row r="83" spans="1:9" ht="15" thickBot="1" x14ac:dyDescent="0.35"/>
    <row r="84" spans="1:9" x14ac:dyDescent="0.3">
      <c r="A84" s="58"/>
      <c r="B84" s="58"/>
      <c r="C84" s="58"/>
      <c r="D84" s="58"/>
      <c r="E84" s="58"/>
      <c r="F84" s="58"/>
      <c r="G84" s="58"/>
      <c r="H84" s="58"/>
      <c r="I84" s="58"/>
    </row>
    <row r="85" spans="1:9" x14ac:dyDescent="0.3">
      <c r="A85" s="60"/>
      <c r="B85" s="60"/>
    </row>
    <row r="86" spans="1:9" ht="15" thickBot="1" x14ac:dyDescent="0.35">
      <c r="A86" s="61"/>
      <c r="B86" s="61"/>
      <c r="C86" s="57"/>
      <c r="D86" s="57"/>
      <c r="E86" s="57"/>
      <c r="F86" s="57"/>
      <c r="G86" s="57"/>
      <c r="H86" s="57"/>
      <c r="I86" s="57"/>
    </row>
    <row r="88" spans="1:9" x14ac:dyDescent="0.3">
      <c r="A88" s="36"/>
    </row>
    <row r="89" spans="1:9" ht="15" thickBot="1" x14ac:dyDescent="0.35"/>
    <row r="90" spans="1:9" x14ac:dyDescent="0.3">
      <c r="A90" s="59"/>
      <c r="B90" s="59"/>
    </row>
    <row r="95" spans="1:9" ht="15" thickBot="1" x14ac:dyDescent="0.35">
      <c r="A95" s="57"/>
      <c r="B95" s="57"/>
    </row>
    <row r="97" spans="1:9" ht="15" thickBot="1" x14ac:dyDescent="0.35"/>
    <row r="98" spans="1:9" x14ac:dyDescent="0.3">
      <c r="A98" s="58"/>
      <c r="B98" s="58"/>
      <c r="C98" s="58"/>
      <c r="D98" s="58"/>
      <c r="E98" s="58"/>
      <c r="F98" s="58"/>
    </row>
    <row r="101" spans="1:9" ht="15" thickBot="1" x14ac:dyDescent="0.35">
      <c r="A101" s="57"/>
      <c r="B101" s="57"/>
      <c r="C101" s="57"/>
      <c r="D101" s="57"/>
      <c r="E101" s="57"/>
      <c r="F101" s="57"/>
    </row>
    <row r="102" spans="1:9" ht="15" thickBot="1" x14ac:dyDescent="0.35"/>
    <row r="103" spans="1:9" x14ac:dyDescent="0.3">
      <c r="A103" s="58"/>
      <c r="B103" s="58"/>
      <c r="C103" s="58"/>
      <c r="D103" s="58"/>
      <c r="E103" s="58"/>
      <c r="F103" s="58"/>
      <c r="G103" s="58"/>
      <c r="H103" s="58"/>
      <c r="I103" s="58"/>
    </row>
    <row r="104" spans="1:9" x14ac:dyDescent="0.3">
      <c r="A104" s="60"/>
      <c r="B104" s="60"/>
    </row>
    <row r="105" spans="1:9" ht="15" thickBot="1" x14ac:dyDescent="0.35">
      <c r="A105" s="61"/>
      <c r="B105" s="61"/>
      <c r="C105" s="57"/>
      <c r="D105" s="57"/>
      <c r="E105" s="57"/>
      <c r="F105" s="57"/>
      <c r="G105" s="57"/>
      <c r="H105" s="57"/>
      <c r="I105" s="57"/>
    </row>
    <row r="107" spans="1:9" x14ac:dyDescent="0.3">
      <c r="A107" s="36"/>
    </row>
    <row r="108" spans="1:9" ht="15" thickBot="1" x14ac:dyDescent="0.35"/>
    <row r="109" spans="1:9" x14ac:dyDescent="0.3">
      <c r="A109" s="59"/>
      <c r="B109" s="59"/>
    </row>
    <row r="114" spans="1:9" ht="15" thickBot="1" x14ac:dyDescent="0.35">
      <c r="A114" s="57"/>
      <c r="B114" s="57"/>
    </row>
    <row r="116" spans="1:9" ht="15" thickBot="1" x14ac:dyDescent="0.35"/>
    <row r="117" spans="1:9" x14ac:dyDescent="0.3">
      <c r="A117" s="58"/>
      <c r="B117" s="58"/>
      <c r="C117" s="58"/>
      <c r="D117" s="58"/>
      <c r="E117" s="58"/>
      <c r="F117" s="58"/>
    </row>
    <row r="120" spans="1:9" ht="15" thickBot="1" x14ac:dyDescent="0.35">
      <c r="A120" s="57"/>
      <c r="B120" s="57"/>
      <c r="C120" s="57"/>
      <c r="D120" s="57"/>
      <c r="E120" s="57"/>
      <c r="F120" s="57"/>
    </row>
    <row r="121" spans="1:9" ht="15" thickBot="1" x14ac:dyDescent="0.35"/>
    <row r="122" spans="1:9" x14ac:dyDescent="0.3">
      <c r="A122" s="58"/>
      <c r="B122" s="58"/>
      <c r="C122" s="58"/>
      <c r="D122" s="58"/>
      <c r="E122" s="58"/>
      <c r="F122" s="58"/>
      <c r="G122" s="58"/>
      <c r="H122" s="58"/>
      <c r="I122" s="58"/>
    </row>
    <row r="123" spans="1:9" x14ac:dyDescent="0.3">
      <c r="A123" s="60"/>
      <c r="B123" s="60"/>
    </row>
    <row r="124" spans="1:9" ht="15" thickBot="1" x14ac:dyDescent="0.35">
      <c r="A124" s="61"/>
      <c r="B124" s="61"/>
      <c r="C124" s="57"/>
      <c r="D124" s="57"/>
      <c r="E124" s="57"/>
      <c r="F124" s="57"/>
      <c r="G124" s="57"/>
      <c r="H124" s="57"/>
      <c r="I124" s="57"/>
    </row>
    <row r="126" spans="1:9" x14ac:dyDescent="0.3">
      <c r="A126" s="36"/>
    </row>
    <row r="127" spans="1:9" ht="15" thickBot="1" x14ac:dyDescent="0.35"/>
    <row r="128" spans="1:9" x14ac:dyDescent="0.3">
      <c r="A128" s="59"/>
      <c r="B128" s="59"/>
    </row>
    <row r="133" spans="1:9" ht="15" thickBot="1" x14ac:dyDescent="0.35">
      <c r="A133" s="57"/>
      <c r="B133" s="57"/>
    </row>
    <row r="135" spans="1:9" ht="15" thickBot="1" x14ac:dyDescent="0.35"/>
    <row r="136" spans="1:9" x14ac:dyDescent="0.3">
      <c r="A136" s="58"/>
      <c r="B136" s="58"/>
      <c r="C136" s="58"/>
      <c r="D136" s="58"/>
      <c r="E136" s="58"/>
      <c r="F136" s="58"/>
    </row>
    <row r="139" spans="1:9" ht="15" thickBot="1" x14ac:dyDescent="0.35">
      <c r="A139" s="57"/>
      <c r="B139" s="57"/>
      <c r="C139" s="57"/>
      <c r="D139" s="57"/>
      <c r="E139" s="57"/>
      <c r="F139" s="57"/>
    </row>
    <row r="140" spans="1:9" ht="15" thickBot="1" x14ac:dyDescent="0.35"/>
    <row r="141" spans="1:9" x14ac:dyDescent="0.3">
      <c r="A141" s="58"/>
      <c r="B141" s="58"/>
      <c r="C141" s="58"/>
      <c r="D141" s="58"/>
      <c r="E141" s="58"/>
      <c r="F141" s="58"/>
      <c r="G141" s="58"/>
      <c r="H141" s="58"/>
      <c r="I141" s="58"/>
    </row>
    <row r="142" spans="1:9" x14ac:dyDescent="0.3">
      <c r="A142" s="60"/>
      <c r="B142" s="60"/>
    </row>
    <row r="143" spans="1:9" ht="15" thickBot="1" x14ac:dyDescent="0.35">
      <c r="A143" s="61"/>
      <c r="B143" s="61"/>
      <c r="C143" s="57"/>
      <c r="D143" s="57"/>
      <c r="E143" s="57"/>
      <c r="F143" s="57"/>
      <c r="G143" s="57"/>
      <c r="H143" s="57"/>
      <c r="I143" s="57"/>
    </row>
    <row r="145" spans="1:6" x14ac:dyDescent="0.3">
      <c r="A145" s="36"/>
    </row>
    <row r="146" spans="1:6" x14ac:dyDescent="0.3">
      <c r="A146" s="36"/>
    </row>
    <row r="147" spans="1:6" ht="15" thickBot="1" x14ac:dyDescent="0.35"/>
    <row r="148" spans="1:6" x14ac:dyDescent="0.3">
      <c r="A148" s="59"/>
      <c r="B148" s="59"/>
    </row>
    <row r="153" spans="1:6" ht="15" thickBot="1" x14ac:dyDescent="0.35">
      <c r="A153" s="57"/>
      <c r="B153" s="57"/>
    </row>
    <row r="155" spans="1:6" ht="15" thickBot="1" x14ac:dyDescent="0.35"/>
    <row r="156" spans="1:6" x14ac:dyDescent="0.3">
      <c r="A156" s="58"/>
      <c r="B156" s="58"/>
      <c r="C156" s="58"/>
      <c r="D156" s="58"/>
      <c r="E156" s="58"/>
      <c r="F156" s="58"/>
    </row>
    <row r="159" spans="1:6" ht="15" thickBot="1" x14ac:dyDescent="0.35">
      <c r="A159" s="57"/>
      <c r="B159" s="57"/>
      <c r="C159" s="57"/>
      <c r="D159" s="57"/>
      <c r="E159" s="57"/>
      <c r="F159" s="57"/>
    </row>
    <row r="160" spans="1:6" ht="15" thickBot="1" x14ac:dyDescent="0.35"/>
    <row r="161" spans="1:9" x14ac:dyDescent="0.3">
      <c r="A161" s="58"/>
      <c r="B161" s="58"/>
      <c r="C161" s="58"/>
      <c r="D161" s="58"/>
      <c r="E161" s="58"/>
      <c r="F161" s="58"/>
      <c r="G161" s="58"/>
      <c r="H161" s="58"/>
      <c r="I161" s="58"/>
    </row>
    <row r="169" spans="1:9" ht="15" thickBot="1" x14ac:dyDescent="0.35">
      <c r="A169" s="57"/>
      <c r="B169" s="57"/>
      <c r="C169" s="57"/>
      <c r="D169" s="57"/>
      <c r="E169" s="57"/>
      <c r="F169" s="57"/>
      <c r="G169" s="57"/>
      <c r="H169" s="57"/>
      <c r="I169" s="57"/>
    </row>
    <row r="174" spans="1:9" ht="15" thickBot="1" x14ac:dyDescent="0.35"/>
    <row r="175" spans="1:9" x14ac:dyDescent="0.3">
      <c r="A175" s="58"/>
      <c r="B175" s="58"/>
      <c r="C175" s="58"/>
    </row>
    <row r="181" spans="1:3" ht="15" thickBot="1" x14ac:dyDescent="0.35">
      <c r="A181" s="57"/>
      <c r="B181" s="57"/>
      <c r="C181" s="5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results and SN plots</vt:lpstr>
      <vt:lpstr>Sensitivity analysis</vt:lpstr>
      <vt:lpstr>GRA</vt:lpstr>
      <vt:lpstr>MLR FA-GGBS SCGPC</vt:lpstr>
      <vt:lpstr>MLR BA-GGBS SCGPC</vt:lpstr>
      <vt:lpstr>MLR RHA-GGBS SCGPC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tpsphd2023@outlook.com</dc:creator>
  <cp:lastModifiedBy>Tejinderpal Singh</cp:lastModifiedBy>
  <dcterms:created xsi:type="dcterms:W3CDTF">2024-04-12T06:01:51Z</dcterms:created>
  <dcterms:modified xsi:type="dcterms:W3CDTF">2025-01-10T09:04:52Z</dcterms:modified>
</cp:coreProperties>
</file>